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17DD9115-6F16-471E-912D-5B99D29AA2C2}" xr6:coauthVersionLast="47" xr6:coauthVersionMax="47" xr10:uidLastSave="{00000000-0000-0000-0000-000000000000}"/>
  <bookViews>
    <workbookView xWindow="-120" yWindow="-120" windowWidth="29040" windowHeight="15840" firstSheet="4" activeTab="1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X10" i="2" l="1"/>
  <c r="BX29" i="2"/>
  <c r="BW29" i="2" s="1"/>
  <c r="BX12" i="2"/>
  <c r="BW12" i="2" s="1"/>
  <c r="BX11" i="2"/>
  <c r="BW11" i="2" s="1"/>
  <c r="BX2" i="2"/>
  <c r="BW2" i="2" s="1"/>
  <c r="BX14" i="2"/>
  <c r="BW14" i="2" s="1"/>
  <c r="BX13" i="2"/>
  <c r="BW13" i="2" s="1"/>
  <c r="BX21" i="2"/>
  <c r="BW21" i="2" s="1"/>
  <c r="BX20" i="2"/>
  <c r="BW20" i="2" s="1"/>
  <c r="BX23" i="2"/>
  <c r="BW23" i="2" s="1"/>
  <c r="BX30" i="2"/>
  <c r="BW30" i="2" s="1"/>
  <c r="BX22" i="2"/>
  <c r="BW22" i="2" s="1"/>
  <c r="BX3" i="2"/>
  <c r="BW3" i="2" s="1"/>
  <c r="BX4" i="2"/>
  <c r="BW4" i="2" s="1"/>
  <c r="BX25" i="2"/>
  <c r="BW25" i="2" s="1"/>
  <c r="BX24" i="2"/>
  <c r="BW24" i="2" s="1"/>
  <c r="BX6" i="2"/>
  <c r="BW6" i="2" s="1"/>
  <c r="BX15" i="2"/>
  <c r="BW15" i="2" s="1"/>
  <c r="BX31" i="2"/>
  <c r="BW31" i="2" s="1"/>
  <c r="BX16" i="2"/>
  <c r="BW16" i="2" s="1"/>
  <c r="BX26" i="2"/>
  <c r="BW26" i="2" s="1"/>
  <c r="BX5" i="2"/>
  <c r="BW5" i="2" s="1"/>
  <c r="BX27" i="2"/>
  <c r="BW27" i="2" s="1"/>
  <c r="BX32" i="2"/>
  <c r="BW32" i="2" s="1"/>
  <c r="BX17" i="2"/>
  <c r="BW17" i="2" s="1"/>
  <c r="BX18" i="2"/>
  <c r="BW18" i="2" s="1"/>
  <c r="BX7" i="2"/>
  <c r="BW7" i="2" s="1"/>
  <c r="BX28" i="2"/>
  <c r="BW28" i="2" s="1"/>
  <c r="BX19" i="2"/>
  <c r="BW19" i="2" s="1"/>
  <c r="BX8" i="2"/>
  <c r="BW8" i="2" s="1"/>
  <c r="BX33" i="2"/>
  <c r="BW33" i="2" s="1"/>
  <c r="BX9" i="2"/>
  <c r="BW9" i="2" s="1"/>
  <c r="BW10" i="2"/>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CH54" i="2" l="1"/>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29" i="2"/>
  <c r="AX4" i="2"/>
  <c r="AX22" i="2"/>
  <c r="AX31" i="2"/>
  <c r="AX17" i="2"/>
  <c r="AX9" i="2"/>
  <c r="AX5" i="2"/>
  <c r="AX3" i="2"/>
  <c r="AX6" i="2"/>
  <c r="AX20" i="2"/>
  <c r="AX23" i="2"/>
  <c r="AX32" i="2"/>
  <c r="AX19" i="2"/>
  <c r="AX18" i="2"/>
  <c r="AX7" i="2"/>
  <c r="AX27" i="2"/>
  <c r="AX2" i="2"/>
  <c r="AX16" i="2"/>
  <c r="AX30" i="2"/>
  <c r="AX21" i="2"/>
  <c r="AX14" i="2"/>
  <c r="AX25" i="2"/>
  <c r="AX13" i="2"/>
  <c r="AX12" i="2"/>
  <c r="AX28" i="2"/>
  <c r="AX24" i="2"/>
  <c r="AX26" i="2"/>
  <c r="AX15" i="2"/>
  <c r="AX33" i="2"/>
  <c r="AX8" i="2"/>
  <c r="AX10" i="2"/>
  <c r="AT11" i="2"/>
  <c r="AT29" i="2"/>
  <c r="AT4" i="2"/>
  <c r="AT22" i="2"/>
  <c r="AT31" i="2"/>
  <c r="AT17" i="2"/>
  <c r="AT9" i="2"/>
  <c r="AT5" i="2"/>
  <c r="AT3" i="2"/>
  <c r="AT6" i="2"/>
  <c r="AT20" i="2"/>
  <c r="AT23" i="2"/>
  <c r="AT32" i="2"/>
  <c r="AT19" i="2"/>
  <c r="AT18" i="2"/>
  <c r="AT7" i="2"/>
  <c r="AT27" i="2"/>
  <c r="AT2" i="2"/>
  <c r="AT16" i="2"/>
  <c r="AT30" i="2"/>
  <c r="AT21" i="2"/>
  <c r="AT14" i="2"/>
  <c r="AT25" i="2"/>
  <c r="AT13" i="2"/>
  <c r="AT12" i="2"/>
  <c r="AT28" i="2"/>
  <c r="AT24" i="2"/>
  <c r="AT26" i="2"/>
  <c r="AT15" i="2"/>
  <c r="AT33" i="2"/>
  <c r="AT8" i="2"/>
  <c r="AT10"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31" i="2"/>
  <c r="AV31" i="2"/>
  <c r="AY31" i="2"/>
  <c r="AZ31" i="2"/>
  <c r="AU19" i="2"/>
  <c r="AV19" i="2"/>
  <c r="AY19" i="2"/>
  <c r="AZ19" i="2"/>
  <c r="AU20" i="2"/>
  <c r="AV20" i="2"/>
  <c r="AY20" i="2"/>
  <c r="AZ20" i="2"/>
  <c r="AU25" i="2"/>
  <c r="AV25" i="2"/>
  <c r="AY25" i="2"/>
  <c r="AZ25" i="2"/>
  <c r="AU4" i="2"/>
  <c r="AV4" i="2"/>
  <c r="AY4" i="2"/>
  <c r="AZ4" i="2"/>
  <c r="AU9" i="2"/>
  <c r="AV9" i="2"/>
  <c r="AY9" i="2"/>
  <c r="AZ9" i="2"/>
  <c r="AU23" i="2"/>
  <c r="AV23" i="2"/>
  <c r="AY23" i="2"/>
  <c r="AZ23" i="2"/>
  <c r="AU13" i="2"/>
  <c r="AV13" i="2"/>
  <c r="AY13" i="2"/>
  <c r="AZ13" i="2"/>
  <c r="AU16" i="2"/>
  <c r="AV16" i="2"/>
  <c r="AY16" i="2"/>
  <c r="AZ16" i="2"/>
  <c r="AU11" i="2"/>
  <c r="AV11" i="2"/>
  <c r="AY11" i="2"/>
  <c r="AZ11" i="2"/>
  <c r="AU22" i="2"/>
  <c r="AV22" i="2"/>
  <c r="AY22" i="2"/>
  <c r="AZ22" i="2"/>
  <c r="AU2" i="2"/>
  <c r="AV2" i="2"/>
  <c r="AY2" i="2"/>
  <c r="AZ2" i="2"/>
  <c r="AU14" i="2"/>
  <c r="AV14" i="2"/>
  <c r="AY14" i="2"/>
  <c r="AZ14" i="2"/>
  <c r="AU15" i="2"/>
  <c r="AV15" i="2"/>
  <c r="AY15" i="2"/>
  <c r="AZ15" i="2"/>
  <c r="AU30" i="2"/>
  <c r="AV30" i="2"/>
  <c r="AY30" i="2"/>
  <c r="AZ30" i="2"/>
  <c r="AU8" i="2"/>
  <c r="AV8" i="2"/>
  <c r="AY8" i="2"/>
  <c r="AZ8" i="2"/>
  <c r="AU7" i="2"/>
  <c r="AV7" i="2"/>
  <c r="AY7" i="2"/>
  <c r="AZ7" i="2"/>
  <c r="AU5" i="2"/>
  <c r="AV5" i="2"/>
  <c r="AY5" i="2"/>
  <c r="AZ5" i="2"/>
  <c r="AU24" i="2"/>
  <c r="AV24" i="2"/>
  <c r="AY24" i="2"/>
  <c r="AZ24" i="2"/>
  <c r="AU27" i="2"/>
  <c r="AV27" i="2"/>
  <c r="AY27" i="2"/>
  <c r="AZ27" i="2"/>
  <c r="AU32" i="2"/>
  <c r="AV32" i="2"/>
  <c r="AY32" i="2"/>
  <c r="AZ32" i="2"/>
  <c r="AU28" i="2"/>
  <c r="AV28" i="2"/>
  <c r="AY28" i="2"/>
  <c r="AZ28" i="2"/>
  <c r="AU33" i="2"/>
  <c r="AV33" i="2"/>
  <c r="AY33" i="2"/>
  <c r="AZ33" i="2"/>
  <c r="AU26" i="2"/>
  <c r="AV26" i="2"/>
  <c r="AY26" i="2"/>
  <c r="AZ26" i="2"/>
  <c r="AU3" i="2"/>
  <c r="AV3" i="2"/>
  <c r="AY3" i="2"/>
  <c r="AZ3" i="2"/>
  <c r="AU21" i="2"/>
  <c r="AV21" i="2"/>
  <c r="AY21" i="2"/>
  <c r="AZ21" i="2"/>
  <c r="AU17" i="2"/>
  <c r="AV17" i="2"/>
  <c r="AY17" i="2"/>
  <c r="AZ17" i="2"/>
  <c r="AU6" i="2"/>
  <c r="AV6" i="2"/>
  <c r="AY6" i="2"/>
  <c r="AZ6" i="2"/>
  <c r="AU12" i="2"/>
  <c r="AV12" i="2"/>
  <c r="AY12" i="2"/>
  <c r="AZ12" i="2"/>
  <c r="AU29" i="2"/>
  <c r="AV29" i="2"/>
  <c r="AY29" i="2"/>
  <c r="AZ29" i="2"/>
  <c r="AU10" i="2"/>
  <c r="AV10" i="2"/>
  <c r="AY10" i="2"/>
  <c r="AZ10" i="2"/>
  <c r="AZ18" i="2"/>
  <c r="AY18" i="2"/>
  <c r="AV18" i="2"/>
  <c r="AU1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69" i="1"/>
  <c r="O774" i="1"/>
  <c r="O785" i="1"/>
  <c r="O791" i="1"/>
  <c r="O792"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H536" i="1"/>
  <c r="H537" i="1"/>
  <c r="H538" i="1"/>
  <c r="H539" i="1"/>
  <c r="H540" i="1"/>
  <c r="H541" i="1"/>
  <c r="H542" i="1"/>
  <c r="H543" i="1"/>
  <c r="H544" i="1"/>
  <c r="H545" i="1"/>
  <c r="O545" i="1" s="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H585" i="1"/>
  <c r="H586" i="1"/>
  <c r="H579" i="1"/>
  <c r="O579" i="1" s="1"/>
  <c r="H587" i="1"/>
  <c r="H588" i="1"/>
  <c r="H589" i="1"/>
  <c r="H590" i="1"/>
  <c r="H591" i="1"/>
  <c r="H592" i="1"/>
  <c r="H593" i="1"/>
  <c r="O593" i="1" s="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H632" i="1"/>
  <c r="H633" i="1"/>
  <c r="H634" i="1"/>
  <c r="O634" i="1" s="1"/>
  <c r="H635" i="1"/>
  <c r="H636" i="1"/>
  <c r="H637" i="1"/>
  <c r="H638" i="1"/>
  <c r="H639" i="1"/>
  <c r="H640" i="1"/>
  <c r="H641" i="1"/>
  <c r="O641" i="1" s="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H680" i="1"/>
  <c r="H681" i="1"/>
  <c r="H682" i="1"/>
  <c r="O682" i="1" s="1"/>
  <c r="H683" i="1"/>
  <c r="O683" i="1" s="1"/>
  <c r="H684" i="1"/>
  <c r="H685" i="1"/>
  <c r="H686" i="1"/>
  <c r="H687" i="1"/>
  <c r="H688" i="1"/>
  <c r="H689" i="1"/>
  <c r="O689" i="1" s="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H728" i="1"/>
  <c r="O728" i="1" s="1"/>
  <c r="H729" i="1"/>
  <c r="O729" i="1" s="1"/>
  <c r="H730" i="1"/>
  <c r="O730" i="1" s="1"/>
  <c r="H731" i="1"/>
  <c r="O731" i="1" s="1"/>
  <c r="H732" i="1"/>
  <c r="O732" i="1" s="1"/>
  <c r="H733" i="1"/>
  <c r="O733" i="1" s="1"/>
  <c r="H734" i="1"/>
  <c r="H735" i="1"/>
  <c r="O735" i="1" s="1"/>
  <c r="H736" i="1"/>
  <c r="O736" i="1" s="1"/>
  <c r="H737" i="1"/>
  <c r="O737" i="1" s="1"/>
  <c r="H738" i="1"/>
  <c r="O738" i="1" s="1"/>
  <c r="H739" i="1"/>
  <c r="O739" i="1" s="1"/>
  <c r="H740" i="1"/>
  <c r="O740" i="1" s="1"/>
  <c r="H741" i="1"/>
  <c r="O741" i="1" s="1"/>
  <c r="H742" i="1"/>
  <c r="O742" i="1" s="1"/>
  <c r="H743" i="1"/>
  <c r="H744" i="1"/>
  <c r="O744" i="1" s="1"/>
  <c r="H745" i="1"/>
  <c r="O745" i="1" s="1"/>
  <c r="H746" i="1"/>
  <c r="O746" i="1" s="1"/>
  <c r="H747" i="1"/>
  <c r="O747" i="1" s="1"/>
  <c r="H748" i="1"/>
  <c r="O748" i="1" s="1"/>
  <c r="H749" i="1"/>
  <c r="O749" i="1" s="1"/>
  <c r="H750" i="1"/>
  <c r="O750" i="1" s="1"/>
  <c r="H751" i="1"/>
  <c r="O751" i="1" s="1"/>
  <c r="H752" i="1"/>
  <c r="O752" i="1" s="1"/>
  <c r="H753" i="1"/>
  <c r="O753" i="1" s="1"/>
  <c r="H754" i="1"/>
  <c r="O754" i="1" s="1"/>
  <c r="H755" i="1"/>
  <c r="O755" i="1" s="1"/>
  <c r="H756" i="1"/>
  <c r="O756" i="1" s="1"/>
  <c r="H757" i="1"/>
  <c r="O757" i="1" s="1"/>
  <c r="H758" i="1"/>
  <c r="O758" i="1" s="1"/>
  <c r="H760" i="1"/>
  <c r="H759" i="1"/>
  <c r="O759" i="1" s="1"/>
  <c r="H761" i="1"/>
  <c r="O761" i="1" s="1"/>
  <c r="H762" i="1"/>
  <c r="O762" i="1" s="1"/>
  <c r="H763" i="1"/>
  <c r="O763" i="1" s="1"/>
  <c r="H764" i="1"/>
  <c r="O764" i="1" s="1"/>
  <c r="H765" i="1"/>
  <c r="O765" i="1" s="1"/>
  <c r="H766" i="1"/>
  <c r="O766" i="1" s="1"/>
  <c r="H767" i="1"/>
  <c r="O767" i="1" s="1"/>
  <c r="H768" i="1"/>
  <c r="O768" i="1" s="1"/>
  <c r="H769" i="1"/>
  <c r="H770" i="1"/>
  <c r="O770" i="1" s="1"/>
  <c r="H771" i="1"/>
  <c r="O771" i="1" s="1"/>
  <c r="H772" i="1"/>
  <c r="O772" i="1" s="1"/>
  <c r="H773" i="1"/>
  <c r="O773" i="1" s="1"/>
  <c r="H774" i="1"/>
  <c r="H776" i="1"/>
  <c r="H775" i="1"/>
  <c r="O775" i="1" s="1"/>
  <c r="H777" i="1"/>
  <c r="O777" i="1" s="1"/>
  <c r="H778" i="1"/>
  <c r="O778" i="1" s="1"/>
  <c r="H779" i="1"/>
  <c r="O779" i="1" s="1"/>
  <c r="H780" i="1"/>
  <c r="O780" i="1" s="1"/>
  <c r="H781" i="1"/>
  <c r="O781" i="1" s="1"/>
  <c r="H782" i="1"/>
  <c r="O782" i="1" s="1"/>
  <c r="H783" i="1"/>
  <c r="O783" i="1" s="1"/>
  <c r="H784" i="1"/>
  <c r="O784" i="1" s="1"/>
  <c r="H785" i="1"/>
  <c r="H786" i="1"/>
  <c r="O786" i="1" s="1"/>
  <c r="H787" i="1"/>
  <c r="O787" i="1" s="1"/>
  <c r="H788" i="1"/>
  <c r="O788" i="1" s="1"/>
  <c r="H789" i="1"/>
  <c r="O789" i="1" s="1"/>
  <c r="H790" i="1"/>
  <c r="O790" i="1" s="1"/>
  <c r="H791" i="1"/>
  <c r="H792" i="1"/>
  <c r="H793" i="1"/>
  <c r="O793" i="1" s="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43" i="1" l="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AM758" i="1"/>
  <c r="AL614" i="1"/>
  <c r="AM614" i="1"/>
  <c r="AL469" i="1"/>
  <c r="AM469" i="1"/>
  <c r="AL341" i="1"/>
  <c r="R12" i="11" s="1"/>
  <c r="AM341" i="1"/>
  <c r="AL197" i="1"/>
  <c r="AM197" i="1"/>
  <c r="AL65" i="1"/>
  <c r="AM65" i="1"/>
  <c r="O492" i="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N2" i="11" s="1"/>
  <c r="AL789" i="1"/>
  <c r="B14" i="11" s="1"/>
  <c r="AM773" i="1"/>
  <c r="AL773" i="1"/>
  <c r="AM757" i="1"/>
  <c r="AL757" i="1"/>
  <c r="AM741" i="1"/>
  <c r="AB12" i="11" s="1"/>
  <c r="AL741" i="1"/>
  <c r="L28" i="11" s="1"/>
  <c r="AM725" i="1"/>
  <c r="AL725" i="1"/>
  <c r="AE26" i="11" s="1"/>
  <c r="AL709" i="1"/>
  <c r="AM709" i="1"/>
  <c r="AM693" i="1"/>
  <c r="AL693" i="1"/>
  <c r="AM677" i="1"/>
  <c r="AL677" i="1"/>
  <c r="AL662" i="1"/>
  <c r="AM662" i="1"/>
  <c r="AM645" i="1"/>
  <c r="AL645" i="1"/>
  <c r="AM629" i="1"/>
  <c r="AL629" i="1"/>
  <c r="AM613" i="1"/>
  <c r="AL613" i="1"/>
  <c r="AM597" i="1"/>
  <c r="AL597" i="1"/>
  <c r="L27" i="11" s="1"/>
  <c r="AM581" i="1"/>
  <c r="Y28" i="11" s="1"/>
  <c r="AL581" i="1"/>
  <c r="AM565" i="1"/>
  <c r="AL565" i="1"/>
  <c r="AM549" i="1"/>
  <c r="AL549" i="1"/>
  <c r="AL501" i="1"/>
  <c r="AM501" i="1"/>
  <c r="AL485" i="1"/>
  <c r="AM485" i="1"/>
  <c r="AL470" i="1"/>
  <c r="AM470" i="1"/>
  <c r="AL453" i="1"/>
  <c r="AM453" i="1"/>
  <c r="AL437" i="1"/>
  <c r="AM437" i="1"/>
  <c r="O4" i="11" s="1"/>
  <c r="AL421" i="1"/>
  <c r="AM421" i="1"/>
  <c r="AL405" i="1"/>
  <c r="AM405" i="1"/>
  <c r="AL389" i="1"/>
  <c r="AM389" i="1"/>
  <c r="AL372" i="1"/>
  <c r="AM372" i="1"/>
  <c r="AL356" i="1"/>
  <c r="AM356" i="1"/>
  <c r="AL340" i="1"/>
  <c r="AM340" i="1"/>
  <c r="AL324" i="1"/>
  <c r="AM324" i="1"/>
  <c r="AL308" i="1"/>
  <c r="AM308" i="1"/>
  <c r="AL292" i="1"/>
  <c r="AD4" i="11" s="1"/>
  <c r="AM292" i="1"/>
  <c r="AL276" i="1"/>
  <c r="AG4" i="11" s="1"/>
  <c r="AM276" i="1"/>
  <c r="D33" i="11" s="1"/>
  <c r="AL261" i="1"/>
  <c r="AM261" i="1"/>
  <c r="AL244" i="1"/>
  <c r="AM244" i="1"/>
  <c r="AL228" i="1"/>
  <c r="AM228" i="1"/>
  <c r="AL213" i="1"/>
  <c r="AM213" i="1"/>
  <c r="N29" i="11" s="1"/>
  <c r="AL196" i="1"/>
  <c r="AM196" i="1"/>
  <c r="AL180" i="1"/>
  <c r="AM180" i="1"/>
  <c r="AL164" i="1"/>
  <c r="AM164" i="1"/>
  <c r="AL148" i="1"/>
  <c r="AM148" i="1"/>
  <c r="AL132" i="1"/>
  <c r="U29" i="11" s="1"/>
  <c r="AM132" i="1"/>
  <c r="AC21" i="11" s="1"/>
  <c r="AL116" i="1"/>
  <c r="C18" i="11" s="1"/>
  <c r="AM116" i="1"/>
  <c r="R3" i="11" s="1"/>
  <c r="AL100" i="1"/>
  <c r="AM100" i="1"/>
  <c r="AL84" i="1"/>
  <c r="AM84" i="1"/>
  <c r="AL69" i="1"/>
  <c r="S27" i="11" s="1"/>
  <c r="AM69" i="1"/>
  <c r="AA19" i="11" s="1"/>
  <c r="AL52" i="1"/>
  <c r="AM52" i="1"/>
  <c r="AL36" i="1"/>
  <c r="K19" i="11" s="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F25" i="11" s="1"/>
  <c r="AM772" i="1"/>
  <c r="Y6" i="11" s="1"/>
  <c r="AL756" i="1"/>
  <c r="AM756" i="1"/>
  <c r="Y4" i="11" s="1"/>
  <c r="AL740" i="1"/>
  <c r="AM740" i="1"/>
  <c r="AL724" i="1"/>
  <c r="T23" i="11" s="1"/>
  <c r="AM724" i="1"/>
  <c r="W20" i="11" s="1"/>
  <c r="AL708" i="1"/>
  <c r="AM708" i="1"/>
  <c r="AL692" i="1"/>
  <c r="AM692" i="1"/>
  <c r="AL676" i="1"/>
  <c r="AM676" i="1"/>
  <c r="AL660" i="1"/>
  <c r="AM660" i="1"/>
  <c r="AL644" i="1"/>
  <c r="AM644" i="1"/>
  <c r="AL628" i="1"/>
  <c r="AM628" i="1"/>
  <c r="AD11" i="11" s="1"/>
  <c r="AL612" i="1"/>
  <c r="AM612" i="1"/>
  <c r="AL596" i="1"/>
  <c r="AM596" i="1"/>
  <c r="AL580" i="1"/>
  <c r="AM580" i="1"/>
  <c r="AL564" i="1"/>
  <c r="O14" i="11" s="1"/>
  <c r="AM564" i="1"/>
  <c r="AL548" i="1"/>
  <c r="AM548" i="1"/>
  <c r="AL500" i="1"/>
  <c r="AM500" i="1"/>
  <c r="AL484" i="1"/>
  <c r="Q30" i="11" s="1"/>
  <c r="AM484" i="1"/>
  <c r="AD17" i="11" s="1"/>
  <c r="AL468" i="1"/>
  <c r="AM468" i="1"/>
  <c r="AL452" i="1"/>
  <c r="AM452" i="1"/>
  <c r="E21" i="11" s="1"/>
  <c r="AL436" i="1"/>
  <c r="AM436" i="1"/>
  <c r="AL420" i="1"/>
  <c r="AM420" i="1"/>
  <c r="AL404" i="1"/>
  <c r="M8" i="11" s="1"/>
  <c r="AM404" i="1"/>
  <c r="AL388" i="1"/>
  <c r="AM388" i="1"/>
  <c r="AM371" i="1"/>
  <c r="AL371" i="1"/>
  <c r="AL355" i="1"/>
  <c r="AM355" i="1"/>
  <c r="AL339" i="1"/>
  <c r="AM339" i="1"/>
  <c r="AM323" i="1"/>
  <c r="AL323" i="1"/>
  <c r="AM307" i="1"/>
  <c r="AL307" i="1"/>
  <c r="AL291" i="1"/>
  <c r="AM291" i="1"/>
  <c r="K23" i="11" s="1"/>
  <c r="AL275" i="1"/>
  <c r="F21" i="11" s="1"/>
  <c r="AM275" i="1"/>
  <c r="AL260" i="1"/>
  <c r="AE23" i="11" s="1"/>
  <c r="AM260" i="1"/>
  <c r="W31" i="11" s="1"/>
  <c r="AL243" i="1"/>
  <c r="X12" i="11" s="1"/>
  <c r="AM243" i="1"/>
  <c r="AL227" i="1"/>
  <c r="AM227" i="1"/>
  <c r="AM211" i="1"/>
  <c r="AL211" i="1"/>
  <c r="AL195" i="1"/>
  <c r="AM195" i="1"/>
  <c r="T4" i="11" s="1"/>
  <c r="AL179" i="1"/>
  <c r="AM179" i="1"/>
  <c r="AM163" i="1"/>
  <c r="AL163" i="1"/>
  <c r="AG6" i="11" s="1"/>
  <c r="AL147" i="1"/>
  <c r="AM147" i="1"/>
  <c r="AL131" i="1"/>
  <c r="AM131" i="1"/>
  <c r="AM115" i="1"/>
  <c r="AL115" i="1"/>
  <c r="AL99" i="1"/>
  <c r="AM99" i="1"/>
  <c r="AL83" i="1"/>
  <c r="AM83" i="1"/>
  <c r="AL68" i="1"/>
  <c r="AM68" i="1"/>
  <c r="AM51" i="1"/>
  <c r="AL51" i="1"/>
  <c r="AM35" i="1"/>
  <c r="AL35" i="1"/>
  <c r="M6" i="11" s="1"/>
  <c r="AL19" i="1"/>
  <c r="AM19" i="1"/>
  <c r="AL3" i="1"/>
  <c r="AA20" i="11" s="1"/>
  <c r="AM3" i="1"/>
  <c r="AL1238" i="1"/>
  <c r="AM1238" i="1"/>
  <c r="AL966" i="1"/>
  <c r="AM966" i="1"/>
  <c r="AM661" i="1"/>
  <c r="AL661" i="1"/>
  <c r="R33" i="11" s="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23"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C15" i="11" s="1"/>
  <c r="AL403" i="1"/>
  <c r="AM403" i="1"/>
  <c r="AL387" i="1"/>
  <c r="AM387" i="1"/>
  <c r="AL370" i="1"/>
  <c r="AM370" i="1"/>
  <c r="AL354" i="1"/>
  <c r="AC33" i="11" s="1"/>
  <c r="AM354" i="1"/>
  <c r="AL338" i="1"/>
  <c r="T14" i="11" s="1"/>
  <c r="AM338" i="1"/>
  <c r="AL322" i="1"/>
  <c r="AM322" i="1"/>
  <c r="AL306" i="1"/>
  <c r="AM306" i="1"/>
  <c r="AL290" i="1"/>
  <c r="AM290" i="1"/>
  <c r="AL274" i="1"/>
  <c r="AM274" i="1"/>
  <c r="AL258" i="1"/>
  <c r="AM258" i="1"/>
  <c r="AL242" i="1"/>
  <c r="AM242" i="1"/>
  <c r="AL226" i="1"/>
  <c r="AM226" i="1"/>
  <c r="AL210" i="1"/>
  <c r="AM210" i="1"/>
  <c r="AL194" i="1"/>
  <c r="AM194" i="1"/>
  <c r="AL178" i="1"/>
  <c r="E10" i="11" s="1"/>
  <c r="AM178" i="1"/>
  <c r="AL161" i="1"/>
  <c r="AM161" i="1"/>
  <c r="T8" i="11" s="1"/>
  <c r="AL146" i="1"/>
  <c r="AM146" i="1"/>
  <c r="AL130" i="1"/>
  <c r="V2" i="11" s="1"/>
  <c r="AM130" i="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B15" i="11" s="1"/>
  <c r="AM550" i="1"/>
  <c r="AL486" i="1"/>
  <c r="AM486" i="1"/>
  <c r="AL438" i="1"/>
  <c r="AM438" i="1"/>
  <c r="AM374" i="1"/>
  <c r="X26" i="11" s="1"/>
  <c r="AL374" i="1"/>
  <c r="AL293" i="1"/>
  <c r="AM293" i="1"/>
  <c r="B12" i="11" s="1"/>
  <c r="AL229" i="1"/>
  <c r="AM229" i="1"/>
  <c r="AL181" i="1"/>
  <c r="AM181" i="1"/>
  <c r="AL101" i="1"/>
  <c r="O17" i="11" s="1"/>
  <c r="AM101" i="1"/>
  <c r="AL53" i="1"/>
  <c r="S29" i="11" s="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F5" i="11" s="1"/>
  <c r="AM738" i="1"/>
  <c r="AL722" i="1"/>
  <c r="AM722" i="1"/>
  <c r="AL706" i="1"/>
  <c r="AM706" i="1"/>
  <c r="AL690" i="1"/>
  <c r="AM690" i="1"/>
  <c r="AL674" i="1"/>
  <c r="AM674" i="1"/>
  <c r="H33" i="11" s="1"/>
  <c r="AL658" i="1"/>
  <c r="AM658" i="1"/>
  <c r="AL642" i="1"/>
  <c r="AM642" i="1"/>
  <c r="AL626" i="1"/>
  <c r="AM626" i="1"/>
  <c r="M18" i="11" s="1"/>
  <c r="AL610" i="1"/>
  <c r="AM610" i="1"/>
  <c r="AL594" i="1"/>
  <c r="J15" i="11" s="1"/>
  <c r="AM594" i="1"/>
  <c r="AL578" i="1"/>
  <c r="G3" i="11" s="1"/>
  <c r="AM578" i="1"/>
  <c r="AL562" i="1"/>
  <c r="AM562" i="1"/>
  <c r="AL546" i="1"/>
  <c r="AM546" i="1"/>
  <c r="AL498" i="1"/>
  <c r="AM498" i="1"/>
  <c r="K8" i="11" s="1"/>
  <c r="AL482" i="1"/>
  <c r="AM482" i="1"/>
  <c r="AL466" i="1"/>
  <c r="AM466" i="1"/>
  <c r="AL450" i="1"/>
  <c r="R7" i="11" s="1"/>
  <c r="AM450" i="1"/>
  <c r="AL434" i="1"/>
  <c r="AB11" i="11" s="1"/>
  <c r="AM434" i="1"/>
  <c r="AL418" i="1"/>
  <c r="U6" i="11" s="1"/>
  <c r="AM418" i="1"/>
  <c r="AL402" i="1"/>
  <c r="Y7" i="11" s="1"/>
  <c r="AM402" i="1"/>
  <c r="AL386" i="1"/>
  <c r="AM386" i="1"/>
  <c r="AL369" i="1"/>
  <c r="AM369" i="1"/>
  <c r="AL353" i="1"/>
  <c r="AM353" i="1"/>
  <c r="AL337" i="1"/>
  <c r="AM337" i="1"/>
  <c r="Y29" i="11" s="1"/>
  <c r="AL321" i="1"/>
  <c r="AM321" i="1"/>
  <c r="AL305" i="1"/>
  <c r="AM305" i="1"/>
  <c r="AL287" i="1"/>
  <c r="AM287" i="1"/>
  <c r="AL273" i="1"/>
  <c r="B28" i="11" s="1"/>
  <c r="AM273" i="1"/>
  <c r="AL257" i="1"/>
  <c r="AM257" i="1"/>
  <c r="E11" i="11" s="1"/>
  <c r="AL241" i="1"/>
  <c r="AM241" i="1"/>
  <c r="AL225" i="1"/>
  <c r="AM225" i="1"/>
  <c r="AL209" i="1"/>
  <c r="AM209" i="1"/>
  <c r="AL193" i="1"/>
  <c r="AM193" i="1"/>
  <c r="AL177" i="1"/>
  <c r="AM177" i="1"/>
  <c r="AL162" i="1"/>
  <c r="AM162" i="1"/>
  <c r="AL145" i="1"/>
  <c r="Q33" i="11" s="1"/>
  <c r="AM145" i="1"/>
  <c r="AL129" i="1"/>
  <c r="AM129" i="1"/>
  <c r="Y32" i="11" s="1"/>
  <c r="AL113" i="1"/>
  <c r="AM113" i="1"/>
  <c r="AL97" i="1"/>
  <c r="AM97" i="1"/>
  <c r="AL81" i="1"/>
  <c r="AM81" i="1"/>
  <c r="V33" i="11" s="1"/>
  <c r="AM66" i="1"/>
  <c r="I32" i="11" s="1"/>
  <c r="AL66" i="1"/>
  <c r="AL49" i="1"/>
  <c r="K21" i="11" s="1"/>
  <c r="AM49" i="1"/>
  <c r="AL33" i="1"/>
  <c r="AM33" i="1"/>
  <c r="AL17" i="1"/>
  <c r="AM17" i="1"/>
  <c r="AL1286" i="1"/>
  <c r="AM1286" i="1"/>
  <c r="AL1078" i="1"/>
  <c r="AM1078" i="1"/>
  <c r="AL902" i="1"/>
  <c r="AM902" i="1"/>
  <c r="AL742" i="1"/>
  <c r="AM742" i="1"/>
  <c r="G26" i="11" s="1"/>
  <c r="AL566" i="1"/>
  <c r="AM566" i="1"/>
  <c r="AL406" i="1"/>
  <c r="AM406" i="1"/>
  <c r="AL245" i="1"/>
  <c r="AM245" i="1"/>
  <c r="AL133" i="1"/>
  <c r="N19" i="11" s="1"/>
  <c r="AM133" i="1"/>
  <c r="AL5" i="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K22" i="11" s="1"/>
  <c r="AM705" i="1"/>
  <c r="AL689" i="1"/>
  <c r="AM689" i="1"/>
  <c r="B18" i="11" s="1"/>
  <c r="AL673" i="1"/>
  <c r="AM673" i="1"/>
  <c r="AL657" i="1"/>
  <c r="AF26" i="11" s="1"/>
  <c r="AM657" i="1"/>
  <c r="AL641" i="1"/>
  <c r="AM641" i="1"/>
  <c r="AL625" i="1"/>
  <c r="AM625" i="1"/>
  <c r="AL609" i="1"/>
  <c r="AM609" i="1"/>
  <c r="AL593" i="1"/>
  <c r="I30" i="11" s="1"/>
  <c r="AM593" i="1"/>
  <c r="AL577" i="1"/>
  <c r="AM577" i="1"/>
  <c r="AL561" i="1"/>
  <c r="AM561" i="1"/>
  <c r="AL545" i="1"/>
  <c r="AM545" i="1"/>
  <c r="AL497" i="1"/>
  <c r="D29" i="11" s="1"/>
  <c r="AM497" i="1"/>
  <c r="AL481" i="1"/>
  <c r="AM481" i="1"/>
  <c r="AL465" i="1"/>
  <c r="S25" i="11" s="1"/>
  <c r="AM465" i="1"/>
  <c r="AL449" i="1"/>
  <c r="X11" i="11" s="1"/>
  <c r="AM449" i="1"/>
  <c r="AL433" i="1"/>
  <c r="AE14" i="11" s="1"/>
  <c r="AM433" i="1"/>
  <c r="AL417" i="1"/>
  <c r="AM417" i="1"/>
  <c r="AL401" i="1"/>
  <c r="AM401" i="1"/>
  <c r="AL385" i="1"/>
  <c r="AM385" i="1"/>
  <c r="AL368" i="1"/>
  <c r="Y21" i="11" s="1"/>
  <c r="AM368" i="1"/>
  <c r="AL352" i="1"/>
  <c r="AM352" i="1"/>
  <c r="C28" i="11" s="1"/>
  <c r="AL336" i="1"/>
  <c r="AM336" i="1"/>
  <c r="AL320" i="1"/>
  <c r="W10" i="11" s="1"/>
  <c r="AM320" i="1"/>
  <c r="AL304" i="1"/>
  <c r="AM304" i="1"/>
  <c r="AL289" i="1"/>
  <c r="F22" i="11" s="1"/>
  <c r="AM289" i="1"/>
  <c r="AL272" i="1"/>
  <c r="AM272" i="1"/>
  <c r="AL256" i="1"/>
  <c r="AM256" i="1"/>
  <c r="R16" i="11" s="1"/>
  <c r="AL240" i="1"/>
  <c r="B19" i="11" s="1"/>
  <c r="AM240" i="1"/>
  <c r="AL224" i="1"/>
  <c r="AM224" i="1"/>
  <c r="M2" i="11" s="1"/>
  <c r="AL208" i="1"/>
  <c r="AM208" i="1"/>
  <c r="AL192" i="1"/>
  <c r="AM192" i="1"/>
  <c r="AL176" i="1"/>
  <c r="AM176" i="1"/>
  <c r="AL160" i="1"/>
  <c r="P3" i="11" s="1"/>
  <c r="AM160" i="1"/>
  <c r="AL143" i="1"/>
  <c r="AM143" i="1"/>
  <c r="AL128" i="1"/>
  <c r="AM128" i="1"/>
  <c r="O30" i="11" s="1"/>
  <c r="AL112" i="1"/>
  <c r="AM112" i="1"/>
  <c r="AL96" i="1"/>
  <c r="AM96" i="1"/>
  <c r="AL80" i="1"/>
  <c r="AC9" i="11" s="1"/>
  <c r="AM80" i="1"/>
  <c r="AM64" i="1"/>
  <c r="AL64" i="1"/>
  <c r="AM48" i="1"/>
  <c r="AL48" i="1"/>
  <c r="AM32" i="1"/>
  <c r="AL32" i="1"/>
  <c r="AM16" i="1"/>
  <c r="AL16" i="1"/>
  <c r="AB24" i="11" s="1"/>
  <c r="AL1270" i="1"/>
  <c r="AM1270" i="1"/>
  <c r="AL1190" i="1"/>
  <c r="AM1190" i="1"/>
  <c r="AL1142" i="1"/>
  <c r="AM1142" i="1"/>
  <c r="AL1110" i="1"/>
  <c r="AM1110" i="1"/>
  <c r="AL1047" i="1"/>
  <c r="AM1047" i="1"/>
  <c r="AL982" i="1"/>
  <c r="AM982" i="1"/>
  <c r="AL934" i="1"/>
  <c r="AM934" i="1"/>
  <c r="AL870" i="1"/>
  <c r="AM870" i="1"/>
  <c r="AL806" i="1"/>
  <c r="AM806" i="1"/>
  <c r="AL774" i="1"/>
  <c r="AM774" i="1"/>
  <c r="AL710" i="1"/>
  <c r="AM710" i="1"/>
  <c r="Y31" i="11" s="1"/>
  <c r="AL630" i="1"/>
  <c r="AM630" i="1"/>
  <c r="AL582" i="1"/>
  <c r="AF30" i="11" s="1"/>
  <c r="AM582" i="1"/>
  <c r="AL454" i="1"/>
  <c r="Q26" i="11" s="1"/>
  <c r="AM454" i="1"/>
  <c r="AL422" i="1"/>
  <c r="T6" i="11" s="1"/>
  <c r="AM422" i="1"/>
  <c r="AL357" i="1"/>
  <c r="AM357" i="1"/>
  <c r="AL277" i="1"/>
  <c r="AM277" i="1"/>
  <c r="AL214" i="1"/>
  <c r="AM214" i="1"/>
  <c r="AL165" i="1"/>
  <c r="AM165" i="1"/>
  <c r="AL85" i="1"/>
  <c r="S13" i="11" s="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Q8" i="11" s="1"/>
  <c r="AM704" i="1"/>
  <c r="AL688" i="1"/>
  <c r="AM688" i="1"/>
  <c r="AL672" i="1"/>
  <c r="AM672" i="1"/>
  <c r="AL656" i="1"/>
  <c r="AE27" i="11" s="1"/>
  <c r="AM656" i="1"/>
  <c r="AL640" i="1"/>
  <c r="AM640" i="1"/>
  <c r="H30" i="11" s="1"/>
  <c r="AL624" i="1"/>
  <c r="AM624" i="1"/>
  <c r="AL608" i="1"/>
  <c r="S28" i="11" s="1"/>
  <c r="AM608" i="1"/>
  <c r="AL592" i="1"/>
  <c r="AM592" i="1"/>
  <c r="AL576" i="1"/>
  <c r="Q31" i="11" s="1"/>
  <c r="AM576" i="1"/>
  <c r="AL560" i="1"/>
  <c r="AM560" i="1"/>
  <c r="AL544" i="1"/>
  <c r="AM544" i="1"/>
  <c r="AL496" i="1"/>
  <c r="L25" i="11" s="1"/>
  <c r="AM496" i="1"/>
  <c r="AL480" i="1"/>
  <c r="AM480" i="1"/>
  <c r="AL464" i="1"/>
  <c r="AM464" i="1"/>
  <c r="AL448" i="1"/>
  <c r="AM448" i="1"/>
  <c r="AL432" i="1"/>
  <c r="AM432" i="1"/>
  <c r="AL416" i="1"/>
  <c r="W29" i="11" s="1"/>
  <c r="AM416" i="1"/>
  <c r="AL400" i="1"/>
  <c r="AM400" i="1"/>
  <c r="AL384" i="1"/>
  <c r="AM384" i="1"/>
  <c r="AL367" i="1"/>
  <c r="AM367" i="1"/>
  <c r="AL351" i="1"/>
  <c r="AM351" i="1"/>
  <c r="AL335" i="1"/>
  <c r="AM335" i="1"/>
  <c r="P33" i="11" s="1"/>
  <c r="AL319" i="1"/>
  <c r="B27" i="11" s="1"/>
  <c r="AM319" i="1"/>
  <c r="AL303" i="1"/>
  <c r="AM303" i="1"/>
  <c r="I33" i="11" s="1"/>
  <c r="AL288" i="1"/>
  <c r="I25" i="11" s="1"/>
  <c r="AM288" i="1"/>
  <c r="AL271" i="1"/>
  <c r="C14" i="11" s="1"/>
  <c r="AM271" i="1"/>
  <c r="AL255" i="1"/>
  <c r="AM255" i="1"/>
  <c r="AL239" i="1"/>
  <c r="AM239" i="1"/>
  <c r="AL223" i="1"/>
  <c r="AM223" i="1"/>
  <c r="AL207" i="1"/>
  <c r="AM207" i="1"/>
  <c r="AL191" i="1"/>
  <c r="M33" i="11" s="1"/>
  <c r="AM191" i="1"/>
  <c r="AL175" i="1"/>
  <c r="AM175" i="1"/>
  <c r="T3" i="11" s="1"/>
  <c r="AL159" i="1"/>
  <c r="K32" i="11" s="1"/>
  <c r="AM159" i="1"/>
  <c r="AL144" i="1"/>
  <c r="AM144" i="1"/>
  <c r="AL127" i="1"/>
  <c r="AM127" i="1"/>
  <c r="AL111" i="1"/>
  <c r="AM111" i="1"/>
  <c r="AL95" i="1"/>
  <c r="AM95" i="1"/>
  <c r="AL79" i="1"/>
  <c r="AM79" i="1"/>
  <c r="D12" i="11" s="1"/>
  <c r="AM63" i="1"/>
  <c r="E30" i="11" s="1"/>
  <c r="AL63" i="1"/>
  <c r="AM47" i="1"/>
  <c r="AL47" i="1"/>
  <c r="V28" i="11" s="1"/>
  <c r="AM31" i="1"/>
  <c r="AL31" i="1"/>
  <c r="AM15" i="1"/>
  <c r="AC31" i="11" s="1"/>
  <c r="AL15" i="1"/>
  <c r="AL1158" i="1"/>
  <c r="AM1158" i="1"/>
  <c r="AL995" i="1"/>
  <c r="AM995" i="1"/>
  <c r="AL838" i="1"/>
  <c r="AM838" i="1"/>
  <c r="AL694" i="1"/>
  <c r="AM694" i="1"/>
  <c r="AL390" i="1"/>
  <c r="AB8" i="11" s="1"/>
  <c r="AM390" i="1"/>
  <c r="AL262" i="1"/>
  <c r="AM262" i="1"/>
  <c r="AL149" i="1"/>
  <c r="AM149" i="1"/>
  <c r="AL37" i="1"/>
  <c r="C23" i="11"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N9" i="11" s="1"/>
  <c r="AM703" i="1"/>
  <c r="AL687" i="1"/>
  <c r="AE12" i="11" s="1"/>
  <c r="AM687" i="1"/>
  <c r="AL671" i="1"/>
  <c r="AM671" i="1"/>
  <c r="AL655" i="1"/>
  <c r="AM655" i="1"/>
  <c r="AL639" i="1"/>
  <c r="AM639" i="1"/>
  <c r="AL623" i="1"/>
  <c r="AM623" i="1"/>
  <c r="AL607" i="1"/>
  <c r="Y13" i="11" s="1"/>
  <c r="AM607" i="1"/>
  <c r="AL591" i="1"/>
  <c r="AM591" i="1"/>
  <c r="AL575" i="1"/>
  <c r="AM575" i="1"/>
  <c r="AL559" i="1"/>
  <c r="AM559" i="1"/>
  <c r="AL543" i="1"/>
  <c r="Y5" i="11" s="1"/>
  <c r="AM543" i="1"/>
  <c r="AL495" i="1"/>
  <c r="M9" i="11" s="1"/>
  <c r="AM495" i="1"/>
  <c r="AL479" i="1"/>
  <c r="AM479" i="1"/>
  <c r="AL463" i="1"/>
  <c r="AM463" i="1"/>
  <c r="AL447" i="1"/>
  <c r="AD2" i="11" s="1"/>
  <c r="AM447" i="1"/>
  <c r="AL431" i="1"/>
  <c r="AM431" i="1"/>
  <c r="G29" i="11" s="1"/>
  <c r="AL415" i="1"/>
  <c r="AF7" i="11" s="1"/>
  <c r="AM415" i="1"/>
  <c r="AL399" i="1"/>
  <c r="AA11" i="11" s="1"/>
  <c r="AM399" i="1"/>
  <c r="AL383" i="1"/>
  <c r="O23" i="11" s="1"/>
  <c r="AM383" i="1"/>
  <c r="AL366" i="1"/>
  <c r="AA8" i="11" s="1"/>
  <c r="AM366" i="1"/>
  <c r="AL350" i="1"/>
  <c r="AM350" i="1"/>
  <c r="AL334" i="1"/>
  <c r="AM334" i="1"/>
  <c r="V4" i="11" s="1"/>
  <c r="AL318" i="1"/>
  <c r="AM318" i="1"/>
  <c r="AL302" i="1"/>
  <c r="AM302" i="1"/>
  <c r="V8" i="11" s="1"/>
  <c r="AL286" i="1"/>
  <c r="AM286" i="1"/>
  <c r="AL270" i="1"/>
  <c r="AM270" i="1"/>
  <c r="AL254" i="1"/>
  <c r="AM254" i="1"/>
  <c r="AL238" i="1"/>
  <c r="T7" i="11" s="1"/>
  <c r="AM238" i="1"/>
  <c r="AL222" i="1"/>
  <c r="AM222" i="1"/>
  <c r="AL206" i="1"/>
  <c r="AM206" i="1"/>
  <c r="AL190" i="1"/>
  <c r="AM190" i="1"/>
  <c r="AL174" i="1"/>
  <c r="AM174" i="1"/>
  <c r="AL158" i="1"/>
  <c r="AB17" i="11" s="1"/>
  <c r="AM158" i="1"/>
  <c r="AL142" i="1"/>
  <c r="AM142" i="1"/>
  <c r="AL126" i="1"/>
  <c r="E16" i="11" s="1"/>
  <c r="AM126" i="1"/>
  <c r="AL110" i="1"/>
  <c r="AM110" i="1"/>
  <c r="AL94" i="1"/>
  <c r="AM94" i="1"/>
  <c r="AL78" i="1"/>
  <c r="AM78" i="1"/>
  <c r="AL62" i="1"/>
  <c r="B16" i="11" s="1"/>
  <c r="AM62" i="1"/>
  <c r="AL46" i="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H4" i="11" s="1"/>
  <c r="AM237" i="1"/>
  <c r="AL189" i="1"/>
  <c r="AM189" i="1"/>
  <c r="AL109" i="1"/>
  <c r="I5" i="11" s="1"/>
  <c r="AM109" i="1"/>
  <c r="AL29" i="1"/>
  <c r="AD31" i="11" s="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U7" i="11" s="1"/>
  <c r="AM733" i="1"/>
  <c r="AL717" i="1"/>
  <c r="AM717" i="1"/>
  <c r="AL701" i="1"/>
  <c r="AM701" i="1"/>
  <c r="AL685" i="1"/>
  <c r="AM685" i="1"/>
  <c r="AL669" i="1"/>
  <c r="AM669" i="1"/>
  <c r="AL653" i="1"/>
  <c r="J11" i="11" s="1"/>
  <c r="AM653" i="1"/>
  <c r="AL637" i="1"/>
  <c r="AM637" i="1"/>
  <c r="AL621" i="1"/>
  <c r="AM621" i="1"/>
  <c r="AL605" i="1"/>
  <c r="AM605" i="1"/>
  <c r="AL589" i="1"/>
  <c r="AM589" i="1"/>
  <c r="AL573" i="1"/>
  <c r="AM573" i="1"/>
  <c r="AL557" i="1"/>
  <c r="H7" i="11" s="1"/>
  <c r="AM557" i="1"/>
  <c r="AL541" i="1"/>
  <c r="AM541" i="1"/>
  <c r="AL509" i="1"/>
  <c r="AB23" i="11" s="1"/>
  <c r="AM509" i="1"/>
  <c r="AL493" i="1"/>
  <c r="AM493" i="1"/>
  <c r="AL477" i="1"/>
  <c r="AM477" i="1"/>
  <c r="E22" i="11" s="1"/>
  <c r="AL461" i="1"/>
  <c r="AG2" i="11" s="1"/>
  <c r="AM461" i="1"/>
  <c r="AL445" i="1"/>
  <c r="AM445" i="1"/>
  <c r="AL429" i="1"/>
  <c r="J17" i="11" s="1"/>
  <c r="AM429" i="1"/>
  <c r="AL413" i="1"/>
  <c r="AD14" i="11" s="1"/>
  <c r="AM413" i="1"/>
  <c r="AL397" i="1"/>
  <c r="AM397" i="1"/>
  <c r="AL381" i="1"/>
  <c r="AM381" i="1"/>
  <c r="AM364" i="1"/>
  <c r="AL364" i="1"/>
  <c r="W22" i="11" s="1"/>
  <c r="AM348" i="1"/>
  <c r="AL348" i="1"/>
  <c r="AD16" i="11" s="1"/>
  <c r="AM332" i="1"/>
  <c r="AL332" i="1"/>
  <c r="AM316" i="1"/>
  <c r="AL316" i="1"/>
  <c r="C22" i="11" s="1"/>
  <c r="AM300" i="1"/>
  <c r="AL300" i="1"/>
  <c r="AM284" i="1"/>
  <c r="AB5" i="11" s="1"/>
  <c r="AL284" i="1"/>
  <c r="AM268" i="1"/>
  <c r="AL268" i="1"/>
  <c r="AM252" i="1"/>
  <c r="AL252" i="1"/>
  <c r="AM236" i="1"/>
  <c r="AL236" i="1"/>
  <c r="E19" i="11" s="1"/>
  <c r="AL220" i="1"/>
  <c r="AM220" i="1"/>
  <c r="AM204" i="1"/>
  <c r="AL204" i="1"/>
  <c r="AM188" i="1"/>
  <c r="AL188" i="1"/>
  <c r="Q32" i="11" s="1"/>
  <c r="AL172" i="1"/>
  <c r="V31" i="11" s="1"/>
  <c r="AM172" i="1"/>
  <c r="AM156" i="1"/>
  <c r="AL156" i="1"/>
  <c r="AM140" i="1"/>
  <c r="AD23" i="11" s="1"/>
  <c r="AL140" i="1"/>
  <c r="AL124" i="1"/>
  <c r="AM124" i="1"/>
  <c r="AL107" i="1"/>
  <c r="AM107" i="1"/>
  <c r="AM92" i="1"/>
  <c r="AL92" i="1"/>
  <c r="B5" i="11" s="1"/>
  <c r="AM76" i="1"/>
  <c r="AL76" i="1"/>
  <c r="AM60" i="1"/>
  <c r="AL60" i="1"/>
  <c r="AG5" i="11" s="1"/>
  <c r="AM44" i="1"/>
  <c r="AL44" i="1"/>
  <c r="AM28" i="1"/>
  <c r="AL28" i="1"/>
  <c r="AL12" i="1"/>
  <c r="AM12" i="1"/>
  <c r="AL1262" i="1"/>
  <c r="AM1262" i="1"/>
  <c r="AL1150" i="1"/>
  <c r="AM1150" i="1"/>
  <c r="AL1038" i="1"/>
  <c r="AM1038" i="1"/>
  <c r="AM910" i="1"/>
  <c r="AL910" i="1"/>
  <c r="AL782" i="1"/>
  <c r="AM782" i="1"/>
  <c r="AG31" i="11" s="1"/>
  <c r="AM654" i="1"/>
  <c r="AC16" i="11" s="1"/>
  <c r="AL654" i="1"/>
  <c r="AM542" i="1"/>
  <c r="AL542" i="1"/>
  <c r="AL430" i="1"/>
  <c r="AM430" i="1"/>
  <c r="AL333" i="1"/>
  <c r="G27" i="11" s="1"/>
  <c r="AM333" i="1"/>
  <c r="AL221" i="1"/>
  <c r="AM221" i="1"/>
  <c r="M7" i="11" s="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AL764" i="1"/>
  <c r="AM764" i="1"/>
  <c r="AL748" i="1"/>
  <c r="J18" i="11" s="1"/>
  <c r="AM748" i="1"/>
  <c r="AL732" i="1"/>
  <c r="AM732" i="1"/>
  <c r="AL716" i="1"/>
  <c r="AM716" i="1"/>
  <c r="AL697" i="1"/>
  <c r="AM697" i="1"/>
  <c r="AL684" i="1"/>
  <c r="I22" i="11" s="1"/>
  <c r="AM684" i="1"/>
  <c r="AL668" i="1"/>
  <c r="AM668" i="1"/>
  <c r="AL652" i="1"/>
  <c r="Y8" i="11" s="1"/>
  <c r="AM652" i="1"/>
  <c r="AL636" i="1"/>
  <c r="AM636" i="1"/>
  <c r="AL620" i="1"/>
  <c r="AM620" i="1"/>
  <c r="AL604" i="1"/>
  <c r="E20" i="11" s="1"/>
  <c r="AM604" i="1"/>
  <c r="AL588" i="1"/>
  <c r="AM588" i="1"/>
  <c r="AL572" i="1"/>
  <c r="AM572" i="1"/>
  <c r="AL556" i="1"/>
  <c r="AM556" i="1"/>
  <c r="AL540" i="1"/>
  <c r="AM540" i="1"/>
  <c r="AM508" i="1"/>
  <c r="AL508" i="1"/>
  <c r="AM492" i="1"/>
  <c r="AL492" i="1"/>
  <c r="AL476" i="1"/>
  <c r="T10" i="11" s="1"/>
  <c r="AM476" i="1"/>
  <c r="AM460" i="1"/>
  <c r="AL460" i="1"/>
  <c r="AM444" i="1"/>
  <c r="AL444" i="1"/>
  <c r="L3" i="11" s="1"/>
  <c r="AL428" i="1"/>
  <c r="AM428" i="1"/>
  <c r="P27" i="11" s="1"/>
  <c r="AM412" i="1"/>
  <c r="Q27" i="11" s="1"/>
  <c r="AL412" i="1"/>
  <c r="AM396" i="1"/>
  <c r="AL396" i="1"/>
  <c r="AG10" i="11" s="1"/>
  <c r="AL380" i="1"/>
  <c r="AF33" i="11" s="1"/>
  <c r="AM380" i="1"/>
  <c r="AL363" i="1"/>
  <c r="G31" i="11" s="1"/>
  <c r="AM363" i="1"/>
  <c r="AL347" i="1"/>
  <c r="AM347" i="1"/>
  <c r="AL331" i="1"/>
  <c r="AM331" i="1"/>
  <c r="AL315" i="1"/>
  <c r="AM315" i="1"/>
  <c r="AC10" i="11" s="1"/>
  <c r="AL299" i="1"/>
  <c r="AM299" i="1"/>
  <c r="AL283" i="1"/>
  <c r="M12" i="11" s="1"/>
  <c r="AM283" i="1"/>
  <c r="AL267" i="1"/>
  <c r="AM267" i="1"/>
  <c r="U8" i="11" s="1"/>
  <c r="AL251" i="1"/>
  <c r="D21" i="11" s="1"/>
  <c r="AM251" i="1"/>
  <c r="AL235" i="1"/>
  <c r="K18" i="11" s="1"/>
  <c r="AM235" i="1"/>
  <c r="AL219" i="1"/>
  <c r="AM219" i="1"/>
  <c r="AL203" i="1"/>
  <c r="AM203" i="1"/>
  <c r="AL187" i="1"/>
  <c r="AM187" i="1"/>
  <c r="U22" i="11" s="1"/>
  <c r="AL171" i="1"/>
  <c r="AM171" i="1"/>
  <c r="AL153" i="1"/>
  <c r="AM153" i="1"/>
  <c r="AL139" i="1"/>
  <c r="AM139" i="1"/>
  <c r="AL123" i="1"/>
  <c r="D24" i="11" s="1"/>
  <c r="AM123" i="1"/>
  <c r="AL104" i="1"/>
  <c r="C24" i="11" s="1"/>
  <c r="AM104" i="1"/>
  <c r="AL91" i="1"/>
  <c r="AM91" i="1"/>
  <c r="AL75" i="1"/>
  <c r="AM75" i="1"/>
  <c r="AL59" i="1"/>
  <c r="AM59" i="1"/>
  <c r="AL43" i="1"/>
  <c r="AM43" i="1"/>
  <c r="AL27" i="1"/>
  <c r="AA29" i="11" s="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B6" i="11" s="1"/>
  <c r="AM686" i="1"/>
  <c r="AL638" i="1"/>
  <c r="AM638" i="1"/>
  <c r="AL574" i="1"/>
  <c r="AM574" i="1"/>
  <c r="V32" i="11" s="1"/>
  <c r="AL478" i="1"/>
  <c r="M23" i="11" s="1"/>
  <c r="AM478" i="1"/>
  <c r="AL414" i="1"/>
  <c r="AM414" i="1"/>
  <c r="AL365" i="1"/>
  <c r="M10" i="11" s="1"/>
  <c r="AM365" i="1"/>
  <c r="AL317" i="1"/>
  <c r="AM317" i="1"/>
  <c r="AL253" i="1"/>
  <c r="F19" i="11" s="1"/>
  <c r="AM253" i="1"/>
  <c r="AL205" i="1"/>
  <c r="B8" i="11" s="1"/>
  <c r="AM205" i="1"/>
  <c r="AL157" i="1"/>
  <c r="AM157" i="1"/>
  <c r="AL93" i="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D27" i="11" s="1"/>
  <c r="AM779" i="1"/>
  <c r="AL763" i="1"/>
  <c r="AM763" i="1"/>
  <c r="AL747" i="1"/>
  <c r="AM747" i="1"/>
  <c r="AL731" i="1"/>
  <c r="AM731" i="1"/>
  <c r="AL715" i="1"/>
  <c r="AM715" i="1"/>
  <c r="AL700" i="1"/>
  <c r="AM700" i="1"/>
  <c r="AL683" i="1"/>
  <c r="AM683" i="1"/>
  <c r="AL667" i="1"/>
  <c r="AM667" i="1"/>
  <c r="AL651" i="1"/>
  <c r="AM651" i="1"/>
  <c r="AL635" i="1"/>
  <c r="Z21" i="11" s="1"/>
  <c r="AM635" i="1"/>
  <c r="AL619" i="1"/>
  <c r="O31" i="11" s="1"/>
  <c r="AM619" i="1"/>
  <c r="AL603" i="1"/>
  <c r="AM603" i="1"/>
  <c r="AL587" i="1"/>
  <c r="AM587" i="1"/>
  <c r="AL571" i="1"/>
  <c r="E4" i="11" s="1"/>
  <c r="AM571" i="1"/>
  <c r="AL555" i="1"/>
  <c r="AM555" i="1"/>
  <c r="R14" i="11" s="1"/>
  <c r="AL539" i="1"/>
  <c r="H31" i="11" s="1"/>
  <c r="AM539" i="1"/>
  <c r="AL507" i="1"/>
  <c r="AM507" i="1"/>
  <c r="AL491" i="1"/>
  <c r="AM491" i="1"/>
  <c r="AL475" i="1"/>
  <c r="AM475" i="1"/>
  <c r="AL459" i="1"/>
  <c r="AM459" i="1"/>
  <c r="AL443" i="1"/>
  <c r="AM443" i="1"/>
  <c r="P23" i="11" s="1"/>
  <c r="AL427" i="1"/>
  <c r="AM427" i="1"/>
  <c r="AL411" i="1"/>
  <c r="AM411" i="1"/>
  <c r="L5" i="11" s="1"/>
  <c r="AL395" i="1"/>
  <c r="V20" i="11" s="1"/>
  <c r="AM395" i="1"/>
  <c r="AL379" i="1"/>
  <c r="AC18" i="11" s="1"/>
  <c r="AM379" i="1"/>
  <c r="AM362" i="1"/>
  <c r="AL362" i="1"/>
  <c r="AM346" i="1"/>
  <c r="AL346" i="1"/>
  <c r="AM330" i="1"/>
  <c r="AL330" i="1"/>
  <c r="S18" i="11" s="1"/>
  <c r="AM314" i="1"/>
  <c r="AL314" i="1"/>
  <c r="O7" i="11" s="1"/>
  <c r="AM298" i="1"/>
  <c r="AL298" i="1"/>
  <c r="AM282" i="1"/>
  <c r="AL282" i="1"/>
  <c r="R31" i="11" s="1"/>
  <c r="AM266" i="1"/>
  <c r="AL266" i="1"/>
  <c r="AM250" i="1"/>
  <c r="AL250" i="1"/>
  <c r="AM234" i="1"/>
  <c r="P14" i="11" s="1"/>
  <c r="AL234" i="1"/>
  <c r="AM218" i="1"/>
  <c r="AL218" i="1"/>
  <c r="AM202" i="1"/>
  <c r="AL202" i="1"/>
  <c r="M5" i="11" s="1"/>
  <c r="AM186" i="1"/>
  <c r="AL186" i="1"/>
  <c r="AL170" i="1"/>
  <c r="L29" i="11" s="1"/>
  <c r="AM170" i="1"/>
  <c r="AL155" i="1"/>
  <c r="AM155" i="1"/>
  <c r="M24" i="11" s="1"/>
  <c r="AM138" i="1"/>
  <c r="D28" i="11" s="1"/>
  <c r="AL138" i="1"/>
  <c r="AM122" i="1"/>
  <c r="AL122" i="1"/>
  <c r="AM106" i="1"/>
  <c r="AL106" i="1"/>
  <c r="AM90" i="1"/>
  <c r="AL90" i="1"/>
  <c r="AL74" i="1"/>
  <c r="AM74" i="1"/>
  <c r="AL58" i="1"/>
  <c r="AM58" i="1"/>
  <c r="W4" i="11" s="1"/>
  <c r="AM42" i="1"/>
  <c r="AL42" i="1"/>
  <c r="AM26" i="1"/>
  <c r="AL26" i="1"/>
  <c r="Z5" i="11" s="1"/>
  <c r="AL10" i="1"/>
  <c r="D17" i="11" s="1"/>
  <c r="AM10" i="1"/>
  <c r="AL1310" i="1"/>
  <c r="AM1310" i="1"/>
  <c r="AL1198" i="1"/>
  <c r="AM1198" i="1"/>
  <c r="AL1084" i="1"/>
  <c r="AM1084" i="1"/>
  <c r="AM958" i="1"/>
  <c r="AL958" i="1"/>
  <c r="AM846" i="1"/>
  <c r="AL846" i="1"/>
  <c r="AL718" i="1"/>
  <c r="AM718" i="1"/>
  <c r="AM590" i="1"/>
  <c r="AL590" i="1"/>
  <c r="F16" i="11" s="1"/>
  <c r="AL462" i="1"/>
  <c r="AM462" i="1"/>
  <c r="AL301" i="1"/>
  <c r="C21" i="11" s="1"/>
  <c r="AM301" i="1"/>
  <c r="AL141" i="1"/>
  <c r="K31" i="11" s="1"/>
  <c r="AM141" i="1"/>
  <c r="O515" i="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C5" i="11" s="1"/>
  <c r="AL746" i="1"/>
  <c r="AM746" i="1"/>
  <c r="AL730" i="1"/>
  <c r="V19" i="11" s="1"/>
  <c r="AM730" i="1"/>
  <c r="AL714" i="1"/>
  <c r="AM714" i="1"/>
  <c r="W21" i="11" s="1"/>
  <c r="AL699" i="1"/>
  <c r="AM699" i="1"/>
  <c r="B25" i="11" s="1"/>
  <c r="AL682" i="1"/>
  <c r="AM682" i="1"/>
  <c r="AL666" i="1"/>
  <c r="AM666" i="1"/>
  <c r="AL650" i="1"/>
  <c r="B3" i="11" s="1"/>
  <c r="AM650" i="1"/>
  <c r="AL634" i="1"/>
  <c r="AM634" i="1"/>
  <c r="AL618" i="1"/>
  <c r="AM618" i="1"/>
  <c r="AD10" i="11" s="1"/>
  <c r="AL602" i="1"/>
  <c r="C8" i="11" s="1"/>
  <c r="AM602" i="1"/>
  <c r="AL579" i="1"/>
  <c r="AM579" i="1"/>
  <c r="AL570" i="1"/>
  <c r="AM570" i="1"/>
  <c r="AL554" i="1"/>
  <c r="AM554" i="1"/>
  <c r="AL538" i="1"/>
  <c r="AM538" i="1"/>
  <c r="AM506" i="1"/>
  <c r="AL506" i="1"/>
  <c r="AM490" i="1"/>
  <c r="AL490" i="1"/>
  <c r="F32" i="11" s="1"/>
  <c r="AM474" i="1"/>
  <c r="AL474" i="1"/>
  <c r="AM458" i="1"/>
  <c r="AC6" i="11" s="1"/>
  <c r="AL458" i="1"/>
  <c r="AM442" i="1"/>
  <c r="AL442" i="1"/>
  <c r="T11" i="11" s="1"/>
  <c r="AL426" i="1"/>
  <c r="AM426" i="1"/>
  <c r="AM410" i="1"/>
  <c r="AL410" i="1"/>
  <c r="AM394" i="1"/>
  <c r="AL394" i="1"/>
  <c r="AM378" i="1"/>
  <c r="AL378" i="1"/>
  <c r="AL361" i="1"/>
  <c r="AM361" i="1"/>
  <c r="AL345" i="1"/>
  <c r="AM345" i="1"/>
  <c r="AL329" i="1"/>
  <c r="AM329" i="1"/>
  <c r="AL313" i="1"/>
  <c r="AM313" i="1"/>
  <c r="AL297" i="1"/>
  <c r="AM297" i="1"/>
  <c r="AF24" i="11" s="1"/>
  <c r="AL281" i="1"/>
  <c r="AM281" i="1"/>
  <c r="G24" i="11" s="1"/>
  <c r="AL265" i="1"/>
  <c r="AM265" i="1"/>
  <c r="AD13" i="11" s="1"/>
  <c r="AL248" i="1"/>
  <c r="AM248" i="1"/>
  <c r="AL233" i="1"/>
  <c r="AM233" i="1"/>
  <c r="AL217" i="1"/>
  <c r="AM217" i="1"/>
  <c r="AL201" i="1"/>
  <c r="O32" i="11" s="1"/>
  <c r="AM201" i="1"/>
  <c r="AL185" i="1"/>
  <c r="AM185" i="1"/>
  <c r="AL169" i="1"/>
  <c r="AM169" i="1"/>
  <c r="AM154" i="1"/>
  <c r="AL154" i="1"/>
  <c r="U2" i="11" s="1"/>
  <c r="AL137" i="1"/>
  <c r="AM137" i="1"/>
  <c r="AL121" i="1"/>
  <c r="T21" i="11" s="1"/>
  <c r="AM121" i="1"/>
  <c r="AL105" i="1"/>
  <c r="AM105" i="1"/>
  <c r="R4" i="11" s="1"/>
  <c r="AL89" i="1"/>
  <c r="AM89" i="1"/>
  <c r="C6" i="11" s="1"/>
  <c r="AL73" i="1"/>
  <c r="F23" i="11" s="1"/>
  <c r="AM73" i="1"/>
  <c r="AL57" i="1"/>
  <c r="AM57" i="1"/>
  <c r="AL41" i="1"/>
  <c r="AM41" i="1"/>
  <c r="F12" i="11" s="1"/>
  <c r="AL25" i="1"/>
  <c r="AM25" i="1"/>
  <c r="AL9" i="1"/>
  <c r="AM9" i="1"/>
  <c r="AL1246" i="1"/>
  <c r="AM1246" i="1"/>
  <c r="AL1134" i="1"/>
  <c r="AM1134" i="1"/>
  <c r="AM1006" i="1"/>
  <c r="AL1006" i="1"/>
  <c r="AM862" i="1"/>
  <c r="AL862" i="1"/>
  <c r="AL734" i="1"/>
  <c r="AM734" i="1"/>
  <c r="I10" i="11" s="1"/>
  <c r="AM606" i="1"/>
  <c r="AL606" i="1"/>
  <c r="V26" i="11" s="1"/>
  <c r="AL494" i="1"/>
  <c r="AM494" i="1"/>
  <c r="AL382" i="1"/>
  <c r="AM382" i="1"/>
  <c r="AL269" i="1"/>
  <c r="S24" i="11" s="1"/>
  <c r="AM269" i="1"/>
  <c r="AL173" i="1"/>
  <c r="AM173" i="1"/>
  <c r="AL77" i="1"/>
  <c r="AM77" i="1"/>
  <c r="AF31" i="11" s="1"/>
  <c r="AL13" i="1"/>
  <c r="Z30" i="11" s="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N25" i="11" s="1"/>
  <c r="AM681" i="1"/>
  <c r="AL665" i="1"/>
  <c r="AM665" i="1"/>
  <c r="U9" i="11" s="1"/>
  <c r="AL649" i="1"/>
  <c r="AM649" i="1"/>
  <c r="AL633" i="1"/>
  <c r="AM633" i="1"/>
  <c r="D6" i="11" s="1"/>
  <c r="AL617" i="1"/>
  <c r="AM617" i="1"/>
  <c r="AL601" i="1"/>
  <c r="G23" i="11" s="1"/>
  <c r="AM601" i="1"/>
  <c r="AL586" i="1"/>
  <c r="AM586" i="1"/>
  <c r="AL569" i="1"/>
  <c r="AM569" i="1"/>
  <c r="AL553" i="1"/>
  <c r="AM553" i="1"/>
  <c r="AL505" i="1"/>
  <c r="AM505" i="1"/>
  <c r="Y10" i="11" s="1"/>
  <c r="AL489" i="1"/>
  <c r="AM489" i="1"/>
  <c r="AL473" i="1"/>
  <c r="AM473" i="1"/>
  <c r="AL457" i="1"/>
  <c r="AM457" i="1"/>
  <c r="O8" i="11" s="1"/>
  <c r="AL441" i="1"/>
  <c r="Q19" i="11" s="1"/>
  <c r="AM441" i="1"/>
  <c r="AL425" i="1"/>
  <c r="AM425" i="1"/>
  <c r="AL409" i="1"/>
  <c r="AM409" i="1"/>
  <c r="Z10" i="11" s="1"/>
  <c r="AL393" i="1"/>
  <c r="L17" i="11" s="1"/>
  <c r="AM393" i="1"/>
  <c r="AL377" i="1"/>
  <c r="AM377" i="1"/>
  <c r="AL360" i="1"/>
  <c r="AM360" i="1"/>
  <c r="AL344" i="1"/>
  <c r="AM344" i="1"/>
  <c r="AL328" i="1"/>
  <c r="AM328" i="1"/>
  <c r="P24" i="11" s="1"/>
  <c r="AM312" i="1"/>
  <c r="AL312" i="1"/>
  <c r="AL296" i="1"/>
  <c r="AM296" i="1"/>
  <c r="AL280" i="1"/>
  <c r="AM280" i="1"/>
  <c r="AA23" i="11" s="1"/>
  <c r="AL264" i="1"/>
  <c r="L26" i="11" s="1"/>
  <c r="AM264" i="1"/>
  <c r="AL249" i="1"/>
  <c r="AM249" i="1"/>
  <c r="Q22" i="11" s="1"/>
  <c r="AL232" i="1"/>
  <c r="AM232" i="1"/>
  <c r="AL212" i="1"/>
  <c r="AM212" i="1"/>
  <c r="W32" i="11" s="1"/>
  <c r="AL200" i="1"/>
  <c r="AM200" i="1"/>
  <c r="AL184" i="1"/>
  <c r="N11" i="11" s="1"/>
  <c r="AM184" i="1"/>
  <c r="AM168" i="1"/>
  <c r="AL168" i="1"/>
  <c r="AL152" i="1"/>
  <c r="AM152" i="1"/>
  <c r="AL136" i="1"/>
  <c r="AM136" i="1"/>
  <c r="AL120" i="1"/>
  <c r="AM120" i="1"/>
  <c r="AL103" i="1"/>
  <c r="AM103" i="1"/>
  <c r="Z14" i="11" s="1"/>
  <c r="AL88" i="1"/>
  <c r="AM88" i="1"/>
  <c r="AL72" i="1"/>
  <c r="AM72" i="1"/>
  <c r="AM56" i="1"/>
  <c r="G12" i="11" s="1"/>
  <c r="AL56" i="1"/>
  <c r="AM40" i="1"/>
  <c r="AL40" i="1"/>
  <c r="Q13" i="11" s="1"/>
  <c r="AM24" i="1"/>
  <c r="AL24" i="1"/>
  <c r="H23" i="11" s="1"/>
  <c r="AL8" i="1"/>
  <c r="AD33" i="11" s="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J32" i="11" s="1"/>
  <c r="AL759" i="1"/>
  <c r="AM759" i="1"/>
  <c r="AL744" i="1"/>
  <c r="AM744" i="1"/>
  <c r="AL728" i="1"/>
  <c r="AM728" i="1"/>
  <c r="AL712" i="1"/>
  <c r="AM712" i="1"/>
  <c r="AB29" i="11" s="1"/>
  <c r="AL696" i="1"/>
  <c r="AM696" i="1"/>
  <c r="AL680" i="1"/>
  <c r="AM680" i="1"/>
  <c r="AL664" i="1"/>
  <c r="AM664" i="1"/>
  <c r="AL648" i="1"/>
  <c r="AM648" i="1"/>
  <c r="AL632" i="1"/>
  <c r="AM632" i="1"/>
  <c r="AA9" i="11" s="1"/>
  <c r="AL616" i="1"/>
  <c r="AM616" i="1"/>
  <c r="AL600" i="1"/>
  <c r="AM600" i="1"/>
  <c r="AL585" i="1"/>
  <c r="AM585" i="1"/>
  <c r="AE13" i="11" s="1"/>
  <c r="AL568" i="1"/>
  <c r="AM568" i="1"/>
  <c r="AD29" i="11" s="1"/>
  <c r="AL552" i="1"/>
  <c r="X23" i="11" s="1"/>
  <c r="AM552" i="1"/>
  <c r="AL504" i="1"/>
  <c r="AM504" i="1"/>
  <c r="V14" i="11" s="1"/>
  <c r="AL488" i="1"/>
  <c r="AM488" i="1"/>
  <c r="AL472" i="1"/>
  <c r="AM472" i="1"/>
  <c r="AF3" i="11" s="1"/>
  <c r="AL456" i="1"/>
  <c r="AM456" i="1"/>
  <c r="AL440" i="1"/>
  <c r="AM440" i="1"/>
  <c r="AM424" i="1"/>
  <c r="AL424" i="1"/>
  <c r="H19" i="11" s="1"/>
  <c r="AL408" i="1"/>
  <c r="AM408" i="1"/>
  <c r="N33" i="11" s="1"/>
  <c r="AL392" i="1"/>
  <c r="J19" i="11" s="1"/>
  <c r="AM392" i="1"/>
  <c r="AL375" i="1"/>
  <c r="AM375" i="1"/>
  <c r="AL359" i="1"/>
  <c r="AM359" i="1"/>
  <c r="AL343" i="1"/>
  <c r="AM343" i="1"/>
  <c r="AL327" i="1"/>
  <c r="AM327" i="1"/>
  <c r="L32" i="11" s="1"/>
  <c r="AL311" i="1"/>
  <c r="T18" i="11" s="1"/>
  <c r="AM311" i="1"/>
  <c r="AL295" i="1"/>
  <c r="AM295" i="1"/>
  <c r="AL279" i="1"/>
  <c r="AM279" i="1"/>
  <c r="AM259" i="1"/>
  <c r="AL259" i="1"/>
  <c r="AL247" i="1"/>
  <c r="AM247" i="1"/>
  <c r="AL231" i="1"/>
  <c r="AM231" i="1"/>
  <c r="Y15" i="11" s="1"/>
  <c r="AL216" i="1"/>
  <c r="AM216" i="1"/>
  <c r="AL199" i="1"/>
  <c r="AM199" i="1"/>
  <c r="AL183" i="1"/>
  <c r="O33" i="11" s="1"/>
  <c r="AM183" i="1"/>
  <c r="AL167" i="1"/>
  <c r="AM167" i="1"/>
  <c r="Z18" i="11" s="1"/>
  <c r="AL151" i="1"/>
  <c r="AM151" i="1"/>
  <c r="F30" i="11" s="1"/>
  <c r="AL135" i="1"/>
  <c r="H24" i="11" s="1"/>
  <c r="AM135" i="1"/>
  <c r="AL119" i="1"/>
  <c r="AM119" i="1"/>
  <c r="AM108" i="1"/>
  <c r="AL108" i="1"/>
  <c r="F11" i="11" s="1"/>
  <c r="AL87" i="1"/>
  <c r="AM87" i="1"/>
  <c r="AL71" i="1"/>
  <c r="AM71" i="1"/>
  <c r="AL55" i="1"/>
  <c r="N6" i="11" s="1"/>
  <c r="AM55" i="1"/>
  <c r="AL39" i="1"/>
  <c r="AM39" i="1"/>
  <c r="AL23" i="1"/>
  <c r="AM23" i="1"/>
  <c r="AL7" i="1"/>
  <c r="P10" i="11" s="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T26" i="11" s="1"/>
  <c r="AM760" i="1"/>
  <c r="AM743" i="1"/>
  <c r="AL743" i="1"/>
  <c r="K13" i="11" s="1"/>
  <c r="AM727" i="1"/>
  <c r="AL727" i="1"/>
  <c r="AC2" i="11" s="1"/>
  <c r="AL711" i="1"/>
  <c r="AF2" i="11" s="1"/>
  <c r="AM711" i="1"/>
  <c r="AM695" i="1"/>
  <c r="AL695" i="1"/>
  <c r="AG12" i="11" s="1"/>
  <c r="AM679" i="1"/>
  <c r="AL679" i="1"/>
  <c r="AL663" i="1"/>
  <c r="O2" i="11" s="1"/>
  <c r="AM663" i="1"/>
  <c r="AL646" i="1"/>
  <c r="W33" i="11" s="1"/>
  <c r="AM646" i="1"/>
  <c r="AM631" i="1"/>
  <c r="AF5" i="11" s="1"/>
  <c r="AL631" i="1"/>
  <c r="AM615" i="1"/>
  <c r="AL615" i="1"/>
  <c r="F8" i="11" s="1"/>
  <c r="AM599" i="1"/>
  <c r="AL599" i="1"/>
  <c r="AM583" i="1"/>
  <c r="AL583" i="1"/>
  <c r="AM567" i="1"/>
  <c r="AL567" i="1"/>
  <c r="G9" i="11" s="1"/>
  <c r="AM551" i="1"/>
  <c r="AL551" i="1"/>
  <c r="AL503" i="1"/>
  <c r="O20" i="11" s="1"/>
  <c r="AM503" i="1"/>
  <c r="AL487" i="1"/>
  <c r="C29" i="11" s="1"/>
  <c r="AM487" i="1"/>
  <c r="AL471" i="1"/>
  <c r="K16" i="11" s="1"/>
  <c r="AM471" i="1"/>
  <c r="AL455" i="1"/>
  <c r="AM455" i="1"/>
  <c r="AF4" i="11" s="1"/>
  <c r="AL439" i="1"/>
  <c r="AM439" i="1"/>
  <c r="AL423" i="1"/>
  <c r="V24" i="11" s="1"/>
  <c r="AM423" i="1"/>
  <c r="AL407" i="1"/>
  <c r="AM407" i="1"/>
  <c r="AL391" i="1"/>
  <c r="AM391" i="1"/>
  <c r="AL376" i="1"/>
  <c r="I17" i="11" s="1"/>
  <c r="AM376" i="1"/>
  <c r="AL358" i="1"/>
  <c r="N23" i="11" s="1"/>
  <c r="AM358" i="1"/>
  <c r="AL342" i="1"/>
  <c r="AM342" i="1"/>
  <c r="AL326" i="1"/>
  <c r="AM326" i="1"/>
  <c r="AL310" i="1"/>
  <c r="AM310" i="1"/>
  <c r="AL294" i="1"/>
  <c r="P25" i="11" s="1"/>
  <c r="AM294" i="1"/>
  <c r="AL278" i="1"/>
  <c r="AM278" i="1"/>
  <c r="AL263" i="1"/>
  <c r="V7" i="11" s="1"/>
  <c r="AM263" i="1"/>
  <c r="AL246" i="1"/>
  <c r="I18" i="11" s="1"/>
  <c r="AM246" i="1"/>
  <c r="AL230" i="1"/>
  <c r="AM230" i="1"/>
  <c r="AL215" i="1"/>
  <c r="V27" i="11" s="1"/>
  <c r="AM215" i="1"/>
  <c r="AL198" i="1"/>
  <c r="AM198" i="1"/>
  <c r="C30" i="11" s="1"/>
  <c r="AL182" i="1"/>
  <c r="AM182" i="1"/>
  <c r="AL166" i="1"/>
  <c r="Y30" i="11" s="1"/>
  <c r="AM166" i="1"/>
  <c r="AL150" i="1"/>
  <c r="AM150" i="1"/>
  <c r="AL134" i="1"/>
  <c r="L10" i="11" s="1"/>
  <c r="AM134" i="1"/>
  <c r="AL118" i="1"/>
  <c r="F17" i="11" s="1"/>
  <c r="AM118" i="1"/>
  <c r="AL102" i="1"/>
  <c r="J8" i="11" s="1"/>
  <c r="AM102" i="1"/>
  <c r="AL86" i="1"/>
  <c r="O18" i="11" s="1"/>
  <c r="AM86" i="1"/>
  <c r="AM70" i="1"/>
  <c r="AL70" i="1"/>
  <c r="O21" i="11" s="1"/>
  <c r="AM54" i="1"/>
  <c r="AL54" i="1"/>
  <c r="AM38" i="1"/>
  <c r="AL38" i="1"/>
  <c r="AM22" i="1"/>
  <c r="AL22" i="1"/>
  <c r="R32" i="11" s="1"/>
  <c r="AL6" i="1"/>
  <c r="AC26" i="11" s="1"/>
  <c r="AM6" i="1"/>
  <c r="AL373" i="1"/>
  <c r="G6" i="11" s="1"/>
  <c r="AM536" i="1"/>
  <c r="AL536" i="1"/>
  <c r="T24" i="11" s="1"/>
  <c r="AL537" i="1"/>
  <c r="AM537" i="1"/>
  <c r="AL535" i="1"/>
  <c r="AM535" i="1"/>
  <c r="AM534" i="1"/>
  <c r="AL534" i="1"/>
  <c r="AL533" i="1"/>
  <c r="AM533" i="1"/>
  <c r="AA26" i="11" s="1"/>
  <c r="AL530" i="1"/>
  <c r="AM530" i="1"/>
  <c r="AM532" i="1"/>
  <c r="G4" i="11" s="1"/>
  <c r="AL532" i="1"/>
  <c r="AM531" i="1"/>
  <c r="AL531" i="1"/>
  <c r="AM529" i="1"/>
  <c r="AL529" i="1"/>
  <c r="B11" i="11" s="1"/>
  <c r="AM528" i="1"/>
  <c r="AL528" i="1"/>
  <c r="M16" i="11" s="1"/>
  <c r="AL527" i="1"/>
  <c r="AM527" i="1"/>
  <c r="AM526" i="1"/>
  <c r="AL526" i="1"/>
  <c r="AM525" i="1"/>
  <c r="AL525" i="1"/>
  <c r="AC15" i="11" s="1"/>
  <c r="AM522" i="1"/>
  <c r="AL522" i="1"/>
  <c r="AL524" i="1"/>
  <c r="AB30" i="11" s="1"/>
  <c r="AM524" i="1"/>
  <c r="AM519" i="1"/>
  <c r="AL519" i="1"/>
  <c r="C31" i="11" s="1"/>
  <c r="AL523" i="1"/>
  <c r="AM523" i="1"/>
  <c r="AM521" i="1"/>
  <c r="AL521" i="1"/>
  <c r="I8" i="11" s="1"/>
  <c r="AM520" i="1"/>
  <c r="AL520" i="1"/>
  <c r="D26" i="11" s="1"/>
  <c r="AM518" i="1"/>
  <c r="AL518" i="1"/>
  <c r="AM517" i="1"/>
  <c r="AL517" i="1"/>
  <c r="N24" i="11" s="1"/>
  <c r="AM516" i="1"/>
  <c r="AL516" i="1"/>
  <c r="S20" i="11" s="1"/>
  <c r="AL515" i="1"/>
  <c r="W5" i="11" s="1"/>
  <c r="AM515" i="1"/>
  <c r="AM514" i="1"/>
  <c r="AL514" i="1"/>
  <c r="AM513" i="1"/>
  <c r="AL513" i="1"/>
  <c r="B17" i="11" s="1"/>
  <c r="AM512" i="1"/>
  <c r="AL512" i="1"/>
  <c r="P8" i="11" s="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O435" i="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35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389"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515"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67"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38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92"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44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361"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5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54"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435" i="1"/>
  <c r="AC369"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38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451" i="1"/>
  <c r="AC361"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K16" i="7" s="1"/>
  <c r="AA12" i="1"/>
  <c r="AB12" i="1"/>
  <c r="Z6" i="1"/>
  <c r="AA6" i="1"/>
  <c r="AB6" i="1"/>
  <c r="I3" i="7" s="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J30" i="7" s="1"/>
  <c r="Z5" i="1"/>
  <c r="AA5" i="1"/>
  <c r="AB5" i="1"/>
  <c r="K31" i="7" s="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K9" i="6" s="1"/>
  <c r="Z10" i="1"/>
  <c r="AA10" i="1"/>
  <c r="AB10" i="1"/>
  <c r="K26" i="7" s="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U10" i="6" s="1"/>
  <c r="Z9" i="1"/>
  <c r="AA9" i="1"/>
  <c r="AB9" i="1"/>
  <c r="J17" i="7" s="1"/>
  <c r="Z3" i="1"/>
  <c r="AA3" i="1"/>
  <c r="AB3" i="1"/>
  <c r="E9" i="7" s="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L20" i="7" s="1"/>
  <c r="Z14" i="1"/>
  <c r="AA14" i="1"/>
  <c r="AB14" i="1"/>
  <c r="Z8" i="1"/>
  <c r="AA8" i="1"/>
  <c r="AB8" i="1"/>
  <c r="J7" i="7" s="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K24" i="7" s="1"/>
  <c r="Z13" i="1"/>
  <c r="AA13" i="1"/>
  <c r="AB13" i="1"/>
  <c r="Z7" i="1"/>
  <c r="AA7" i="1"/>
  <c r="AB7" i="1"/>
  <c r="I23" i="7" s="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E10" i="6" s="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10"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24" i="2"/>
  <c r="D11" i="2"/>
  <c r="D8" i="2"/>
  <c r="AT7" i="4"/>
  <c r="D19" i="2"/>
  <c r="D25" i="2"/>
  <c r="D16" i="2"/>
  <c r="BL15" i="4"/>
  <c r="D30" i="2"/>
  <c r="D21" i="2"/>
  <c r="D4" i="2"/>
  <c r="D28" i="2"/>
  <c r="D26" i="2"/>
  <c r="S56" i="1"/>
  <c r="R33" i="2" s="1"/>
  <c r="S50" i="1"/>
  <c r="R6" i="2" s="1"/>
  <c r="BL47" i="4"/>
  <c r="BF31" i="4"/>
  <c r="AK58" i="4"/>
  <c r="BN59" i="4"/>
  <c r="BB39" i="4"/>
  <c r="E24" i="4"/>
  <c r="BB51" i="4"/>
  <c r="BK50" i="4"/>
  <c r="BM20" i="4"/>
  <c r="AV53" i="4"/>
  <c r="AE64" i="4"/>
  <c r="C42" i="4"/>
  <c r="E64" i="4"/>
  <c r="BK8" i="4"/>
  <c r="D41" i="4"/>
  <c r="AR61" i="4"/>
  <c r="BE46" i="4"/>
  <c r="F51" i="4"/>
  <c r="AV15" i="4"/>
  <c r="AZ5" i="4"/>
  <c r="BJ49" i="4"/>
  <c r="C40" i="4"/>
  <c r="E58" i="4"/>
  <c r="C18" i="4"/>
  <c r="BE34" i="4"/>
  <c r="D14" i="2"/>
  <c r="D3" i="2"/>
  <c r="D29" i="2"/>
  <c r="S22" i="1"/>
  <c r="Q3" i="2" s="1"/>
  <c r="S16" i="1"/>
  <c r="S32" i="2" s="1"/>
  <c r="S10" i="1"/>
  <c r="R29" i="2" s="1"/>
  <c r="S31" i="1"/>
  <c r="S20" i="2" s="1"/>
  <c r="C12" i="4"/>
  <c r="C32" i="4"/>
  <c r="BL11" i="4"/>
  <c r="D47" i="4"/>
  <c r="BD61" i="4"/>
  <c r="D21" i="4"/>
  <c r="BN55" i="4"/>
  <c r="BM52" i="4"/>
  <c r="BN35" i="4"/>
  <c r="F47" i="4"/>
  <c r="AZ55" i="4"/>
  <c r="E44" i="4"/>
  <c r="C46" i="4"/>
  <c r="BA18" i="4"/>
  <c r="C38" i="4"/>
  <c r="F19" i="4"/>
  <c r="D33" i="2"/>
  <c r="D5" i="2"/>
  <c r="BN61" i="4"/>
  <c r="C50" i="4"/>
  <c r="D22" i="2"/>
  <c r="S15" i="1"/>
  <c r="R22" i="2" s="1"/>
  <c r="S9" i="1"/>
  <c r="S5" i="2" s="1"/>
  <c r="S30" i="1"/>
  <c r="AO30" i="4"/>
  <c r="BK56" i="4"/>
  <c r="E60" i="4"/>
  <c r="AA38" i="4"/>
  <c r="BG30" i="4"/>
  <c r="F21" i="4"/>
  <c r="F45" i="4"/>
  <c r="BN37" i="4"/>
  <c r="BK30" i="4"/>
  <c r="F57" i="4"/>
  <c r="BH39" i="4"/>
  <c r="BK54" i="4"/>
  <c r="BK40" i="4"/>
  <c r="BL53" i="4"/>
  <c r="AY44" i="4"/>
  <c r="BK22" i="4"/>
  <c r="E36" i="4"/>
  <c r="BI26" i="4"/>
  <c r="D20" i="2"/>
  <c r="D57" i="4"/>
  <c r="BG54" i="4"/>
  <c r="D6" i="2"/>
  <c r="F27" i="4"/>
  <c r="D2" i="2"/>
  <c r="S3" i="1"/>
  <c r="S14" i="1"/>
  <c r="Q2" i="2" s="1"/>
  <c r="S8" i="1"/>
  <c r="Q21" i="2" s="1"/>
  <c r="S71" i="1"/>
  <c r="Q11" i="2" s="1"/>
  <c r="S47" i="1"/>
  <c r="R16" i="2" s="1"/>
  <c r="S35" i="1"/>
  <c r="R28" i="2" s="1"/>
  <c r="S29" i="1"/>
  <c r="R24" i="2" s="1"/>
  <c r="BH27" i="4"/>
  <c r="F23" i="4"/>
  <c r="AZ41" i="4"/>
  <c r="BN29" i="4"/>
  <c r="BM16" i="4"/>
  <c r="BL61" i="4"/>
  <c r="BH51" i="4"/>
  <c r="BH53" i="4"/>
  <c r="E16" i="4"/>
  <c r="E38" i="4"/>
  <c r="BM26" i="4"/>
  <c r="BG42" i="4"/>
  <c r="BD47" i="4"/>
  <c r="BL55" i="4"/>
  <c r="C34" i="4"/>
  <c r="D13" i="2"/>
  <c r="BN19" i="4"/>
  <c r="E18" i="4"/>
  <c r="D23" i="2"/>
  <c r="D7" i="2"/>
  <c r="D12" i="2"/>
  <c r="D18" i="2"/>
  <c r="D27" i="2"/>
  <c r="D9" i="2"/>
  <c r="S13" i="1"/>
  <c r="R15" i="2" s="1"/>
  <c r="S7" i="1"/>
  <c r="Q9" i="2" s="1"/>
  <c r="S82" i="1"/>
  <c r="Q10" i="2" s="1"/>
  <c r="S40" i="1"/>
  <c r="Z29" i="2" s="1"/>
  <c r="S34" i="1"/>
  <c r="Q7" i="2" s="1"/>
  <c r="D15" i="2"/>
  <c r="D32" i="2"/>
  <c r="D17" i="2"/>
  <c r="BJ17" i="4"/>
  <c r="D31" i="2"/>
  <c r="S24" i="1"/>
  <c r="S18" i="1"/>
  <c r="AA7" i="2" s="1"/>
  <c r="S12" i="1"/>
  <c r="S23" i="2" s="1"/>
  <c r="S51" i="1"/>
  <c r="S12"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7" i="2"/>
  <c r="W17"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10" i="2"/>
  <c r="W2" i="2"/>
  <c r="N25" i="2"/>
  <c r="W16" i="2"/>
  <c r="N10" i="2"/>
  <c r="U27" i="2"/>
  <c r="Y27" i="2"/>
  <c r="W5" i="2"/>
  <c r="O21" i="2"/>
  <c r="U6" i="2"/>
  <c r="W28" i="2"/>
  <c r="AA18" i="2"/>
  <c r="Z27" i="2"/>
  <c r="O10" i="2"/>
  <c r="U2" i="2"/>
  <c r="Y2" i="2"/>
  <c r="W20" i="2"/>
  <c r="Z2" i="2"/>
  <c r="V27" i="2"/>
  <c r="AA9" i="2"/>
  <c r="AA21" i="2"/>
  <c r="V2" i="2"/>
  <c r="O9" i="2"/>
  <c r="W27" i="2"/>
  <c r="V9" i="2"/>
  <c r="Y9" i="2"/>
  <c r="Z9" i="2"/>
  <c r="U9" i="2"/>
  <c r="W9" i="2"/>
  <c r="AA25" i="2"/>
  <c r="N11" i="2"/>
  <c r="W8" i="2"/>
  <c r="O11" i="2"/>
  <c r="M11" i="2"/>
  <c r="W19" i="2"/>
  <c r="O58" i="1"/>
  <c r="AD58" i="1" s="1"/>
  <c r="O26" i="1"/>
  <c r="AD26" i="1" s="1"/>
  <c r="O42" i="1"/>
  <c r="AD42" i="1" s="1"/>
  <c r="O45" i="1"/>
  <c r="AD45" i="1" s="1"/>
  <c r="O61" i="1"/>
  <c r="AD61" i="1" s="1"/>
  <c r="O29" i="1"/>
  <c r="AD29" i="1" s="1"/>
  <c r="O56" i="1"/>
  <c r="AD56" i="1" s="1"/>
  <c r="N5" i="2"/>
  <c r="W4" i="2"/>
  <c r="O27" i="1"/>
  <c r="AD27" i="1" s="1"/>
  <c r="O43" i="1"/>
  <c r="AD43" i="1" s="1"/>
  <c r="O59" i="1"/>
  <c r="AD59" i="1" s="1"/>
  <c r="U14" i="2"/>
  <c r="O52" i="1"/>
  <c r="AD52" i="1" s="1"/>
  <c r="Z25" i="2"/>
  <c r="O36" i="1"/>
  <c r="AD36" i="1" s="1"/>
  <c r="Z26" i="2"/>
  <c r="V15" i="2"/>
  <c r="AE66" i="4"/>
  <c r="O34" i="1"/>
  <c r="AD34" i="1" s="1"/>
  <c r="AA26" i="2"/>
  <c r="N13" i="2"/>
  <c r="M33" i="2"/>
  <c r="O50" i="1"/>
  <c r="AD50" i="1" s="1"/>
  <c r="N16" i="2"/>
  <c r="J65" i="4"/>
  <c r="W31" i="2"/>
  <c r="N6" i="2"/>
  <c r="V8" i="2"/>
  <c r="O46" i="1"/>
  <c r="AD46" i="1" s="1"/>
  <c r="N33" i="2"/>
  <c r="V25" i="2"/>
  <c r="N21" i="2"/>
  <c r="N28" i="2"/>
  <c r="N24" i="2"/>
  <c r="W33" i="2"/>
  <c r="O30" i="1"/>
  <c r="AD30" i="1" s="1"/>
  <c r="N12" i="2"/>
  <c r="N22" i="2"/>
  <c r="N30" i="2"/>
  <c r="U30" i="2"/>
  <c r="O20" i="2"/>
  <c r="O62" i="1"/>
  <c r="AD62" i="1" s="1"/>
  <c r="M20" i="2"/>
  <c r="U7" i="2"/>
  <c r="N32" i="2"/>
  <c r="V22" i="2"/>
  <c r="AH65" i="4"/>
  <c r="V3" i="2"/>
  <c r="V4" i="2"/>
  <c r="V30" i="2"/>
  <c r="V21" i="2"/>
  <c r="W25" i="2"/>
  <c r="V10" i="2"/>
  <c r="V16" i="2"/>
  <c r="W21" i="2"/>
  <c r="BO14" i="2"/>
  <c r="V20" i="2"/>
  <c r="W26" i="2"/>
  <c r="BN3" i="2"/>
  <c r="Y21" i="2"/>
  <c r="BN11" i="2"/>
  <c r="V12" i="2"/>
  <c r="BO2" i="2"/>
  <c r="V14" i="2"/>
  <c r="V13" i="2"/>
  <c r="BO24" i="2"/>
  <c r="N3" i="2"/>
  <c r="W15" i="2"/>
  <c r="BK62" i="4"/>
  <c r="W10" i="2"/>
  <c r="W29" i="2"/>
  <c r="W12" i="2"/>
  <c r="U22" i="2"/>
  <c r="W3" i="2"/>
  <c r="U3" i="2"/>
  <c r="W32" i="2"/>
  <c r="BO5" i="2"/>
  <c r="BN10" i="2"/>
  <c r="H22" i="2"/>
  <c r="I22" i="2" s="1"/>
  <c r="H27" i="2"/>
  <c r="I27" i="2" s="1"/>
  <c r="H23" i="2"/>
  <c r="I23" i="2" s="1"/>
  <c r="H14" i="2"/>
  <c r="I14" i="2" s="1"/>
  <c r="N23" i="2"/>
  <c r="N29" i="2"/>
  <c r="U25" i="2"/>
  <c r="U29" i="2"/>
  <c r="V19" i="2"/>
  <c r="V17" i="2"/>
  <c r="W7" i="2"/>
  <c r="W22" i="2"/>
  <c r="BN23" i="2"/>
  <c r="BO10" i="2"/>
  <c r="H8" i="2"/>
  <c r="I8" i="2" s="1"/>
  <c r="H19" i="2"/>
  <c r="I19" i="2" s="1"/>
  <c r="O4" i="2"/>
  <c r="M4" i="2"/>
  <c r="U20" i="2"/>
  <c r="U12" i="2"/>
  <c r="W30" i="2"/>
  <c r="BO32" i="2"/>
  <c r="BO30" i="2"/>
  <c r="H7" i="2"/>
  <c r="I7" i="2" s="1"/>
  <c r="U19" i="2"/>
  <c r="U17" i="2"/>
  <c r="V7" i="2"/>
  <c r="W13" i="2"/>
  <c r="Y26" i="2"/>
  <c r="BO11" i="2"/>
  <c r="BO15" i="2"/>
  <c r="BN9" i="2"/>
  <c r="H10" i="2"/>
  <c r="I10" i="2" s="1"/>
  <c r="BN31" i="2"/>
  <c r="H5" i="2"/>
  <c r="I5" i="2" s="1"/>
  <c r="M18" i="2"/>
  <c r="BO33" i="2"/>
  <c r="H3" i="2"/>
  <c r="I3" i="2" s="1"/>
  <c r="H24" i="2"/>
  <c r="I24" i="2" s="1"/>
  <c r="T4" i="2"/>
  <c r="N20" i="2"/>
  <c r="U21" i="2"/>
  <c r="U13" i="2"/>
  <c r="V26" i="2"/>
  <c r="T24" i="2"/>
  <c r="H31" i="2"/>
  <c r="I31" i="2" s="1"/>
  <c r="L26" i="2"/>
  <c r="N18" i="2"/>
  <c r="U4" i="2"/>
  <c r="V28" i="2"/>
  <c r="W11" i="2"/>
  <c r="W24" i="2"/>
  <c r="BN17" i="2"/>
  <c r="H21" i="2"/>
  <c r="I21" i="2" s="1"/>
  <c r="M25" i="2"/>
  <c r="U26" i="2"/>
  <c r="V32" i="2"/>
  <c r="H6" i="2"/>
  <c r="I6" i="2" s="1"/>
  <c r="O13" i="2"/>
  <c r="U28" i="2"/>
  <c r="V11" i="2"/>
  <c r="V24" i="2"/>
  <c r="W6" i="2"/>
  <c r="BN32" i="2"/>
  <c r="BO9" i="2"/>
  <c r="M6" i="2"/>
  <c r="U8" i="2"/>
  <c r="U32" i="2"/>
  <c r="Y25" i="2"/>
  <c r="U11" i="2"/>
  <c r="U24" i="2"/>
  <c r="V6" i="2"/>
  <c r="H13" i="2"/>
  <c r="I13" i="2" s="1"/>
  <c r="BO21" i="2"/>
  <c r="H9" i="2"/>
  <c r="I9" i="2" s="1"/>
  <c r="H15" i="2"/>
  <c r="I15" i="2" s="1"/>
  <c r="U10" i="2"/>
  <c r="U15" i="2"/>
  <c r="V33" i="2"/>
  <c r="V31" i="2"/>
  <c r="BN2" i="2"/>
  <c r="BO31" i="2"/>
  <c r="H2" i="2"/>
  <c r="I2" i="2" s="1"/>
  <c r="H17" i="2"/>
  <c r="I17" i="2" s="1"/>
  <c r="M12" i="2"/>
  <c r="V5" i="2"/>
  <c r="BN12" i="2"/>
  <c r="H20" i="2"/>
  <c r="I20" i="2" s="1"/>
  <c r="Z23" i="2"/>
  <c r="N8" i="2"/>
  <c r="N15" i="2"/>
  <c r="U33" i="2"/>
  <c r="U31" i="2"/>
  <c r="V29" i="2"/>
  <c r="BO27" i="2"/>
  <c r="BO6" i="2"/>
  <c r="BO3" i="2"/>
  <c r="BN14" i="2"/>
  <c r="O51" i="1"/>
  <c r="AD51" i="1" s="1"/>
  <c r="H30" i="2"/>
  <c r="I30" i="2" s="1"/>
  <c r="H26" i="2"/>
  <c r="I26" i="2" s="1"/>
  <c r="H16" i="2"/>
  <c r="I16" i="2" s="1"/>
  <c r="H25" i="2"/>
  <c r="I25" i="2" s="1"/>
  <c r="H33" i="2"/>
  <c r="I33" i="2" s="1"/>
  <c r="H28" i="2"/>
  <c r="I28" i="2" s="1"/>
  <c r="U16" i="2"/>
  <c r="U5" i="2"/>
  <c r="W14" i="2"/>
  <c r="W18" i="2"/>
  <c r="Y18" i="2"/>
  <c r="U18" i="2"/>
  <c r="V18" i="2"/>
  <c r="W23" i="2"/>
  <c r="U23" i="2"/>
  <c r="Y23" i="2"/>
  <c r="V23" i="2"/>
  <c r="Z18" i="2"/>
  <c r="H32" i="2"/>
  <c r="I32" i="2" s="1"/>
  <c r="M31" i="2"/>
  <c r="N31" i="2"/>
  <c r="AA23" i="2"/>
  <c r="Z21" i="2"/>
  <c r="M2" i="2"/>
  <c r="M19" i="2"/>
  <c r="O19" i="2"/>
  <c r="BO28" i="2"/>
  <c r="BN27" i="2"/>
  <c r="BO8" i="2"/>
  <c r="BN30" i="2"/>
  <c r="BO7" i="2"/>
  <c r="BO4" i="2"/>
  <c r="BO19" i="2"/>
  <c r="T19" i="2"/>
  <c r="M21" i="2"/>
  <c r="M13" i="2"/>
  <c r="N4" i="2"/>
  <c r="O26" i="2"/>
  <c r="O28" i="1"/>
  <c r="AD28" i="1" s="1"/>
  <c r="L10" i="2"/>
  <c r="BN21" i="2"/>
  <c r="BN7" i="2"/>
  <c r="BN4" i="2"/>
  <c r="BN19" i="2"/>
  <c r="T5" i="2"/>
  <c r="T31" i="2"/>
  <c r="M3" i="2"/>
  <c r="N26" i="2"/>
  <c r="O8" i="2"/>
  <c r="O28" i="2"/>
  <c r="L6" i="2"/>
  <c r="BN33" i="2"/>
  <c r="L24" i="2"/>
  <c r="BN15" i="2"/>
  <c r="BO22" i="2"/>
  <c r="BO13" i="2"/>
  <c r="L25" i="2"/>
  <c r="T7" i="2"/>
  <c r="T18" i="2"/>
  <c r="M26" i="2"/>
  <c r="O32" i="2"/>
  <c r="BO12" i="2"/>
  <c r="L16" i="2"/>
  <c r="L3" i="2"/>
  <c r="L8" i="2"/>
  <c r="BN22" i="2"/>
  <c r="BN13" i="2"/>
  <c r="L31" i="2"/>
  <c r="T8" i="2"/>
  <c r="M8" i="2"/>
  <c r="M28" i="2"/>
  <c r="O23" i="2"/>
  <c r="O24" i="2"/>
  <c r="L32" i="2"/>
  <c r="L2" i="2"/>
  <c r="BO29" i="2"/>
  <c r="L28" i="2"/>
  <c r="L14" i="2"/>
  <c r="T10" i="2"/>
  <c r="T30" i="2"/>
  <c r="M32" i="2"/>
  <c r="O15" i="2"/>
  <c r="BN29" i="2"/>
  <c r="BO17" i="2"/>
  <c r="L11" i="2"/>
  <c r="L23" i="2"/>
  <c r="BO20" i="2"/>
  <c r="T29" i="2"/>
  <c r="T15" i="2"/>
  <c r="M23" i="2"/>
  <c r="M24" i="2"/>
  <c r="O6" i="2"/>
  <c r="O2" i="2"/>
  <c r="BO26" i="2"/>
  <c r="BN5" i="2"/>
  <c r="BN20" i="2"/>
  <c r="T12" i="2"/>
  <c r="T14" i="2"/>
  <c r="M15" i="2"/>
  <c r="N2" i="2"/>
  <c r="O33" i="2"/>
  <c r="O31" i="2"/>
  <c r="L12" i="2"/>
  <c r="BN26" i="2"/>
  <c r="BO16" i="2"/>
  <c r="T6" i="2"/>
  <c r="T2" i="2"/>
  <c r="O16" i="2"/>
  <c r="O5" i="2"/>
  <c r="H12" i="2"/>
  <c r="I12" i="2" s="1"/>
  <c r="L21" i="2"/>
  <c r="L7" i="2"/>
  <c r="BN16" i="2"/>
  <c r="L4" i="2"/>
  <c r="L19" i="2"/>
  <c r="T17" i="2"/>
  <c r="T22" i="2"/>
  <c r="O25" i="2"/>
  <c r="O29" i="2"/>
  <c r="L33" i="2"/>
  <c r="L15" i="2"/>
  <c r="T21" i="2"/>
  <c r="T16" i="2"/>
  <c r="M16" i="2"/>
  <c r="M5" i="2"/>
  <c r="O12" i="2"/>
  <c r="H11" i="2"/>
  <c r="I11" i="2" s="1"/>
  <c r="L22" i="2"/>
  <c r="L13" i="2"/>
  <c r="BO25" i="2"/>
  <c r="T3" i="2"/>
  <c r="T13" i="2"/>
  <c r="M29" i="2"/>
  <c r="O17" i="2"/>
  <c r="F11" i="2"/>
  <c r="G11" i="2" s="1"/>
  <c r="BN6" i="2"/>
  <c r="BN24" i="2"/>
  <c r="BN25" i="2"/>
  <c r="T26" i="2"/>
  <c r="T23" i="2"/>
  <c r="N19" i="2"/>
  <c r="N17" i="2"/>
  <c r="O18" i="2"/>
  <c r="O14" i="2"/>
  <c r="L29" i="2"/>
  <c r="BN8" i="2"/>
  <c r="T33" i="2"/>
  <c r="T9" i="2"/>
  <c r="M17" i="2"/>
  <c r="N14" i="2"/>
  <c r="O7" i="2"/>
  <c r="O22" i="2"/>
  <c r="H29" i="2"/>
  <c r="L17" i="2"/>
  <c r="BN28" i="2"/>
  <c r="L5" i="2"/>
  <c r="BO23" i="2"/>
  <c r="L20" i="2"/>
  <c r="T28" i="2"/>
  <c r="M14" i="2"/>
  <c r="O30" i="2"/>
  <c r="L30" i="2"/>
  <c r="T32" i="2"/>
  <c r="T25" i="2"/>
  <c r="M7" i="2"/>
  <c r="M22" i="2"/>
  <c r="N9" i="2"/>
  <c r="T27" i="2"/>
  <c r="T20" i="2"/>
  <c r="M9" i="2"/>
  <c r="M30" i="2"/>
  <c r="O3" i="2"/>
  <c r="M27" i="2"/>
  <c r="T11" i="2"/>
  <c r="N27" i="2"/>
  <c r="O27" i="2"/>
  <c r="BC21" i="2"/>
  <c r="L27" i="2"/>
  <c r="BC26" i="2"/>
  <c r="F17" i="2"/>
  <c r="G17" i="2" s="1"/>
  <c r="F32" i="2"/>
  <c r="G32" i="2" s="1"/>
  <c r="F30" i="2"/>
  <c r="F16" i="2"/>
  <c r="F9" i="2"/>
  <c r="G9" i="2" s="1"/>
  <c r="H4" i="2"/>
  <c r="I4" i="2" s="1"/>
  <c r="F21" i="2"/>
  <c r="G21" i="2" s="1"/>
  <c r="F27" i="2"/>
  <c r="G27" i="2" s="1"/>
  <c r="F15" i="2"/>
  <c r="G15" i="2" s="1"/>
  <c r="F13" i="2"/>
  <c r="G13" i="2" s="1"/>
  <c r="F4" i="2"/>
  <c r="G4" i="2" s="1"/>
  <c r="F25" i="2"/>
  <c r="G25" i="2" s="1"/>
  <c r="F10" i="2"/>
  <c r="G10" i="2" s="1"/>
  <c r="F3" i="2"/>
  <c r="G3" i="2" s="1"/>
  <c r="F24" i="2"/>
  <c r="G24" i="2" s="1"/>
  <c r="F14" i="2"/>
  <c r="G14" i="2" s="1"/>
  <c r="F23" i="2"/>
  <c r="G23" i="2" s="1"/>
  <c r="F20" i="2"/>
  <c r="G20" i="2" s="1"/>
  <c r="F29" i="2"/>
  <c r="F26" i="2"/>
  <c r="G26" i="2" s="1"/>
  <c r="F5" i="2"/>
  <c r="G5" i="2" s="1"/>
  <c r="F2" i="2"/>
  <c r="G2" i="2" s="1"/>
  <c r="F19" i="2"/>
  <c r="G19" i="2" s="1"/>
  <c r="F12" i="2"/>
  <c r="G12" i="2" s="1"/>
  <c r="F33" i="2"/>
  <c r="G33" i="2" s="1"/>
  <c r="F7" i="2"/>
  <c r="G7" i="2" s="1"/>
  <c r="F22" i="2"/>
  <c r="G22" i="2" s="1"/>
  <c r="F31" i="2"/>
  <c r="G31" i="2" s="1"/>
  <c r="F6" i="2"/>
  <c r="G6" i="2" s="1"/>
  <c r="F28" i="2"/>
  <c r="G28" i="2" s="1"/>
  <c r="F8" i="2"/>
  <c r="G8" i="2" s="1"/>
  <c r="BA26" i="2"/>
  <c r="BB7" i="2"/>
  <c r="BA6" i="2"/>
  <c r="L9" i="2"/>
  <c r="AW33" i="2"/>
  <c r="BC31" i="2"/>
  <c r="AW10" i="2"/>
  <c r="BB17" i="2"/>
  <c r="BC28" i="2"/>
  <c r="BA10" i="2"/>
  <c r="BB21" i="2"/>
  <c r="BC3" i="2"/>
  <c r="AW7" i="2"/>
  <c r="AW12" i="2"/>
  <c r="BC6" i="2"/>
  <c r="BA21" i="2"/>
  <c r="BB13" i="2"/>
  <c r="AW4" i="2"/>
  <c r="AW25" i="2"/>
  <c r="BB20" i="2"/>
  <c r="AW28" i="2"/>
  <c r="BB27" i="2"/>
  <c r="BC8" i="2"/>
  <c r="AW2" i="2"/>
  <c r="BB15" i="2"/>
  <c r="BC11" i="2"/>
  <c r="BA16" i="2"/>
  <c r="AW9" i="2"/>
  <c r="BC17" i="2"/>
  <c r="BC32" i="2"/>
  <c r="BC30" i="2"/>
  <c r="BA14" i="2"/>
  <c r="AW22" i="2"/>
  <c r="BB11" i="2"/>
  <c r="BB4" i="2"/>
  <c r="BC19" i="2"/>
  <c r="AW11" i="2"/>
  <c r="BA4" i="2"/>
  <c r="AW32" i="2"/>
  <c r="AW24" i="2"/>
  <c r="BB30" i="2"/>
  <c r="BA22" i="2"/>
  <c r="BC23" i="2"/>
  <c r="BA23" i="2"/>
  <c r="AW31" i="2"/>
  <c r="BB12" i="2"/>
  <c r="BC29" i="2"/>
  <c r="BA12" i="2"/>
  <c r="AW6" i="2"/>
  <c r="BB32" i="2"/>
  <c r="AW27" i="2"/>
  <c r="AW5" i="2"/>
  <c r="BA19" i="2"/>
  <c r="BA7" i="2"/>
  <c r="AW8" i="2"/>
  <c r="BB22" i="2"/>
  <c r="AW16" i="2"/>
  <c r="BA13" i="2"/>
  <c r="BA25" i="2"/>
  <c r="AW20" i="2"/>
  <c r="BA3" i="2"/>
  <c r="BB10" i="2"/>
  <c r="AW26" i="2"/>
  <c r="BB33" i="2"/>
  <c r="BA32" i="2"/>
  <c r="BA5" i="2"/>
  <c r="BC15" i="2"/>
  <c r="BB14" i="2"/>
  <c r="BA31" i="2"/>
  <c r="BB6" i="2"/>
  <c r="BA17" i="2"/>
  <c r="AW21" i="2"/>
  <c r="BB3" i="2"/>
  <c r="BA33" i="2"/>
  <c r="BA28" i="2"/>
  <c r="BC5" i="2"/>
  <c r="BA30" i="2"/>
  <c r="BA2" i="2"/>
  <c r="BC16" i="2"/>
  <c r="AW13" i="2"/>
  <c r="AW23" i="2"/>
  <c r="BA9" i="2"/>
  <c r="BC20" i="2"/>
  <c r="BB19" i="2"/>
  <c r="BC10" i="2"/>
  <c r="BA27" i="2"/>
  <c r="BC24" i="2"/>
  <c r="BC2" i="2"/>
  <c r="BC9" i="2"/>
  <c r="BC25" i="2"/>
  <c r="BA20" i="2"/>
  <c r="AW19" i="2"/>
  <c r="AW29" i="2"/>
  <c r="BA29" i="2"/>
  <c r="AW17" i="2"/>
  <c r="BA24" i="2"/>
  <c r="BA8" i="2"/>
  <c r="BA15" i="2"/>
  <c r="BC14" i="2"/>
  <c r="AW3" i="2"/>
  <c r="BC27" i="2"/>
  <c r="AW14" i="2"/>
  <c r="BA11" i="2"/>
  <c r="BB16" i="2"/>
  <c r="BC13" i="2"/>
  <c r="BB31" i="2"/>
  <c r="BB29" i="2"/>
  <c r="BC12" i="2"/>
  <c r="BB26" i="2"/>
  <c r="BC33" i="2"/>
  <c r="BB5" i="2"/>
  <c r="BC7" i="2"/>
  <c r="BB2" i="2"/>
  <c r="BC22" i="2"/>
  <c r="BB9" i="2"/>
  <c r="BC4" i="2"/>
  <c r="BB24" i="2"/>
  <c r="BB23" i="2"/>
  <c r="AW30" i="2"/>
  <c r="BB28" i="2"/>
  <c r="BB8" i="2"/>
  <c r="AW15" i="2"/>
  <c r="BB25" i="2"/>
  <c r="O40" i="1"/>
  <c r="AD40" i="1" s="1"/>
  <c r="AQ66" i="4"/>
  <c r="AV63" i="4"/>
  <c r="BF51" i="4"/>
  <c r="O25" i="1"/>
  <c r="AD25" i="1" s="1"/>
  <c r="BN18" i="2"/>
  <c r="H18" i="2"/>
  <c r="I18" i="2" s="1"/>
  <c r="BO18" i="2"/>
  <c r="O24" i="1"/>
  <c r="AD24" i="1" s="1"/>
  <c r="O39" i="1"/>
  <c r="AD39" i="1" s="1"/>
  <c r="O33" i="1"/>
  <c r="AD33" i="1" s="1"/>
  <c r="S25" i="1"/>
  <c r="L18" i="2"/>
  <c r="O32" i="1"/>
  <c r="AD32" i="1" s="1"/>
  <c r="G6" i="4"/>
  <c r="BG62" i="4"/>
  <c r="S62" i="4"/>
  <c r="W62" i="4"/>
  <c r="S6" i="1"/>
  <c r="R31" i="2" s="1"/>
  <c r="S39" i="1"/>
  <c r="AA33" i="2" s="1"/>
  <c r="S11" i="1"/>
  <c r="S5" i="1"/>
  <c r="S37" i="1"/>
  <c r="S4" i="1"/>
  <c r="S20" i="1"/>
  <c r="O22" i="1"/>
  <c r="AD22" i="1" s="1"/>
  <c r="AR5" i="4"/>
  <c r="S42" i="1"/>
  <c r="F18" i="2"/>
  <c r="G1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Z23" i="11" l="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23" i="2"/>
  <c r="BJ21" i="2"/>
  <c r="BJ9" i="2"/>
  <c r="BJ26" i="2"/>
  <c r="BJ2" i="2"/>
  <c r="BJ18" i="2"/>
  <c r="BJ2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29" i="2"/>
  <c r="H36" i="2"/>
  <c r="H35" i="2"/>
  <c r="H37" i="2"/>
  <c r="V35" i="2"/>
  <c r="V37" i="2"/>
  <c r="V36" i="2"/>
  <c r="T37" i="2"/>
  <c r="T36" i="2"/>
  <c r="T35" i="2"/>
  <c r="O37" i="2"/>
  <c r="O36" i="2"/>
  <c r="O35" i="2"/>
  <c r="G29"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5" i="2"/>
  <c r="K30" i="7"/>
  <c r="AC126" i="1"/>
  <c r="AD189" i="1"/>
  <c r="AC120" i="1"/>
  <c r="AC128" i="1"/>
  <c r="Q29" i="2"/>
  <c r="AC228" i="1"/>
  <c r="AC159" i="1"/>
  <c r="AD78" i="1"/>
  <c r="AC198" i="1"/>
  <c r="AD206" i="1"/>
  <c r="AD182" i="1"/>
  <c r="AC240" i="1"/>
  <c r="AC180" i="1"/>
  <c r="AC141" i="1"/>
  <c r="BH23" i="2"/>
  <c r="BH9" i="2"/>
  <c r="BH2" i="2"/>
  <c r="AD225" i="1"/>
  <c r="AD164" i="1"/>
  <c r="BH25" i="2"/>
  <c r="AD168" i="1"/>
  <c r="AC170" i="1"/>
  <c r="AC156" i="1"/>
  <c r="AA5" i="2"/>
  <c r="AI5" i="2" s="1"/>
  <c r="AC231" i="1"/>
  <c r="BH27" i="2"/>
  <c r="AD239" i="1"/>
  <c r="AC236" i="1"/>
  <c r="AC150" i="1"/>
  <c r="AC122" i="1"/>
  <c r="AV20" i="1"/>
  <c r="AD123" i="1"/>
  <c r="AC102" i="1"/>
  <c r="BH21" i="2"/>
  <c r="BH26" i="2"/>
  <c r="BH1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29" i="2"/>
  <c r="BK29"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20" i="2"/>
  <c r="R2" i="2"/>
  <c r="AG2" i="2" s="1"/>
  <c r="Z32" i="2"/>
  <c r="S2" i="2"/>
  <c r="AI2" i="2" s="1"/>
  <c r="Z11" i="2"/>
  <c r="Q16" i="2"/>
  <c r="S6" i="2"/>
  <c r="BK6" i="2" s="1"/>
  <c r="R20" i="2"/>
  <c r="BK20" i="2" s="1"/>
  <c r="Y32" i="2"/>
  <c r="Q5" i="2"/>
  <c r="S16" i="2"/>
  <c r="BK16" i="2" s="1"/>
  <c r="AA32" i="2"/>
  <c r="AI32" i="2" s="1"/>
  <c r="S28" i="2"/>
  <c r="BK28" i="2" s="1"/>
  <c r="Q28" i="2"/>
  <c r="R11" i="2"/>
  <c r="Y17" i="2"/>
  <c r="S11" i="2"/>
  <c r="S9" i="2"/>
  <c r="AI9" i="2" s="1"/>
  <c r="R9" i="2"/>
  <c r="AG9" i="2" s="1"/>
  <c r="R21" i="2"/>
  <c r="AG21" i="2" s="1"/>
  <c r="R5" i="2"/>
  <c r="BK5" i="2" s="1"/>
  <c r="R30" i="2"/>
  <c r="S33" i="2"/>
  <c r="AI33" i="2" s="1"/>
  <c r="Q33" i="2"/>
  <c r="AA3" i="2"/>
  <c r="S21" i="2"/>
  <c r="AI21" i="2" s="1"/>
  <c r="AA16" i="2"/>
  <c r="R32" i="2"/>
  <c r="BK32" i="2" s="1"/>
  <c r="Z7" i="2"/>
  <c r="BJ7" i="2" s="1"/>
  <c r="AA20" i="2"/>
  <c r="AI20" i="2" s="1"/>
  <c r="Y20" i="2"/>
  <c r="R3" i="2"/>
  <c r="S3" i="2"/>
  <c r="Z20" i="2"/>
  <c r="Y15" i="2"/>
  <c r="AF31" i="2"/>
  <c r="S8" i="2"/>
  <c r="S10" i="2"/>
  <c r="Y13" i="2"/>
  <c r="R8" i="2"/>
  <c r="Q8" i="2"/>
  <c r="BO53" i="5"/>
  <c r="R10" i="2"/>
  <c r="CH6" i="2"/>
  <c r="CH5" i="2"/>
  <c r="AD7" i="2"/>
  <c r="AH2" i="2"/>
  <c r="AH13" i="2"/>
  <c r="Y16" i="2"/>
  <c r="Z3" i="2"/>
  <c r="BO46" i="5"/>
  <c r="AH18" i="2"/>
  <c r="Y19" i="2"/>
  <c r="Z15" i="2"/>
  <c r="AG15" i="2" s="1"/>
  <c r="S7" i="2"/>
  <c r="AI7" i="2" s="1"/>
  <c r="Q32" i="2"/>
  <c r="Z16" i="2"/>
  <c r="Z17" i="2"/>
  <c r="AA17" i="2"/>
  <c r="S17" i="2"/>
  <c r="Q24" i="2"/>
  <c r="AA13" i="2"/>
  <c r="R17" i="2"/>
  <c r="AA15" i="2"/>
  <c r="Q6" i="2"/>
  <c r="S24" i="2"/>
  <c r="BK24" i="2" s="1"/>
  <c r="R7" i="2"/>
  <c r="Q30" i="2"/>
  <c r="AA19" i="2"/>
  <c r="Q17" i="2"/>
  <c r="AD6" i="2"/>
  <c r="Y3" i="2"/>
  <c r="AE3" i="2" s="1"/>
  <c r="Y7" i="2"/>
  <c r="AE7" i="2" s="1"/>
  <c r="Z13" i="2"/>
  <c r="S14" i="2"/>
  <c r="Z19" i="2"/>
  <c r="BO14" i="5"/>
  <c r="Q14" i="2"/>
  <c r="S30" i="2"/>
  <c r="BO11" i="5"/>
  <c r="AA10" i="2"/>
  <c r="BO8" i="5"/>
  <c r="CB3" i="2"/>
  <c r="CB12" i="2" s="1"/>
  <c r="BO60" i="5"/>
  <c r="BO17" i="5"/>
  <c r="BO3" i="5"/>
  <c r="BO50" i="5"/>
  <c r="BO19" i="5"/>
  <c r="BO33" i="5"/>
  <c r="BO24" i="5"/>
  <c r="AF20" i="2"/>
  <c r="BO10" i="5"/>
  <c r="Z12" i="2"/>
  <c r="Q23" i="2"/>
  <c r="AE23" i="2" s="1"/>
  <c r="Y5"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23" i="2"/>
  <c r="AG23" i="2" s="1"/>
  <c r="BO26" i="5"/>
  <c r="BO22" i="5"/>
  <c r="BO62" i="5"/>
  <c r="BO38" i="5"/>
  <c r="BO47" i="5"/>
  <c r="BO32" i="5"/>
  <c r="BO57" i="5"/>
  <c r="BO51" i="5"/>
  <c r="BO52" i="5"/>
  <c r="BO18" i="5"/>
  <c r="BO34" i="5"/>
  <c r="BO28" i="5"/>
  <c r="BO39" i="5"/>
  <c r="BO12" i="5"/>
  <c r="BO7" i="5"/>
  <c r="BO6" i="5"/>
  <c r="BO4" i="5"/>
  <c r="BO56" i="5"/>
  <c r="BO58" i="5"/>
  <c r="BO64" i="5"/>
  <c r="BO63" i="5"/>
  <c r="Z31" i="2"/>
  <c r="AG31" i="2" s="1"/>
  <c r="Z24" i="2"/>
  <c r="AG24" i="2" s="1"/>
  <c r="Y31" i="2"/>
  <c r="Y24" i="2"/>
  <c r="Y10" i="2"/>
  <c r="AE10" i="2" s="1"/>
  <c r="AA29" i="2"/>
  <c r="BJ29" i="2" s="1"/>
  <c r="AA24" i="2"/>
  <c r="Y29" i="2"/>
  <c r="Q12" i="2"/>
  <c r="Q15" i="2"/>
  <c r="R14" i="2"/>
  <c r="AA31" i="2"/>
  <c r="S22" i="2"/>
  <c r="BK22" i="2" s="1"/>
  <c r="BO42" i="5"/>
  <c r="S15" i="2"/>
  <c r="BK15" i="2" s="1"/>
  <c r="Q22" i="2"/>
  <c r="Z10" i="2"/>
  <c r="R12" i="2"/>
  <c r="BK12" i="2" s="1"/>
  <c r="BO21" i="5"/>
  <c r="S26" i="2"/>
  <c r="AI26" i="2" s="1"/>
  <c r="AH4" i="2"/>
  <c r="AF27" i="2"/>
  <c r="AH5" i="2"/>
  <c r="AD30" i="2"/>
  <c r="AH16" i="2"/>
  <c r="AH14" i="2"/>
  <c r="AF4" i="2"/>
  <c r="AB19" i="2"/>
  <c r="AB12" i="2"/>
  <c r="AB9" i="2"/>
  <c r="AF2" i="2"/>
  <c r="AH19" i="2"/>
  <c r="AH12" i="2"/>
  <c r="AF19" i="2"/>
  <c r="AB5" i="2"/>
  <c r="AD15" i="2"/>
  <c r="AD3" i="2"/>
  <c r="AH23" i="2"/>
  <c r="AH25" i="2"/>
  <c r="AD8" i="2"/>
  <c r="AB30" i="2"/>
  <c r="AB31" i="2"/>
  <c r="AB22" i="2"/>
  <c r="AD9" i="2"/>
  <c r="AD23" i="2"/>
  <c r="AH17" i="2"/>
  <c r="AE21" i="2"/>
  <c r="AD29" i="2"/>
  <c r="AH6" i="2"/>
  <c r="AD32" i="2"/>
  <c r="AF26" i="2"/>
  <c r="AF14" i="2"/>
  <c r="AD24" i="2"/>
  <c r="AH20" i="2"/>
  <c r="AB18" i="2"/>
  <c r="AD5" i="2"/>
  <c r="AB4" i="2"/>
  <c r="AH29" i="2"/>
  <c r="AF8" i="2"/>
  <c r="AD13" i="2"/>
  <c r="AD27" i="2"/>
  <c r="AD17" i="2"/>
  <c r="AH32" i="2"/>
  <c r="AE2" i="2"/>
  <c r="AD16" i="2"/>
  <c r="AH28" i="2"/>
  <c r="AD25" i="2"/>
  <c r="AB7" i="2"/>
  <c r="AB15" i="2"/>
  <c r="AD19" i="2"/>
  <c r="AD21" i="2"/>
  <c r="AH31" i="2"/>
  <c r="AH24" i="2"/>
  <c r="AD2" i="2"/>
  <c r="AD31" i="2"/>
  <c r="AE9" i="2"/>
  <c r="AB17" i="2"/>
  <c r="AF3" i="2"/>
  <c r="AH26" i="2"/>
  <c r="AH22" i="2"/>
  <c r="AF9" i="2"/>
  <c r="AB27" i="2"/>
  <c r="AH3" i="2"/>
  <c r="AD22" i="2"/>
  <c r="AD14" i="2"/>
  <c r="AF17" i="2"/>
  <c r="AH33" i="2"/>
  <c r="AD26" i="2"/>
  <c r="AD28" i="2"/>
  <c r="AB24" i="2"/>
  <c r="AH8" i="2"/>
  <c r="AH30" i="2"/>
  <c r="AB13" i="2"/>
  <c r="AH15" i="2"/>
  <c r="AD12" i="2"/>
  <c r="AF15" i="2"/>
  <c r="AH7" i="2"/>
  <c r="AB29" i="2"/>
  <c r="AB23" i="2"/>
  <c r="AB32" i="2"/>
  <c r="AB6" i="2"/>
  <c r="AF23" i="2"/>
  <c r="AH9" i="2"/>
  <c r="AH10" i="2"/>
  <c r="AB33" i="2"/>
  <c r="AB11" i="2"/>
  <c r="AB10" i="2"/>
  <c r="AF33" i="2"/>
  <c r="AF16" i="2"/>
  <c r="AH21" i="2"/>
  <c r="AB14" i="2"/>
  <c r="AD18" i="2"/>
  <c r="AF32" i="2"/>
  <c r="AF30" i="2"/>
  <c r="AF24" i="2"/>
  <c r="AB28" i="2"/>
  <c r="AB8" i="2"/>
  <c r="AF18" i="2"/>
  <c r="AD4" i="2"/>
  <c r="AF28" i="2"/>
  <c r="AD33" i="2"/>
  <c r="AF5" i="2"/>
  <c r="AF11" i="2"/>
  <c r="AF25" i="2"/>
  <c r="AB20" i="2"/>
  <c r="AB21" i="2"/>
  <c r="AB3" i="2"/>
  <c r="AB26" i="2"/>
  <c r="AD20" i="2"/>
  <c r="AF22" i="2"/>
  <c r="AF21" i="2"/>
  <c r="AF6" i="2"/>
  <c r="AD11" i="2"/>
  <c r="AG29" i="2"/>
  <c r="AF7" i="2"/>
  <c r="AB2" i="2"/>
  <c r="AB16" i="2"/>
  <c r="AB25" i="2"/>
  <c r="AI23" i="2"/>
  <c r="AF29" i="2"/>
  <c r="AF12" i="2"/>
  <c r="AF13" i="2"/>
  <c r="AH11" i="2"/>
  <c r="AF10" i="2"/>
  <c r="AD10" i="2"/>
  <c r="Z14" i="2"/>
  <c r="R25" i="2"/>
  <c r="AG25" i="2" s="1"/>
  <c r="BR3" i="2"/>
  <c r="J30" i="2"/>
  <c r="BG30" i="2" s="1"/>
  <c r="G30" i="2"/>
  <c r="J16" i="2"/>
  <c r="BG16" i="2" s="1"/>
  <c r="G16" i="2"/>
  <c r="J7" i="2"/>
  <c r="BG7" i="2" s="1"/>
  <c r="BR27" i="2"/>
  <c r="J27" i="2"/>
  <c r="E27" i="2" s="1"/>
  <c r="BP24" i="2"/>
  <c r="X27" i="2"/>
  <c r="BR24" i="2"/>
  <c r="BR2" i="2"/>
  <c r="J21" i="2"/>
  <c r="BG21" i="2" s="1"/>
  <c r="X21" i="2"/>
  <c r="X16" i="2"/>
  <c r="X14" i="2"/>
  <c r="BP2" i="2"/>
  <c r="J23" i="2"/>
  <c r="E23" i="2" s="1"/>
  <c r="BP14" i="2"/>
  <c r="BR14" i="2"/>
  <c r="X22" i="2"/>
  <c r="BP8" i="2"/>
  <c r="AA30" i="2"/>
  <c r="Z30" i="2"/>
  <c r="X32" i="2"/>
  <c r="X33" i="2"/>
  <c r="S13" i="2"/>
  <c r="AA8" i="2"/>
  <c r="BR13" i="2"/>
  <c r="BQ3" i="2"/>
  <c r="Z28" i="2"/>
  <c r="AG28" i="2" s="1"/>
  <c r="AA28" i="2"/>
  <c r="AA12" i="2"/>
  <c r="BR6" i="2"/>
  <c r="X6" i="2"/>
  <c r="BQ11" i="2"/>
  <c r="X25" i="2"/>
  <c r="BP11" i="2"/>
  <c r="BR25" i="2"/>
  <c r="BR33" i="2"/>
  <c r="BR8" i="2"/>
  <c r="X30" i="2"/>
  <c r="X10" i="2"/>
  <c r="S31" i="2"/>
  <c r="BK31" i="2" s="1"/>
  <c r="X26" i="2"/>
  <c r="BR9" i="2"/>
  <c r="BR31" i="2"/>
  <c r="BR11" i="2"/>
  <c r="X19" i="2"/>
  <c r="BR5" i="2"/>
  <c r="BR19" i="2"/>
  <c r="BR30" i="2"/>
  <c r="X31" i="2"/>
  <c r="J2" i="2"/>
  <c r="E2" i="2" s="1"/>
  <c r="X3" i="2"/>
  <c r="X8" i="2"/>
  <c r="BP10" i="2"/>
  <c r="BR10" i="2"/>
  <c r="BQ14" i="2"/>
  <c r="BP32" i="2"/>
  <c r="BP9" i="2"/>
  <c r="BQ9" i="2"/>
  <c r="BP6" i="2"/>
  <c r="BP5" i="2"/>
  <c r="BP33" i="2"/>
  <c r="X20" i="2"/>
  <c r="BR32" i="2"/>
  <c r="BP30" i="2"/>
  <c r="X9" i="2"/>
  <c r="X24" i="2"/>
  <c r="BQ31" i="2"/>
  <c r="BR26" i="2"/>
  <c r="BR28" i="2"/>
  <c r="BR21" i="2"/>
  <c r="BP21" i="2"/>
  <c r="BP23" i="2"/>
  <c r="X5" i="2"/>
  <c r="BR7" i="2"/>
  <c r="X7" i="2"/>
  <c r="BR16" i="2"/>
  <c r="BR15" i="2"/>
  <c r="J28" i="2"/>
  <c r="E28" i="2" s="1"/>
  <c r="X4" i="2"/>
  <c r="BP31" i="2"/>
  <c r="Q31" i="2"/>
  <c r="S25" i="2"/>
  <c r="Y14" i="2"/>
  <c r="Q25" i="2"/>
  <c r="AE25" i="2" s="1"/>
  <c r="Y11" i="2"/>
  <c r="AE11" i="2" s="1"/>
  <c r="R19" i="2"/>
  <c r="Y30" i="2"/>
  <c r="Q19" i="2"/>
  <c r="Y12" i="2"/>
  <c r="S27" i="2"/>
  <c r="AI27" i="2" s="1"/>
  <c r="Q27" i="2"/>
  <c r="AE27" i="2" s="1"/>
  <c r="AA4" i="2"/>
  <c r="Y4" i="2"/>
  <c r="Z4" i="2"/>
  <c r="R26" i="2"/>
  <c r="Y28" i="2"/>
  <c r="Q26" i="2"/>
  <c r="AE26" i="2" s="1"/>
  <c r="AA11" i="2"/>
  <c r="Q4" i="2"/>
  <c r="Y6" i="2"/>
  <c r="S4" i="2"/>
  <c r="Z33" i="2"/>
  <c r="BJ33" i="2" s="1"/>
  <c r="Q18" i="2"/>
  <c r="AE18" i="2" s="1"/>
  <c r="AA22" i="2"/>
  <c r="Y22" i="2"/>
  <c r="Z22" i="2"/>
  <c r="AG22" i="2" s="1"/>
  <c r="BP3" i="2"/>
  <c r="P26" i="2"/>
  <c r="BP19" i="2"/>
  <c r="Z8" i="2"/>
  <c r="Q13" i="2"/>
  <c r="R13" i="2"/>
  <c r="Y8" i="2"/>
  <c r="BP15" i="2"/>
  <c r="X17" i="2"/>
  <c r="Y33" i="2"/>
  <c r="BR17" i="2"/>
  <c r="S19" i="2"/>
  <c r="J11" i="2"/>
  <c r="X11" i="2"/>
  <c r="J29" i="2"/>
  <c r="X12" i="2"/>
  <c r="BR12" i="2"/>
  <c r="X29" i="2"/>
  <c r="P11" i="2"/>
  <c r="BQ27" i="2"/>
  <c r="BR29" i="2"/>
  <c r="P16" i="2"/>
  <c r="X28" i="2"/>
  <c r="P10" i="2"/>
  <c r="X2" i="2"/>
  <c r="P6" i="2"/>
  <c r="P19" i="2"/>
  <c r="P32" i="2"/>
  <c r="X23" i="2"/>
  <c r="P22" i="2"/>
  <c r="P15" i="2"/>
  <c r="X15" i="2"/>
  <c r="P17" i="2"/>
  <c r="P33" i="2"/>
  <c r="BP28" i="2"/>
  <c r="BP27" i="2"/>
  <c r="BP12" i="2"/>
  <c r="BP26" i="2"/>
  <c r="BP29" i="2"/>
  <c r="BP4" i="2"/>
  <c r="BR23" i="2"/>
  <c r="BQ16" i="2"/>
  <c r="BP22" i="2"/>
  <c r="BP7" i="2"/>
  <c r="BP25" i="2"/>
  <c r="BQ5" i="2"/>
  <c r="BQ24" i="2"/>
  <c r="BP16" i="2"/>
  <c r="BQ20" i="2"/>
  <c r="BP20" i="2"/>
  <c r="BP17" i="2"/>
  <c r="BQ8" i="2"/>
  <c r="BQ25" i="2"/>
  <c r="BQ13" i="2"/>
  <c r="BP13" i="2"/>
  <c r="BR20" i="2"/>
  <c r="Z6" i="2"/>
  <c r="AG6" i="2" s="1"/>
  <c r="AA6" i="2"/>
  <c r="R4" i="2"/>
  <c r="X13" i="2"/>
  <c r="R27" i="2"/>
  <c r="AG27" i="2" s="1"/>
  <c r="P12" i="2"/>
  <c r="BR22" i="2"/>
  <c r="J32" i="2"/>
  <c r="E32" i="2" s="1"/>
  <c r="AA14" i="2"/>
  <c r="BQ26" i="2"/>
  <c r="J14" i="2"/>
  <c r="E14" i="2" s="1"/>
  <c r="P25" i="2"/>
  <c r="BR4" i="2"/>
  <c r="BQ21" i="2"/>
  <c r="P21" i="2"/>
  <c r="J17" i="2"/>
  <c r="E17" i="2" s="1"/>
  <c r="BQ17" i="2"/>
  <c r="BQ10" i="2"/>
  <c r="J20" i="2"/>
  <c r="E20" i="2" s="1"/>
  <c r="P20" i="2"/>
  <c r="BQ7" i="2"/>
  <c r="P7" i="2"/>
  <c r="J25" i="2"/>
  <c r="E25" i="2" s="1"/>
  <c r="J3" i="2"/>
  <c r="E3" i="2" s="1"/>
  <c r="J19" i="2"/>
  <c r="E19" i="2" s="1"/>
  <c r="BQ2" i="2"/>
  <c r="J8" i="2"/>
  <c r="E8" i="2" s="1"/>
  <c r="P8" i="2"/>
  <c r="P27" i="2"/>
  <c r="BQ15" i="2"/>
  <c r="BQ19" i="2"/>
  <c r="J31" i="2"/>
  <c r="E31" i="2" s="1"/>
  <c r="J22" i="2"/>
  <c r="E22" i="2" s="1"/>
  <c r="J10" i="2"/>
  <c r="E10" i="2" s="1"/>
  <c r="P3" i="2"/>
  <c r="P2" i="2"/>
  <c r="BQ32" i="2"/>
  <c r="J4" i="2"/>
  <c r="BQ12" i="2"/>
  <c r="J6" i="2"/>
  <c r="E6" i="2" s="1"/>
  <c r="P31" i="2"/>
  <c r="BQ30" i="2"/>
  <c r="P28" i="2"/>
  <c r="J13" i="2"/>
  <c r="E13" i="2" s="1"/>
  <c r="J12" i="2"/>
  <c r="E12" i="2" s="1"/>
  <c r="J15" i="2"/>
  <c r="E15" i="2" s="1"/>
  <c r="P13" i="2"/>
  <c r="J33" i="2"/>
  <c r="E33" i="2" s="1"/>
  <c r="J9" i="2"/>
  <c r="E9" i="2" s="1"/>
  <c r="J5" i="2"/>
  <c r="E5" i="2" s="1"/>
  <c r="BQ28" i="2"/>
  <c r="P14" i="2"/>
  <c r="BQ33" i="2"/>
  <c r="P30" i="2"/>
  <c r="J26" i="2"/>
  <c r="E26" i="2" s="1"/>
  <c r="P24" i="2"/>
  <c r="P5" i="2"/>
  <c r="P29" i="2"/>
  <c r="P23" i="2"/>
  <c r="BQ23" i="2"/>
  <c r="J24" i="2"/>
  <c r="E24" i="2" s="1"/>
  <c r="BQ22" i="2"/>
  <c r="BQ29" i="2"/>
  <c r="P4" i="2"/>
  <c r="BQ6" i="2"/>
  <c r="BQ4" i="2"/>
  <c r="P9" i="2"/>
  <c r="BD30" i="2"/>
  <c r="BD22" i="2"/>
  <c r="BD12" i="2"/>
  <c r="BD11" i="2"/>
  <c r="BD17" i="2"/>
  <c r="BD28" i="2"/>
  <c r="BD13" i="2"/>
  <c r="BD19" i="2"/>
  <c r="BD3" i="2"/>
  <c r="BD7" i="2"/>
  <c r="BD26" i="2"/>
  <c r="BD31" i="2"/>
  <c r="BD20" i="2"/>
  <c r="BD25" i="2"/>
  <c r="BD21" i="2"/>
  <c r="BD23" i="2"/>
  <c r="BD32" i="2"/>
  <c r="BD24" i="2"/>
  <c r="BD5" i="2"/>
  <c r="BD27" i="2"/>
  <c r="BD14" i="2"/>
  <c r="BD33" i="2"/>
  <c r="BD2" i="2"/>
  <c r="BD29" i="2"/>
  <c r="BD16" i="2"/>
  <c r="BD15" i="2"/>
  <c r="BD8" i="2"/>
  <c r="BD6" i="2"/>
  <c r="BD4" i="2"/>
  <c r="BD9" i="2"/>
  <c r="BD10" i="2"/>
  <c r="S18" i="2"/>
  <c r="AI18" i="2" s="1"/>
  <c r="R18" i="2"/>
  <c r="AG1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BQ35" i="8" l="1"/>
  <c r="BR35" i="8" s="1"/>
  <c r="AJ21" i="2"/>
  <c r="AJ27" i="2"/>
  <c r="AJ2" i="2"/>
  <c r="AJ23" i="2"/>
  <c r="AJ9" i="2"/>
  <c r="AJ1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4" i="2"/>
  <c r="BJ30" i="2"/>
  <c r="BJ13" i="2"/>
  <c r="BK13" i="2"/>
  <c r="BJ3" i="2"/>
  <c r="BJ20" i="2"/>
  <c r="BJ16" i="2"/>
  <c r="BK14" i="2"/>
  <c r="BJ10" i="2"/>
  <c r="BK7" i="2"/>
  <c r="BJ17" i="2"/>
  <c r="BJ5" i="2"/>
  <c r="BK26" i="2"/>
  <c r="BK8" i="2"/>
  <c r="BJ8" i="2"/>
  <c r="BJ4" i="2"/>
  <c r="BK30" i="2"/>
  <c r="BJ11" i="2"/>
  <c r="BJ14" i="2"/>
  <c r="BJ32" i="2"/>
  <c r="BK3" i="2"/>
  <c r="BK19" i="2"/>
  <c r="BK17" i="2"/>
  <c r="BK11" i="2"/>
  <c r="BJ12" i="2"/>
  <c r="BJ19" i="2"/>
  <c r="BK10" i="2"/>
  <c r="BK33" i="2"/>
  <c r="BJ24" i="2"/>
  <c r="BK27" i="2"/>
  <c r="BK18" i="2"/>
  <c r="BJ31" i="2"/>
  <c r="BK25" i="2"/>
  <c r="BJ15" i="2"/>
  <c r="BJ22" i="2"/>
  <c r="BJ6" i="2"/>
  <c r="BK23" i="2"/>
  <c r="BK2" i="2"/>
  <c r="BK21" i="2"/>
  <c r="BK9" i="2"/>
  <c r="BJ28"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29" i="2"/>
  <c r="AD37" i="2"/>
  <c r="AD36" i="2"/>
  <c r="AD35" i="2"/>
  <c r="Q37" i="2"/>
  <c r="Q36" i="2"/>
  <c r="Q35" i="2"/>
  <c r="Z37" i="2"/>
  <c r="Z35" i="2"/>
  <c r="AF37" i="2"/>
  <c r="AF36" i="2"/>
  <c r="AF35" i="2"/>
  <c r="R35" i="2"/>
  <c r="AH37" i="2"/>
  <c r="AH36" i="2"/>
  <c r="AH35" i="2"/>
  <c r="AE29" i="2"/>
  <c r="BI29" i="2"/>
  <c r="AL5" i="2"/>
  <c r="BH5" i="2"/>
  <c r="BI7" i="2"/>
  <c r="BH12" i="2"/>
  <c r="BH28" i="2"/>
  <c r="BI5" i="2"/>
  <c r="BI6" i="2"/>
  <c r="BI12" i="2"/>
  <c r="BH31" i="2"/>
  <c r="BH19" i="2"/>
  <c r="BI8" i="2"/>
  <c r="BH33" i="2"/>
  <c r="BI22" i="2"/>
  <c r="BI15" i="2"/>
  <c r="BH24" i="2"/>
  <c r="BI14" i="2"/>
  <c r="BI33" i="2"/>
  <c r="BI16" i="2"/>
  <c r="BH13" i="2"/>
  <c r="BI31" i="2"/>
  <c r="BI10" i="2"/>
  <c r="BI20" i="2"/>
  <c r="BH8" i="2"/>
  <c r="BI11" i="2"/>
  <c r="BH15" i="2"/>
  <c r="BH17" i="2"/>
  <c r="BH6" i="2"/>
  <c r="BI19" i="2"/>
  <c r="BI30" i="2"/>
  <c r="BI32" i="2"/>
  <c r="BI3" i="2"/>
  <c r="BI28" i="2"/>
  <c r="BH14" i="2"/>
  <c r="BH32" i="2"/>
  <c r="BI13" i="2"/>
  <c r="BH22" i="2"/>
  <c r="BI4" i="2"/>
  <c r="BH4" i="2"/>
  <c r="BH30" i="2"/>
  <c r="BI24" i="2"/>
  <c r="BH16" i="2"/>
  <c r="BH20" i="2"/>
  <c r="BI17" i="2"/>
  <c r="BI26" i="2"/>
  <c r="BI25" i="2"/>
  <c r="BH29" i="2"/>
  <c r="BH11" i="2"/>
  <c r="BI27" i="2"/>
  <c r="BH10" i="2"/>
  <c r="BI2" i="2"/>
  <c r="BI18" i="2"/>
  <c r="BI23" i="2"/>
  <c r="BI21" i="2"/>
  <c r="BH7" i="2"/>
  <c r="BH3" i="2"/>
  <c r="BI9" i="2"/>
  <c r="AV9" i="1"/>
  <c r="AV10" i="1" s="1"/>
  <c r="AL29"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2" i="2"/>
  <c r="AE20" i="2"/>
  <c r="AG11" i="2"/>
  <c r="AL2" i="2"/>
  <c r="AE32" i="2"/>
  <c r="AK5" i="2"/>
  <c r="AE16" i="2"/>
  <c r="AG32" i="2"/>
  <c r="AJ32" i="2" s="1"/>
  <c r="AE17" i="2"/>
  <c r="AL21" i="2"/>
  <c r="AG20" i="2"/>
  <c r="AJ20" i="2" s="1"/>
  <c r="AE28" i="2"/>
  <c r="AK21" i="2"/>
  <c r="AI6" i="2"/>
  <c r="AJ6" i="2" s="1"/>
  <c r="AI28" i="2"/>
  <c r="AJ28" i="2" s="1"/>
  <c r="AL9" i="2"/>
  <c r="AE5" i="2"/>
  <c r="AK11" i="2"/>
  <c r="AL33" i="2"/>
  <c r="AK16" i="2"/>
  <c r="AI16" i="2"/>
  <c r="AK9" i="2"/>
  <c r="AG5" i="2"/>
  <c r="AJ5" i="2" s="1"/>
  <c r="AG30" i="2"/>
  <c r="AE33" i="2"/>
  <c r="AK32" i="2"/>
  <c r="AK20" i="2"/>
  <c r="AL20" i="2"/>
  <c r="AL32" i="2"/>
  <c r="AI3" i="2"/>
  <c r="BP47" i="5"/>
  <c r="BQ47" i="5" s="1"/>
  <c r="BP13" i="5"/>
  <c r="BQ13" i="5" s="1"/>
  <c r="AK3" i="2"/>
  <c r="BP45" i="5"/>
  <c r="BQ45" i="5" s="1"/>
  <c r="BP53" i="5"/>
  <c r="BQ53" i="5" s="1"/>
  <c r="AE8" i="2"/>
  <c r="AE13" i="2"/>
  <c r="AI10" i="2"/>
  <c r="AI8" i="2"/>
  <c r="AS21" i="2"/>
  <c r="AS9" i="2"/>
  <c r="AS2" i="2"/>
  <c r="AS23" i="2"/>
  <c r="AS27" i="2"/>
  <c r="AS18" i="2"/>
  <c r="AG8" i="2"/>
  <c r="AE15" i="2"/>
  <c r="AL7" i="2"/>
  <c r="BP61" i="5"/>
  <c r="BQ61" i="5" s="1"/>
  <c r="BP7" i="5"/>
  <c r="BQ7" i="5" s="1"/>
  <c r="BP19" i="5"/>
  <c r="BQ19" i="5" s="1"/>
  <c r="BP35" i="5"/>
  <c r="BQ35" i="5" s="1"/>
  <c r="BP33" i="5"/>
  <c r="BQ33" i="5" s="1"/>
  <c r="BP29" i="5"/>
  <c r="BQ29" i="5" s="1"/>
  <c r="AK23" i="2"/>
  <c r="BP15" i="5"/>
  <c r="BQ15" i="5" s="1"/>
  <c r="BP59" i="5"/>
  <c r="BQ59" i="5" s="1"/>
  <c r="AL3" i="2"/>
  <c r="BP57" i="5"/>
  <c r="BQ57" i="5" s="1"/>
  <c r="AG13" i="2"/>
  <c r="AE30" i="2"/>
  <c r="AI29" i="2"/>
  <c r="AJ29" i="2" s="1"/>
  <c r="BP21" i="5"/>
  <c r="BQ21" i="5" s="1"/>
  <c r="E4" i="2"/>
  <c r="CH2" i="2"/>
  <c r="CI5" i="2" s="1"/>
  <c r="AK29" i="2"/>
  <c r="AG3" i="2"/>
  <c r="AC22" i="2"/>
  <c r="BL22" i="2" s="1"/>
  <c r="AI19" i="2"/>
  <c r="AG16" i="2"/>
  <c r="AL16" i="2"/>
  <c r="AG12" i="2"/>
  <c r="AL10" i="2"/>
  <c r="AI22" i="2"/>
  <c r="AJ22" i="2" s="1"/>
  <c r="CJ5" i="2"/>
  <c r="CJ6" i="2"/>
  <c r="AE6" i="2"/>
  <c r="AE19" i="2"/>
  <c r="CH3" i="2"/>
  <c r="CJ3" i="2" s="1"/>
  <c r="AL23" i="2"/>
  <c r="AI17" i="2"/>
  <c r="AE14" i="2"/>
  <c r="AI24" i="2"/>
  <c r="AJ24" i="2" s="1"/>
  <c r="AE22" i="2"/>
  <c r="AK15" i="2"/>
  <c r="AK17" i="2"/>
  <c r="AG17" i="2"/>
  <c r="AL17" i="2"/>
  <c r="AK24" i="2"/>
  <c r="AG19" i="2"/>
  <c r="AL24" i="2"/>
  <c r="AI15" i="2"/>
  <c r="AJ15" i="2" s="1"/>
  <c r="BP27" i="5"/>
  <c r="BQ27" i="5" s="1"/>
  <c r="BP3" i="5"/>
  <c r="BQ3" i="5" s="1"/>
  <c r="BP11" i="5"/>
  <c r="BQ11" i="5" s="1"/>
  <c r="BP25" i="5"/>
  <c r="BQ25" i="5" s="1"/>
  <c r="AC17" i="2"/>
  <c r="BL17" i="2" s="1"/>
  <c r="AE31" i="2"/>
  <c r="AE12" i="2"/>
  <c r="AK10" i="2"/>
  <c r="AK7" i="2"/>
  <c r="AG7" i="2"/>
  <c r="AS7" i="2" s="1"/>
  <c r="CB8" i="2"/>
  <c r="CB7" i="2"/>
  <c r="AE24" i="2"/>
  <c r="AI30" i="2"/>
  <c r="AI13" i="2"/>
  <c r="BP5" i="5"/>
  <c r="BQ5" i="5" s="1"/>
  <c r="BP17" i="5"/>
  <c r="BQ17" i="5" s="1"/>
  <c r="BP37" i="5"/>
  <c r="BQ37" i="5" s="1"/>
  <c r="BP9" i="5"/>
  <c r="BQ9" i="5" s="1"/>
  <c r="AG14" i="2"/>
  <c r="BP55" i="5"/>
  <c r="BQ55" i="5" s="1"/>
  <c r="BP23" i="5"/>
  <c r="BQ23" i="5" s="1"/>
  <c r="BP63" i="5"/>
  <c r="BQ63" i="5" s="1"/>
  <c r="BP51" i="5"/>
  <c r="BQ51" i="5" s="1"/>
  <c r="BP65" i="5"/>
  <c r="BQ65" i="5" s="1"/>
  <c r="BP31" i="5"/>
  <c r="BQ31" i="5" s="1"/>
  <c r="BP41" i="5"/>
  <c r="BQ41" i="5" s="1"/>
  <c r="AK12" i="2"/>
  <c r="BP43" i="5"/>
  <c r="BQ43" i="5" s="1"/>
  <c r="BP49" i="5"/>
  <c r="BQ49" i="5" s="1"/>
  <c r="AG10" i="2"/>
  <c r="BP39" i="5"/>
  <c r="BQ39" i="5" s="1"/>
  <c r="AL15" i="2"/>
  <c r="E11" i="2"/>
  <c r="BG20" i="2"/>
  <c r="BG11" i="2"/>
  <c r="BG25" i="2"/>
  <c r="BG32" i="2"/>
  <c r="BG12" i="2"/>
  <c r="BG27" i="2"/>
  <c r="BG15" i="2"/>
  <c r="BG13" i="2"/>
  <c r="BG22" i="2"/>
  <c r="BG33" i="2"/>
  <c r="BG6" i="2"/>
  <c r="BG3" i="2"/>
  <c r="BG4" i="2"/>
  <c r="BG10" i="2"/>
  <c r="BG31" i="2"/>
  <c r="BG23" i="2"/>
  <c r="BG26" i="2"/>
  <c r="BG14" i="2"/>
  <c r="BG5" i="2"/>
  <c r="BG19" i="2"/>
  <c r="BG9" i="2"/>
  <c r="BG29" i="2"/>
  <c r="BG17" i="2"/>
  <c r="BG24" i="2"/>
  <c r="BG28" i="2"/>
  <c r="BG8" i="2"/>
  <c r="BG2" i="2"/>
  <c r="K30" i="2"/>
  <c r="E30" i="2"/>
  <c r="BE21" i="2"/>
  <c r="E21" i="2"/>
  <c r="K7" i="2"/>
  <c r="E7" i="2"/>
  <c r="K16" i="2"/>
  <c r="E16" i="2"/>
  <c r="BF16" i="2"/>
  <c r="AC7" i="2"/>
  <c r="BL7" i="2" s="1"/>
  <c r="BE30" i="2"/>
  <c r="BF30" i="2"/>
  <c r="AC4" i="2"/>
  <c r="BL4" i="2" s="1"/>
  <c r="AC24" i="2"/>
  <c r="BL24" i="2" s="1"/>
  <c r="AE4" i="2"/>
  <c r="AC9" i="2"/>
  <c r="BL9" i="2" s="1"/>
  <c r="AC8" i="2"/>
  <c r="BL8" i="2" s="1"/>
  <c r="AC5" i="2"/>
  <c r="BL5" i="2" s="1"/>
  <c r="AK14" i="2"/>
  <c r="AC16" i="2"/>
  <c r="BL16" i="2" s="1"/>
  <c r="AC11" i="2"/>
  <c r="BL11" i="2" s="1"/>
  <c r="AC6" i="2"/>
  <c r="BL6" i="2" s="1"/>
  <c r="AG4" i="2"/>
  <c r="AC32" i="2"/>
  <c r="BL32" i="2" s="1"/>
  <c r="AC21" i="2"/>
  <c r="BL21" i="2" s="1"/>
  <c r="AC28" i="2"/>
  <c r="BL28" i="2" s="1"/>
  <c r="AC20" i="2"/>
  <c r="BL20" i="2" s="1"/>
  <c r="AC10" i="2"/>
  <c r="BL10" i="2" s="1"/>
  <c r="AC30" i="2"/>
  <c r="BL30" i="2" s="1"/>
  <c r="AC2" i="2"/>
  <c r="BL2" i="2" s="1"/>
  <c r="AC23" i="2"/>
  <c r="BL23" i="2" s="1"/>
  <c r="AC13" i="2"/>
  <c r="BL13" i="2" s="1"/>
  <c r="AC3" i="2"/>
  <c r="BL3" i="2" s="1"/>
  <c r="AC25" i="2"/>
  <c r="BL25" i="2" s="1"/>
  <c r="AC33" i="2"/>
  <c r="BL33" i="2" s="1"/>
  <c r="AC19" i="2"/>
  <c r="BL19" i="2" s="1"/>
  <c r="AC31" i="2"/>
  <c r="BL31" i="2" s="1"/>
  <c r="AC27" i="2"/>
  <c r="BL27" i="2" s="1"/>
  <c r="AC14" i="2"/>
  <c r="BL14" i="2" s="1"/>
  <c r="AC26" i="2"/>
  <c r="BL26" i="2" s="1"/>
  <c r="AI4" i="2"/>
  <c r="AL26" i="2"/>
  <c r="AG26" i="2"/>
  <c r="AS26" i="2" s="1"/>
  <c r="AI11" i="2"/>
  <c r="AK25" i="2"/>
  <c r="AI25" i="2"/>
  <c r="AS25" i="2" s="1"/>
  <c r="AC15" i="2"/>
  <c r="BL15" i="2" s="1"/>
  <c r="AK31" i="2"/>
  <c r="AI31" i="2"/>
  <c r="AJ31" i="2" s="1"/>
  <c r="AI12" i="2"/>
  <c r="AC12" i="2"/>
  <c r="BL12" i="2" s="1"/>
  <c r="AI14" i="2"/>
  <c r="AC29" i="2"/>
  <c r="BL29" i="2" s="1"/>
  <c r="AG33" i="2"/>
  <c r="AJ33" i="2" s="1"/>
  <c r="BE16" i="2"/>
  <c r="BS27" i="2"/>
  <c r="BS3" i="2"/>
  <c r="BF7" i="2"/>
  <c r="BE7" i="2"/>
  <c r="BE19" i="2"/>
  <c r="K19" i="2"/>
  <c r="BE20" i="2"/>
  <c r="K20" i="2"/>
  <c r="BF15" i="2"/>
  <c r="K15" i="2"/>
  <c r="BF6" i="2"/>
  <c r="K6" i="2"/>
  <c r="BF3" i="2"/>
  <c r="K3" i="2"/>
  <c r="BE29" i="2"/>
  <c r="K29" i="2"/>
  <c r="BE33" i="2"/>
  <c r="K33" i="2"/>
  <c r="BE32" i="2"/>
  <c r="K32" i="2"/>
  <c r="BE27" i="2"/>
  <c r="K27" i="2"/>
  <c r="BF27" i="2"/>
  <c r="BE24" i="2"/>
  <c r="K24" i="2"/>
  <c r="BF5" i="2"/>
  <c r="K5" i="2"/>
  <c r="BE13" i="2"/>
  <c r="K13" i="2"/>
  <c r="BF22" i="2"/>
  <c r="K22" i="2"/>
  <c r="BE8" i="2"/>
  <c r="K8" i="2"/>
  <c r="BF17" i="2"/>
  <c r="K17" i="2"/>
  <c r="BF11" i="2"/>
  <c r="K11" i="2"/>
  <c r="BF2" i="2"/>
  <c r="K2" i="2"/>
  <c r="BF21" i="2"/>
  <c r="K21" i="2"/>
  <c r="BF12" i="2"/>
  <c r="K12" i="2"/>
  <c r="BE10" i="2"/>
  <c r="K10" i="2"/>
  <c r="BF25" i="2"/>
  <c r="K25" i="2"/>
  <c r="BF14" i="2"/>
  <c r="K14" i="2"/>
  <c r="BF26" i="2"/>
  <c r="K26" i="2"/>
  <c r="BE9" i="2"/>
  <c r="K9" i="2"/>
  <c r="BF4" i="2"/>
  <c r="K4" i="2"/>
  <c r="BF31" i="2"/>
  <c r="K31" i="2"/>
  <c r="BE28" i="2"/>
  <c r="K28" i="2"/>
  <c r="BF23" i="2"/>
  <c r="K23" i="2"/>
  <c r="BE23" i="2"/>
  <c r="BS24" i="2"/>
  <c r="BS2" i="2"/>
  <c r="BS14" i="2"/>
  <c r="BE2" i="2"/>
  <c r="BS25" i="2"/>
  <c r="AL13" i="2"/>
  <c r="BS9" i="2"/>
  <c r="BS33" i="2"/>
  <c r="BS13" i="2"/>
  <c r="AL28" i="2"/>
  <c r="AK28" i="2"/>
  <c r="BS5" i="2"/>
  <c r="AL12" i="2"/>
  <c r="BS6" i="2"/>
  <c r="BF28" i="2"/>
  <c r="AL30" i="2"/>
  <c r="BS15" i="2"/>
  <c r="AK8" i="2"/>
  <c r="AK30" i="2"/>
  <c r="BS19" i="2"/>
  <c r="AL25" i="2"/>
  <c r="BS30" i="2"/>
  <c r="BS8" i="2"/>
  <c r="BS11" i="2"/>
  <c r="AL31" i="2"/>
  <c r="BS31" i="2"/>
  <c r="BS10" i="2"/>
  <c r="BS7" i="2"/>
  <c r="BS21" i="2"/>
  <c r="BS32" i="2"/>
  <c r="BS28" i="2"/>
  <c r="BS16" i="2"/>
  <c r="BS26" i="2"/>
  <c r="BE11" i="2"/>
  <c r="BS17" i="2"/>
  <c r="AK19" i="2"/>
  <c r="AL11" i="2"/>
  <c r="AK4" i="2"/>
  <c r="AL22" i="2"/>
  <c r="AK22" i="2"/>
  <c r="AK27" i="2"/>
  <c r="BS12" i="2"/>
  <c r="AL19" i="2"/>
  <c r="BS29" i="2"/>
  <c r="AL8" i="2"/>
  <c r="AK33" i="2"/>
  <c r="AK13" i="2"/>
  <c r="AK26" i="2"/>
  <c r="AL6" i="2"/>
  <c r="AL18" i="2"/>
  <c r="AL14" i="2"/>
  <c r="AL27" i="2"/>
  <c r="AL4" i="2"/>
  <c r="BF32" i="2"/>
  <c r="BF29" i="2"/>
  <c r="BS23" i="2"/>
  <c r="BF10" i="2"/>
  <c r="AK6" i="2"/>
  <c r="BS20" i="2"/>
  <c r="BS22" i="2"/>
  <c r="BE14" i="2"/>
  <c r="BE17" i="2"/>
  <c r="BE4" i="2"/>
  <c r="BE22" i="2"/>
  <c r="BF20" i="2"/>
  <c r="BF19" i="2"/>
  <c r="BS4" i="2"/>
  <c r="BE25" i="2"/>
  <c r="AK18" i="2"/>
  <c r="BE3" i="2"/>
  <c r="BF8" i="2"/>
  <c r="BF33" i="2"/>
  <c r="BE31" i="2"/>
  <c r="BE5" i="2"/>
  <c r="BE6" i="2"/>
  <c r="BF24" i="2"/>
  <c r="BF9" i="2"/>
  <c r="BF13" i="2"/>
  <c r="BE12" i="2"/>
  <c r="BE15" i="2"/>
  <c r="BE26"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18" i="2"/>
  <c r="AW18" i="2"/>
  <c r="BA18" i="2"/>
  <c r="P18" i="2"/>
  <c r="P36" i="2" s="1"/>
  <c r="J18" i="2"/>
  <c r="CB2" i="2" s="1"/>
  <c r="BC18" i="2"/>
  <c r="X18" i="2"/>
  <c r="X36" i="2" s="1"/>
  <c r="BQ18" i="2"/>
  <c r="BT18" i="2" s="1"/>
  <c r="BP18" i="2"/>
  <c r="BP37" i="2" s="1"/>
  <c r="BR1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7" i="2"/>
  <c r="AJ10" i="2"/>
  <c r="AJ3" i="2"/>
  <c r="AJ11" i="2"/>
  <c r="AJ19" i="2"/>
  <c r="AJ12" i="2"/>
  <c r="AJ13" i="2"/>
  <c r="AJ30" i="2"/>
  <c r="AJ14" i="2"/>
  <c r="AJ16" i="2"/>
  <c r="AJ8" i="2"/>
  <c r="AJ4" i="2"/>
  <c r="AJ7" i="2"/>
  <c r="AJ25"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12" i="2"/>
  <c r="AR12" i="2" s="1"/>
  <c r="AN24" i="2"/>
  <c r="AR24" i="2" s="1"/>
  <c r="AM20" i="2"/>
  <c r="AM33" i="2"/>
  <c r="AN3" i="2"/>
  <c r="AR3" i="2" s="1"/>
  <c r="AM32" i="2"/>
  <c r="AN21" i="2"/>
  <c r="AR21" i="2" s="1"/>
  <c r="AN19" i="2"/>
  <c r="AR19" i="2" s="1"/>
  <c r="AM28" i="2"/>
  <c r="AM31" i="2"/>
  <c r="AM24" i="2"/>
  <c r="AN10" i="2"/>
  <c r="AR10" i="2" s="1"/>
  <c r="AM14" i="2"/>
  <c r="AN20" i="2"/>
  <c r="AR20" i="2" s="1"/>
  <c r="AN8" i="2"/>
  <c r="AR8" i="2" s="1"/>
  <c r="AN28" i="2"/>
  <c r="AR28" i="2" s="1"/>
  <c r="AM12" i="2"/>
  <c r="AN17" i="2"/>
  <c r="AR17" i="2" s="1"/>
  <c r="AN29" i="2"/>
  <c r="AM6" i="2"/>
  <c r="AM27" i="2"/>
  <c r="AN31" i="2"/>
  <c r="AR31" i="2" s="1"/>
  <c r="AN16" i="2"/>
  <c r="AR16" i="2" s="1"/>
  <c r="AM23" i="2"/>
  <c r="AM17" i="2"/>
  <c r="AM9" i="2"/>
  <c r="AM5" i="2"/>
  <c r="AM7" i="2"/>
  <c r="AM15" i="2"/>
  <c r="AM25" i="2"/>
  <c r="AM10" i="2"/>
  <c r="AM16" i="2"/>
  <c r="AN2" i="2"/>
  <c r="AR2" i="2" s="1"/>
  <c r="AN4" i="2"/>
  <c r="AR4" i="2" s="1"/>
  <c r="AN11" i="2"/>
  <c r="AR11" i="2" s="1"/>
  <c r="AN25" i="2"/>
  <c r="AR25" i="2" s="1"/>
  <c r="AN26" i="2"/>
  <c r="AR26" i="2" s="1"/>
  <c r="AN33" i="2"/>
  <c r="AR33" i="2" s="1"/>
  <c r="AM4" i="2"/>
  <c r="AM19" i="2"/>
  <c r="AM11" i="2"/>
  <c r="AN14" i="2"/>
  <c r="AR14" i="2" s="1"/>
  <c r="AM3" i="2"/>
  <c r="AM2" i="2"/>
  <c r="AN23" i="2"/>
  <c r="AR23" i="2" s="1"/>
  <c r="AN7" i="2"/>
  <c r="AR7" i="2" s="1"/>
  <c r="AN9" i="2"/>
  <c r="AR9" i="2" s="1"/>
  <c r="AM22" i="2"/>
  <c r="AN22" i="2"/>
  <c r="AR22" i="2" s="1"/>
  <c r="AN13" i="2"/>
  <c r="AR13" i="2" s="1"/>
  <c r="AN27" i="2"/>
  <c r="AR27" i="2" s="1"/>
  <c r="AM29" i="2"/>
  <c r="BM29" i="2" s="1"/>
  <c r="AM30" i="2"/>
  <c r="AM8" i="2"/>
  <c r="AN6" i="2"/>
  <c r="AR6" i="2" s="1"/>
  <c r="AN5" i="2"/>
  <c r="AR5" i="2" s="1"/>
  <c r="AM26" i="2"/>
  <c r="AN30" i="2"/>
  <c r="AR30" i="2" s="1"/>
  <c r="AM13" i="2"/>
  <c r="AN15" i="2"/>
  <c r="AR15" i="2" s="1"/>
  <c r="AN32" i="2"/>
  <c r="AR32" i="2" s="1"/>
  <c r="AM21" i="2"/>
  <c r="AS29" i="2"/>
  <c r="AN18" i="2"/>
  <c r="AS6" i="2"/>
  <c r="AS32" i="2"/>
  <c r="AS20" i="2"/>
  <c r="AS11" i="2"/>
  <c r="AS5" i="2"/>
  <c r="AS16" i="2"/>
  <c r="AS28" i="2"/>
  <c r="AP33" i="2"/>
  <c r="AO16" i="2"/>
  <c r="AS33" i="2"/>
  <c r="AS3" i="2"/>
  <c r="AS10" i="2"/>
  <c r="AS17" i="2"/>
  <c r="AS8" i="2"/>
  <c r="AS13" i="2"/>
  <c r="AS4" i="2"/>
  <c r="AS30" i="2"/>
  <c r="AS15" i="2"/>
  <c r="AS14" i="2"/>
  <c r="AS24" i="2"/>
  <c r="AS12" i="2"/>
  <c r="AS31" i="2"/>
  <c r="AS22" i="2"/>
  <c r="AS19" i="2"/>
  <c r="CA18" i="2"/>
  <c r="CI6" i="2"/>
  <c r="CH4" i="2"/>
  <c r="CJ4" i="2" s="1"/>
  <c r="CB4" i="2"/>
  <c r="CB11" i="2"/>
  <c r="AO7" i="2"/>
  <c r="BQ67" i="5"/>
  <c r="BP67" i="5"/>
  <c r="AP30" i="2"/>
  <c r="AP16" i="2"/>
  <c r="BG18" i="2"/>
  <c r="BG36" i="2" s="1"/>
  <c r="AP7" i="2"/>
  <c r="K18" i="2"/>
  <c r="AP18" i="2" s="1"/>
  <c r="E18" i="2"/>
  <c r="E35" i="2" s="1"/>
  <c r="AP26" i="2"/>
  <c r="AC18" i="2"/>
  <c r="BL18" i="2" s="1"/>
  <c r="AO30" i="2"/>
  <c r="AM18" i="2"/>
  <c r="AP22" i="2"/>
  <c r="AP6" i="2"/>
  <c r="AP19" i="2"/>
  <c r="AO3" i="2"/>
  <c r="AP3" i="2"/>
  <c r="AO23" i="2"/>
  <c r="AP23" i="2"/>
  <c r="AO14" i="2"/>
  <c r="AP14" i="2"/>
  <c r="AO11" i="2"/>
  <c r="AP11" i="2"/>
  <c r="AO24" i="2"/>
  <c r="AP24" i="2"/>
  <c r="AO9" i="2"/>
  <c r="AP9" i="2"/>
  <c r="AO21" i="2"/>
  <c r="AP21" i="2"/>
  <c r="AP13" i="2"/>
  <c r="AP27" i="2"/>
  <c r="AO29" i="2"/>
  <c r="AP29" i="2"/>
  <c r="AO15" i="2"/>
  <c r="AP15" i="2"/>
  <c r="AO32" i="2"/>
  <c r="AP32" i="2"/>
  <c r="AO20" i="2"/>
  <c r="AP20" i="2"/>
  <c r="AP4" i="2"/>
  <c r="AO12" i="2"/>
  <c r="AP12" i="2"/>
  <c r="AP28" i="2"/>
  <c r="AO25" i="2"/>
  <c r="AP25" i="2"/>
  <c r="AO17" i="2"/>
  <c r="AP17" i="2"/>
  <c r="AO31" i="2"/>
  <c r="AP31" i="2"/>
  <c r="AO10" i="2"/>
  <c r="AP10" i="2"/>
  <c r="AO2" i="2"/>
  <c r="AP2" i="2"/>
  <c r="AP8" i="2"/>
  <c r="AO5" i="2"/>
  <c r="AP5" i="2"/>
  <c r="AO6" i="2"/>
  <c r="AO19" i="2"/>
  <c r="AO28" i="2"/>
  <c r="AO13" i="2"/>
  <c r="AO27" i="2"/>
  <c r="AO33" i="2"/>
  <c r="AO26" i="2"/>
  <c r="AO8" i="2"/>
  <c r="AO4" i="2"/>
  <c r="AO22" i="2"/>
  <c r="BE18" i="2"/>
  <c r="BE35" i="2" s="1"/>
  <c r="BF18" i="2"/>
  <c r="BF36" i="2" s="1"/>
  <c r="BQ67" i="4"/>
  <c r="BQ68" i="4" s="1"/>
  <c r="BP67" i="4"/>
  <c r="BP68" i="4" s="1"/>
  <c r="BS18" i="2"/>
  <c r="BS37" i="2" s="1"/>
  <c r="BD18" i="2"/>
  <c r="BQ67" i="8" l="1"/>
  <c r="BQ68" i="8" s="1"/>
  <c r="BP68" i="8"/>
  <c r="BP68" i="10"/>
  <c r="BM18" i="2"/>
  <c r="AQ22" i="2"/>
  <c r="BM22" i="2"/>
  <c r="AQ16" i="2"/>
  <c r="BM16" i="2"/>
  <c r="AQ21" i="2"/>
  <c r="BM21" i="2"/>
  <c r="AQ25" i="2"/>
  <c r="BM25" i="2"/>
  <c r="AQ2" i="2"/>
  <c r="BM2" i="2"/>
  <c r="AQ7" i="2"/>
  <c r="BM7" i="2"/>
  <c r="AQ13" i="2"/>
  <c r="BM13" i="2"/>
  <c r="AQ3" i="2"/>
  <c r="BM3" i="2"/>
  <c r="AQ5" i="2"/>
  <c r="BM5" i="2"/>
  <c r="AQ24" i="2"/>
  <c r="BM24" i="2"/>
  <c r="AQ9" i="2"/>
  <c r="BM9" i="2"/>
  <c r="AQ31" i="2"/>
  <c r="BM31" i="2"/>
  <c r="AQ26" i="2"/>
  <c r="BM26" i="2"/>
  <c r="AQ11" i="2"/>
  <c r="BM11" i="2"/>
  <c r="AQ17" i="2"/>
  <c r="BM17" i="2"/>
  <c r="AQ28" i="2"/>
  <c r="BM28" i="2"/>
  <c r="AQ19" i="2"/>
  <c r="BM19" i="2"/>
  <c r="AQ23" i="2"/>
  <c r="BM23" i="2"/>
  <c r="AQ4" i="2"/>
  <c r="BM4" i="2"/>
  <c r="AQ14" i="2"/>
  <c r="BM14" i="2"/>
  <c r="AQ8" i="2"/>
  <c r="BM8" i="2"/>
  <c r="AQ32" i="2"/>
  <c r="BM32" i="2"/>
  <c r="AQ30" i="2"/>
  <c r="BM30" i="2"/>
  <c r="AQ27" i="2"/>
  <c r="BM27" i="2"/>
  <c r="AQ6" i="2"/>
  <c r="BM6" i="2"/>
  <c r="AQ33" i="2"/>
  <c r="BM33" i="2"/>
  <c r="AQ15" i="2"/>
  <c r="BM15" i="2"/>
  <c r="AQ20" i="2"/>
  <c r="BM20" i="2"/>
  <c r="AQ10" i="2"/>
  <c r="BM10" i="2"/>
  <c r="AQ12" i="2"/>
  <c r="BM12" i="2"/>
  <c r="AC37" i="2"/>
  <c r="BS35" i="2"/>
  <c r="K37" i="2"/>
  <c r="AC35" i="2"/>
  <c r="BF37" i="2"/>
  <c r="BF35" i="2"/>
  <c r="BE36" i="2"/>
  <c r="BE37" i="2"/>
  <c r="BS36" i="2"/>
  <c r="AP36" i="2"/>
  <c r="AP35" i="2"/>
  <c r="AP37" i="2"/>
  <c r="K36" i="2"/>
  <c r="BD35" i="2"/>
  <c r="BD37" i="2"/>
  <c r="BD36" i="2"/>
  <c r="BG37" i="2"/>
  <c r="E36" i="2"/>
  <c r="AC36" i="2"/>
  <c r="BG35" i="2"/>
  <c r="E37" i="2"/>
  <c r="AR29" i="2"/>
  <c r="AN35" i="2"/>
  <c r="AN37" i="2"/>
  <c r="AN36" i="2"/>
  <c r="AQ29" i="2"/>
  <c r="AM35" i="2"/>
  <c r="AM37" i="2"/>
  <c r="AM36" i="2"/>
  <c r="K35" i="2"/>
  <c r="CI7" i="2"/>
  <c r="CI8" i="2" s="1"/>
  <c r="AR18" i="2"/>
  <c r="AQ18" i="2"/>
  <c r="CJ7" i="2"/>
  <c r="CK4" i="2" s="1"/>
  <c r="AO1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<sst xmlns="http://schemas.openxmlformats.org/spreadsheetml/2006/main" count="7496" uniqueCount="1853">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</sst>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s>
  <borders count="5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s>
  <cellStyleXfs count="2">
    <xf numFmtId="0" fontId="0" fillId="0" borderId="0"/>
    <xf numFmtId="0" fontId="2" fillId="4" borderId="12" applyNumberFormat="0" applyAlignment="0" applyProtection="0"/>
  </cellStyleXfs>
  <cellXfs count="13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48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C1C1"/>
      <color rgb="FFFFE1E1"/>
      <color rgb="FFF2AAA8"/>
      <color rgb="FFFFD1D1"/>
      <color rgb="FFF8D1D0"/>
      <color rgb="FFED7777"/>
      <color rgb="FFD6A300"/>
      <color rgb="FFEAB200"/>
      <color rgb="FFFFCCCC"/>
      <color rgb="FFE9CF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-4</c:v>
                </c:pt>
                <c:pt idx="790">
                  <c:v>-2</c:v>
                </c:pt>
                <c:pt idx="791">
                  <c:v>-2</c:v>
                </c:pt>
                <c:pt idx="792">
                  <c:v>-4</c:v>
                </c:pt>
                <c:pt idx="793">
                  <c:v>-4</c:v>
                </c:pt>
                <c:pt idx="794">
                  <c:v>-2</c:v>
                </c:pt>
                <c:pt idx="795">
                  <c:v>-4</c:v>
                </c:pt>
                <c:pt idx="796">
                  <c:v>-2</c:v>
                </c:pt>
                <c:pt idx="797">
                  <c:v>-2</c:v>
                </c:pt>
                <c:pt idx="798">
                  <c:v>-4</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-3</c:v>
                </c:pt>
                <c:pt idx="790">
                  <c:v>1</c:v>
                </c:pt>
                <c:pt idx="791">
                  <c:v>2</c:v>
                </c:pt>
                <c:pt idx="792">
                  <c:v>-3</c:v>
                </c:pt>
                <c:pt idx="793">
                  <c:v>-3</c:v>
                </c:pt>
                <c:pt idx="794">
                  <c:v>-3</c:v>
                </c:pt>
                <c:pt idx="795">
                  <c:v>-2</c:v>
                </c:pt>
                <c:pt idx="796">
                  <c:v>-4</c:v>
                </c:pt>
                <c:pt idx="797">
                  <c:v>-4</c:v>
                </c:pt>
                <c:pt idx="798">
                  <c:v>-3</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07"/>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-16</c:v>
                </c:pt>
                <c:pt idx="790">
                  <c:v>-16</c:v>
                </c:pt>
                <c:pt idx="791">
                  <c:v>-16</c:v>
                </c:pt>
                <c:pt idx="792">
                  <c:v>-16</c:v>
                </c:pt>
                <c:pt idx="793">
                  <c:v>-16</c:v>
                </c:pt>
                <c:pt idx="794">
                  <c:v>-14</c:v>
                </c:pt>
                <c:pt idx="795">
                  <c:v>-14</c:v>
                </c:pt>
                <c:pt idx="796">
                  <c:v>-14</c:v>
                </c:pt>
                <c:pt idx="797">
                  <c:v>-14</c:v>
                </c:pt>
                <c:pt idx="798">
                  <c:v>-14</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07"/>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-6</c:v>
                </c:pt>
                <c:pt idx="790">
                  <c:v>-6</c:v>
                </c:pt>
                <c:pt idx="791">
                  <c:v>-6</c:v>
                </c:pt>
                <c:pt idx="792">
                  <c:v>-6</c:v>
                </c:pt>
                <c:pt idx="793">
                  <c:v>-6</c:v>
                </c:pt>
                <c:pt idx="794">
                  <c:v>-16</c:v>
                </c:pt>
                <c:pt idx="795">
                  <c:v>-16</c:v>
                </c:pt>
                <c:pt idx="796">
                  <c:v>-16</c:v>
                </c:pt>
                <c:pt idx="797">
                  <c:v>-16</c:v>
                </c:pt>
                <c:pt idx="798">
                  <c:v>-16</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a:t>
            </a:r>
            <a:r>
              <a:rPr lang="en-CA" baseline="0"/>
              <a:t>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65</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N1314" headerRowDxfId="482" dataDxfId="480" headerRowBorderDxfId="481">
  <autoFilter ref="A2:AN1314" xr:uid="{5B054025-4CD5-437B-A2B1-4953810278F9}"/>
  <tableColumns count="40">
    <tableColumn id="1" xr3:uid="{4F0EF3E3-5ED2-413B-9486-9498BEF02C85}" name="DatePickMade" totalsRowLabel="Total" dataDxfId="479" totalsRowDxfId="478"/>
    <tableColumn id="2" xr3:uid="{39F623AD-0A71-404E-ACB2-FF5C232C4B60}" name="GameDate" dataDxfId="477" totalsRowDxfId="476"/>
    <tableColumn id="3" xr3:uid="{F9CBDD2B-6977-478D-B9B1-48132BC29B8D}" name="GameID" dataDxfId="475" totalsRowDxfId="474"/>
    <tableColumn id="4" xr3:uid="{2B6D103E-CF04-4221-A032-6566D087A240}" name="AwayTeam" totalsRowFunction="count" dataDxfId="473" totalsRowDxfId="472"/>
    <tableColumn id="5" xr3:uid="{E9B83039-5C7E-45B4-A5F1-F54DF85D8DB5}" name="HomeTeam" totalsRowFunction="count" dataDxfId="471" totalsRowDxfId="470"/>
    <tableColumn id="6" xr3:uid="{CA60FB2E-C878-4F57-9486-8FFAB21268D1}" name="PredictedAwayScore" totalsRowFunction="count" dataDxfId="469" totalsRowDxfId="468"/>
    <tableColumn id="7" xr3:uid="{BDE84EDC-079B-4057-84F6-42C28780CF56}" name="PredictedHomeScore" totalsRowFunction="count" dataDxfId="467" totalsRowDxfId="466"/>
    <tableColumn id="8" xr3:uid="{AB1145B6-73D2-4952-891E-2532100229DC}" name="PredictedWinner" totalsRowFunction="count" dataDxfId="465" totalsRowDxfId="464"/>
    <tableColumn id="9" xr3:uid="{0FDA5C85-1339-41A1-AEB6-455F4E077F46}" name="PredictedResult" totalsRowFunction="count" dataDxfId="463" totalsRowDxfId="462"/>
    <tableColumn id="10" xr3:uid="{6C6A6DF0-F9AE-4DAF-8957-8621DF7520A2}" name="ActualAwayScore" totalsRowFunction="count" dataDxfId="461"/>
    <tableColumn id="11" xr3:uid="{B8B678E5-1823-43AE-95CC-BEE79D908CEE}" name="ActualHomeScore" totalsRowFunction="count" dataDxfId="460" totalsRowDxfId="459"/>
    <tableColumn id="12" xr3:uid="{C650F2F7-7978-49EE-8737-DCE1A6311E23}" name="ActualWinner" totalsRowFunction="count" dataDxfId="458" totalsRowDxfId="457">
      <calculatedColumnFormula>IF(OR($J3=$K3,AND(ISBLANK($J3),ISBLANK($K3))),"_",IF($J3&gt;$K3,$D3,$E3))</calculatedColumnFormula>
    </tableColumn>
    <tableColumn id="13" xr3:uid="{C3C777BB-B7C0-4722-9240-DAC37612029E}" name="ActualResult" totalsRowFunction="count" dataDxfId="456" totalsRowDxfId="455"/>
    <tableColumn id="17" xr3:uid="{239B68C2-07A2-4506-9EC8-00E52DD7178A}" name="GameIsOver" totalsRowFunction="count" dataDxfId="454" totalsRowDxfId="453">
      <calculatedColumnFormula>IF(ISBLANK(Table2[[#This Row],[ActualResult]]), 0, 1)</calculatedColumnFormula>
    </tableColumn>
    <tableColumn id="14" xr3:uid="{C40BC093-C7BF-4F78-9D28-E8E87FFCAD46}" name="CorrectWinnerPrediction" totalsRowFunction="count" dataDxfId="452" totalsRowDxfId="451">
      <calculatedColumnFormula>IF(ISBLANK(Table2[[#This Row],[ActualResult]]), "_", IF(Table2[[#This Row],[ActualWinner]]=Table2[[#This Row],[PredictedWinner]], "Y", "N"))</calculatedColumnFormula>
    </tableColumn>
    <tableColumn id="15" xr3:uid="{C618B085-5C74-412F-85AA-D89305FDA75C}" name="CorrectAwayScorePrediction" totalsRowFunction="count" dataDxfId="450" totalsRowDxfId="44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448" totalsRowDxfId="44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446" totalsRowDxfId="445"/>
    <tableColumn id="19" xr3:uid="{665B4234-0C9B-451F-996C-0671FAEA8ED7}" name="LosingTeam" totalsRowFunction="count" dataDxfId="444" totalsRowDxfId="443">
      <calculatedColumnFormula>IF($L3="_", "_", IF($L3=$D3,$E3,$D3))</calculatedColumnFormula>
    </tableColumn>
    <tableColumn id="20" xr3:uid="{44E37CA6-669F-47CA-95D2-B831EB8B3628}" name="InterConf" totalsRowFunction="count" dataDxfId="442" totalsRowDxfId="44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440" totalsRowDxfId="43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438" totalsRowDxfId="437">
      <calculatedColumnFormula>IF(Table2[[#This Row],[InterConf]]=1,IF(Table2[[#This Row],[InterDiv]]=0, 1, 0), 0)</calculatedColumnFormula>
    </tableColumn>
    <tableColumn id="22" xr3:uid="{CF57AF56-FFCF-4952-BAB8-36DAD7FDF03B}" name="CrossConf" totalsRowFunction="count" dataDxfId="436" totalsRowDxfId="43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434" totalsRowDxfId="433"/>
    <tableColumn id="25" xr3:uid="{5D6968E6-45CE-4B45-818F-1A4B201A39D4}" name="PostGameNotes" totalsRowFunction="count" dataDxfId="432" totalsRowDxfId="431"/>
    <tableColumn id="26" xr3:uid="{4CC012EB-DB6C-4853-A5B9-75650FDCD78B}" name="GameHasShutOut" dataDxfId="430" totalsRowDxfId="429">
      <calculatedColumnFormula>IF(AND(Table2[[#This Row],[GameIsOver]]=1,Table2[[#This Row],[ActualHomeScore]]*Table2[[#This Row],[ActualAwayScore]]=0), 1,0)</calculatedColumnFormula>
    </tableColumn>
    <tableColumn id="30" xr3:uid="{9F2BC698-979E-418D-A635-D09045DEAC35}" name="NewPointsAway" dataDxfId="428" totalsRowDxfId="42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426" totalsRowDxfId="42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424" totalsRowDxfId="423">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422" totalsRowDxfId="421">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420" totalsRowDxfId="41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418" totalsRowDxfId="417">
      <calculatedColumnFormula>Table2[[#This Row],[ActualAwayScore]]-Table2[[#This Row],[PredictedAwayScore]]</calculatedColumnFormula>
    </tableColumn>
    <tableColumn id="33" xr3:uid="{6DAB8D33-9AC0-4212-9CC7-EE429158576E}" name="PredictedHomeScorePlusMinus" dataDxfId="416" totalsRowDxfId="415">
      <calculatedColumnFormula>Table2[[#This Row],[ActualHomeScore]]-Table2[[#This Row],[PredictedHomeScore]]</calculatedColumnFormula>
    </tableColumn>
    <tableColumn id="34" xr3:uid="{A99B5A7F-1537-4AAF-9568-8B0736364400}" name="PredictedAwayScorePlusMinusByDate" dataDxfId="414" totalsRowDxfId="413">
      <calculatedColumnFormula>SUMIF($B$3:$B$1315, $B3, $AF$3:$AF$1315)</calculatedColumnFormula>
    </tableColumn>
    <tableColumn id="35" xr3:uid="{438B3C73-5C9F-4061-9177-ADA21EB41F1F}" name="PredictedHomeScorePlusMinusByDate" dataDxfId="412" totalsRowDxfId="411">
      <calculatedColumnFormula>SUMIF($B$3:$B$1315, $B3, $AG$3:$AG$1315)</calculatedColumnFormula>
    </tableColumn>
    <tableColumn id="36" xr3:uid="{4D822B59-35DC-4091-9231-8369AB949EE5}" name="WatchOrder" dataDxfId="410" totalsRowDxfId="409"/>
    <tableColumn id="37" xr3:uid="{B77EE501-1744-4AD0-B258-0585548DBA89}" name="WatchDate" dataDxfId="408" totalsRowDxfId="407"/>
    <tableColumn id="38" xr3:uid="{6E91C3FB-94AE-4E5D-952D-6DEEE0AE52C5}" name="AwayWon" dataDxfId="406" totalsRowDxfId="405">
      <calculatedColumnFormula>IF(Table2[[#This Row],[GameIsOver]]=0,0,IF(Table2[[#This Row],[ActualWinner]]=Table2[[#This Row],[AwayTeam]], 1, 0))</calculatedColumnFormula>
    </tableColumn>
    <tableColumn id="39" xr3:uid="{8C5EB50B-6F82-4CA5-B10D-C226C8E2B357}" name="HomeWon_" dataDxfId="404" totalsRowDxfId="403">
      <calculatedColumnFormula>IF(Table2[[#This Row],[GameIsOver]]=0,0,IF(Table2[[#This Row],[ActualWinner]]=Table2[[#This Row],[HomeTeam]], 1, 0))</calculatedColumnFormula>
    </tableColumn>
    <tableColumn id="40" xr3:uid="{A42264ED-7176-47E8-841D-E620963E19E8}" name="SearchTeamPlays" dataDxfId="402" totalsRowDxfId="401">
      <calculatedColumnFormula>IF(IFERROR(FIND(Table2[[#This Row],[AwayTeam]], _xlfn.TEXTJOIN(";", 1, $AV$31:$AV$40)), 0) &gt; 0, 1, 0) + IF(IFERROR(FIND(Table2[[#This Row],[HomeTeam]], _xlfn.TEXTJOIN(";", 1, $AV$31:$AV$40)), 0) &gt; 0,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400" dataDxfId="399">
  <autoFilter ref="A1:AG273" xr:uid="{74EEDFCB-ED7A-4BB1-A2EE-67F4F56372D2}"/>
  <tableColumns count="33">
    <tableColumn id="1" xr3:uid="{A49AAD1C-7D7D-45B8-A139-0779BA31A77E}" name="Date" dataDxfId="398"/>
    <tableColumn id="2" xr3:uid="{730CD6D2-246F-432B-8EEB-0203EE317A26}" name="ANA" dataDxfId="397">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396"/>
    <tableColumn id="4" xr3:uid="{87F00FE4-13FE-4967-9AA3-C167D9305BF9}" name="BUF" dataDxfId="395"/>
    <tableColumn id="5" xr3:uid="{E4871159-5731-4550-8344-84BE83ED01F0}" name="CAR" dataDxfId="394"/>
    <tableColumn id="6" xr3:uid="{5725D175-4124-4B24-993F-7A6EFE1491AC}" name="CBJ" dataDxfId="393"/>
    <tableColumn id="7" xr3:uid="{C13EFE5D-116B-45F1-A9D9-40B119CB0AD5}" name="CGY" dataDxfId="392"/>
    <tableColumn id="8" xr3:uid="{64E13E1C-E642-404F-86A4-5519B5259476}" name="CHI" dataDxfId="391"/>
    <tableColumn id="9" xr3:uid="{36E64709-D15B-46B3-A7DE-B98D6486B271}" name="COL" dataDxfId="390"/>
    <tableColumn id="10" xr3:uid="{1CD1FEAC-B353-4165-A857-F8E64B61D6BA}" name="DAL" dataDxfId="389"/>
    <tableColumn id="11" xr3:uid="{23CC1A05-CF3C-41D9-ADFE-F115BEFC985F}" name="DET" dataDxfId="388"/>
    <tableColumn id="12" xr3:uid="{1C5CEC72-E9F1-43F8-A2AB-965A58C697FF}" name="EDM" dataDxfId="387"/>
    <tableColumn id="13" xr3:uid="{CC6E7C18-A903-499F-B324-61FD69F457D3}" name="FLA" dataDxfId="386"/>
    <tableColumn id="14" xr3:uid="{EA30EDB7-6072-42F9-B2C0-5015D88CD405}" name="LAK" dataDxfId="385"/>
    <tableColumn id="15" xr3:uid="{43F59676-0F92-4F04-B89B-D52DE8300412}" name="MIN" dataDxfId="384"/>
    <tableColumn id="16" xr3:uid="{74052D50-F767-4835-96C3-D812137B6B78}" name="MTL" dataDxfId="383"/>
    <tableColumn id="17" xr3:uid="{090B024D-8AC7-4C1B-9B31-4454C3F37CB3}" name="NJD" dataDxfId="382"/>
    <tableColumn id="18" xr3:uid="{526C0944-F465-462A-8ECA-BF074D7EB1DE}" name="NSH" dataDxfId="381"/>
    <tableColumn id="19" xr3:uid="{7C20E30B-1AA1-48BD-A65C-DE528BA72FE6}" name="NYI" dataDxfId="380"/>
    <tableColumn id="20" xr3:uid="{27A2F177-CC7A-4B19-977F-CEA1C51D6C0E}" name="NYR" dataDxfId="379"/>
    <tableColumn id="21" xr3:uid="{073FE83E-0AF1-44C3-AE3C-5BD26992F7D5}" name="OTT" dataDxfId="378"/>
    <tableColumn id="22" xr3:uid="{6370A811-7903-4DD2-9DE8-8D7B816BE146}" name="PHI" dataDxfId="377"/>
    <tableColumn id="23" xr3:uid="{37BEE05D-28D8-4538-8285-29B64599DD4E}" name="PIT" dataDxfId="376"/>
    <tableColumn id="24" xr3:uid="{132755F5-4605-4136-9380-5C1921B33212}" name="SEA" dataDxfId="375"/>
    <tableColumn id="25" xr3:uid="{0468EE05-8CDF-4319-BE9D-D89F14C8E183}" name="SJS" dataDxfId="374"/>
    <tableColumn id="26" xr3:uid="{C0A1252B-B678-413D-B72A-E409CAA4D568}" name="STL" dataDxfId="373"/>
    <tableColumn id="27" xr3:uid="{2FCCA5C4-ADEA-43B2-980E-C95A408B8B92}" name="TBL" dataDxfId="372"/>
    <tableColumn id="28" xr3:uid="{399BA29B-CDF9-4FB4-9C8F-90EF3231D634}" name="TOR" dataDxfId="371"/>
    <tableColumn id="29" xr3:uid="{3FD60A86-C15C-4F59-96BA-7D808B5C7AF7}" name="UTA" dataDxfId="370"/>
    <tableColumn id="30" xr3:uid="{E95E1BF9-F880-45B8-BABE-2E3FFD2EB59F}" name="VAN" dataDxfId="369"/>
    <tableColumn id="31" xr3:uid="{14971F10-0533-4026-A0C3-1CD757193D21}" name="VGK" dataDxfId="368"/>
    <tableColumn id="32" xr3:uid="{78F9574A-44B1-4063-8869-88AD0333E712}" name="WPG" dataDxfId="367"/>
    <tableColumn id="33" xr3:uid="{E013F70D-43E1-4AE8-99B8-77027202A8A5}" name="WSH" dataDxfId="3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365" dataDxfId="364">
  <autoFilter ref="A1:JO33" xr:uid="{2A4A11DC-9405-4D6C-9F97-FDF0CCB41A11}"/>
  <sortState xmlns:xlrd2="http://schemas.microsoft.com/office/spreadsheetml/2017/richdata2" ref="A2:JO33">
    <sortCondition ref="B2:B33"/>
    <sortCondition ref="C2:C33"/>
    <sortCondition descending="1" ref="DP2:DP33"/>
  </sortState>
  <tableColumns count="275">
    <tableColumn id="1" xr3:uid="{6A7086D0-711A-41B7-A4B8-9D377B70EC26}" name="Team" totalsRowLabel="Total" dataDxfId="363"/>
    <tableColumn id="274" xr3:uid="{010ED52E-0419-4863-94F8-9AF3356A2738}" name="Conf" dataDxfId="362"/>
    <tableColumn id="275" xr3:uid="{72531E18-55CF-4588-B22F-9093ECF8BF1A}" name="Div" dataDxfId="361"/>
    <tableColumn id="2" xr3:uid="{BD7886D5-3240-48F9-AD10-972D3E8FE85B}" name="2024-10-03" totalsRowFunction="average" dataDxfId="360">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359">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358">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357">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356">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355">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354">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353">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352">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351">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350">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349">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348">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347">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346">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345">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344">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343">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342">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341">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340">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339">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338">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337">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336">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335">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334">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333">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332">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331">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330">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329">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328">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327">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326">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325">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324">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323">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322">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321">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320">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319">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318">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317">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316">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315">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314">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313">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312">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311">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310">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309">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308">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307">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306">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305">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304">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303">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302">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301">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300">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299">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298">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297">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296">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295">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294">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293">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292">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291">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290">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289">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288">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287">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286">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285">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284">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283">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282">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281">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280">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279">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278">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277">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276">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275">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274">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273">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272">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271">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270">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269">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268">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267">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266">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265">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264">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263">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262">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261">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260">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259">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258">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257">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256">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255">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254">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253">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252">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251">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250">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249">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248">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247">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246">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245">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244">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243">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242">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241">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240">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239">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238">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237">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236">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235">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234">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233">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232">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231">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230">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229">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228">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227">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226">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225">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224">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223">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222">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221">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220">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219">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218">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217">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216">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215">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214">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213">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212">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211">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210">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209">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208">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207">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206">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205">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204">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203">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202">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201">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200">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199">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198">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197">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196">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195">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194">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193">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192">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191">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190">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189">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188">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187">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186">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185">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184">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183">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182">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181">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180">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179">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178">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177">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176">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175">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174">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173">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172">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171">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170">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169">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168">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167">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166">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165">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164">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163">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162">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161">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160"/>
    <tableColumn id="203" xr3:uid="{EF04B5B5-9142-4C44-8A69-7BDEC74C0F2F}" name="2025-04-22" dataDxfId="159"/>
    <tableColumn id="204" xr3:uid="{82B364E6-C40F-4EA4-B27D-9C321844B44D}" name="2025-04-23" dataDxfId="158"/>
    <tableColumn id="205" xr3:uid="{A3EE5B43-B6BC-40EA-85FF-398957E3EC07}" name="2025-04-24" dataDxfId="157"/>
    <tableColumn id="206" xr3:uid="{8772AE8A-933D-46C1-B9C1-60B6C8185E8A}" name="2025-04-25" dataDxfId="156"/>
    <tableColumn id="207" xr3:uid="{484C07C8-EBA2-453D-B583-F930911565C0}" name="2025-04-26" dataDxfId="155"/>
    <tableColumn id="208" xr3:uid="{B52D8603-B5B2-488C-A433-34FD2A683C6B}" name="2025-04-27" dataDxfId="154"/>
    <tableColumn id="209" xr3:uid="{169BF9D8-EE52-429B-B28E-9B5C27822A41}" name="2025-04-28" dataDxfId="153"/>
    <tableColumn id="210" xr3:uid="{84174DF3-C71A-4E90-8847-B6C7B782A654}" name="2025-04-29" dataDxfId="152"/>
    <tableColumn id="211" xr3:uid="{206EDDC5-46BB-4D3A-9BE0-E0197053913D}" name="2025-04-30" dataDxfId="151"/>
    <tableColumn id="212" xr3:uid="{366CA1C4-A2DF-4B3E-A696-C1F3BBAD987A}" name="2025-05-01" dataDxfId="150"/>
    <tableColumn id="213" xr3:uid="{77111EA0-AC60-4806-8C9E-118542B3A239}" name="2025-05-02" dataDxfId="149"/>
    <tableColumn id="214" xr3:uid="{5F31DB5D-F68F-497F-A3C0-14D09C735B50}" name="2025-05-03" dataDxfId="148"/>
    <tableColumn id="215" xr3:uid="{053478A4-6AB5-46FA-AB15-755FCEDA366B}" name="2025-05-04" dataDxfId="147"/>
    <tableColumn id="216" xr3:uid="{E63F8AFE-33C8-44CE-ABD5-87AFA2B2DEE5}" name="2025-05-05" dataDxfId="146"/>
    <tableColumn id="217" xr3:uid="{0F704A9A-705A-4A63-A5CB-2E2030610C2C}" name="2025-05-06" dataDxfId="145"/>
    <tableColumn id="218" xr3:uid="{5C606A6D-1C96-4494-A223-4347F237E33C}" name="2025-05-07" dataDxfId="144"/>
    <tableColumn id="219" xr3:uid="{28C842CB-95E9-41FC-9A54-6285101CA2E4}" name="2025-05-08" dataDxfId="143"/>
    <tableColumn id="220" xr3:uid="{A5ED12A3-494D-4396-97B2-620410EAB47C}" name="2025-05-09" dataDxfId="142"/>
    <tableColumn id="221" xr3:uid="{0A5ABB48-A153-4B93-9AF3-A6C216F7B6FC}" name="2025-05-10" dataDxfId="141"/>
    <tableColumn id="222" xr3:uid="{0405F07C-691E-4156-B1AB-789FB58D118D}" name="2025-05-11" dataDxfId="140"/>
    <tableColumn id="223" xr3:uid="{246E8105-028E-4D2B-A83D-CB77EA9C86B5}" name="2025-05-12" dataDxfId="139"/>
    <tableColumn id="224" xr3:uid="{D81920D6-A5AC-4A82-B2FA-98E67E362CE3}" name="2025-05-13" dataDxfId="138"/>
    <tableColumn id="225" xr3:uid="{CC727698-0496-467C-971F-D75A82A7EBDF}" name="2025-05-14" dataDxfId="137"/>
    <tableColumn id="226" xr3:uid="{339361FD-67CC-4E23-9ACB-B74553C52593}" name="2025-05-15" dataDxfId="136"/>
    <tableColumn id="227" xr3:uid="{4DE55659-72B2-4210-9353-7D9C4CCCE733}" name="2025-05-16" dataDxfId="135"/>
    <tableColumn id="228" xr3:uid="{6215F3BA-5DFF-4976-BC80-78E30D01889D}" name="2025-05-17" dataDxfId="134"/>
    <tableColumn id="229" xr3:uid="{50DA08D7-FC7B-49B0-B3F4-1C4635DE3032}" name="2025-05-18" dataDxfId="133"/>
    <tableColumn id="230" xr3:uid="{30BC1EC6-2069-4300-8391-810C9EC04511}" name="2025-05-19" dataDxfId="132"/>
    <tableColumn id="231" xr3:uid="{3043D2FE-95E0-48AF-ACD8-B5634AE3E9D5}" name="2025-05-20" dataDxfId="131"/>
    <tableColumn id="232" xr3:uid="{A1EAF0F2-FC84-4670-AAF9-B5A7CCF2C92A}" name="2025-05-21" dataDxfId="130"/>
    <tableColumn id="233" xr3:uid="{777586C1-D3DF-470E-B1DC-EF50B354B885}" name="2025-05-22" dataDxfId="129"/>
    <tableColumn id="234" xr3:uid="{F9D2BEE5-0C9C-4591-9625-B5A40D8C6987}" name="2025-05-23" dataDxfId="128"/>
    <tableColumn id="235" xr3:uid="{D5CB1CD3-1B56-4F97-9378-63F4D461B94D}" name="2025-05-24" dataDxfId="127"/>
    <tableColumn id="236" xr3:uid="{4474AF3B-88F1-40B9-B58F-5CC8F0AAE000}" name="2025-05-25" dataDxfId="126"/>
    <tableColumn id="237" xr3:uid="{DD6FFB66-C370-442C-9825-05FDB743FE00}" name="2025-05-26" dataDxfId="125"/>
    <tableColumn id="238" xr3:uid="{9BE32098-E719-426B-8143-7E12C6A3F46A}" name="2025-05-27" dataDxfId="124"/>
    <tableColumn id="239" xr3:uid="{F5D1C276-6464-4D7F-BCBD-5336B596A903}" name="2025-05-28" dataDxfId="123"/>
    <tableColumn id="240" xr3:uid="{31B515AE-008A-4669-8CEE-771E1638A518}" name="2025-05-29" dataDxfId="122"/>
    <tableColumn id="241" xr3:uid="{3200C033-4974-4D1B-A44C-3F837D42D2DC}" name="2025-05-30" dataDxfId="121"/>
    <tableColumn id="242" xr3:uid="{4D4CDA41-067D-4DA0-95F0-4823FC08D4E5}" name="2025-05-31" dataDxfId="120"/>
    <tableColumn id="243" xr3:uid="{3DBF5A2B-0E33-4E1C-9DC2-18CA4F0A1493}" name="2025-06-01" dataDxfId="119"/>
    <tableColumn id="244" xr3:uid="{9D3D72D9-161F-4909-8971-6C5C7D46BAA7}" name="2025-06-02" dataDxfId="118"/>
    <tableColumn id="245" xr3:uid="{232663AE-B137-4CF8-A170-52E93C00C65D}" name="2025-06-03" dataDxfId="117"/>
    <tableColumn id="246" xr3:uid="{BD7A6004-6162-4AC8-9110-BA5E6A9D1049}" name="2025-06-04" dataDxfId="116"/>
    <tableColumn id="247" xr3:uid="{C0AA2183-97B0-473E-8388-F06F8164380F}" name="2025-06-05" dataDxfId="115"/>
    <tableColumn id="248" xr3:uid="{F84BC399-3949-4C18-ABAA-64C17BEA5CE0}" name="2025-06-06" dataDxfId="114"/>
    <tableColumn id="249" xr3:uid="{4A9CC113-874C-4FC8-A1A6-63A95A893D95}" name="2025-06-07" dataDxfId="113"/>
    <tableColumn id="250" xr3:uid="{6A253FC8-C38B-4237-BE92-22BD7FDA4D1D}" name="2025-06-08" dataDxfId="112"/>
    <tableColumn id="251" xr3:uid="{ABD1D9B8-A62F-43C7-8867-D07F901B294B}" name="2025-06-09" dataDxfId="111"/>
    <tableColumn id="252" xr3:uid="{FF84CAE4-B5B3-4E8C-ACD5-281ECE9DA5EB}" name="2025-06-10" dataDxfId="110"/>
    <tableColumn id="253" xr3:uid="{06E2F1E1-34E4-442D-91B3-36F14418A6DD}" name="2025-06-11" dataDxfId="109"/>
    <tableColumn id="254" xr3:uid="{00DD0F40-05DE-4EF1-9263-6F11B02C8F66}" name="2025-06-12" dataDxfId="108"/>
    <tableColumn id="255" xr3:uid="{B3BC126B-C9C6-4541-B7BF-8E0A8AF13283}" name="2025-06-13" dataDxfId="107"/>
    <tableColumn id="256" xr3:uid="{58A93E20-2E09-42D6-83C4-3187C52FC2C9}" name="2025-06-14" dataDxfId="106"/>
    <tableColumn id="257" xr3:uid="{99B8A1B1-1594-47C1-A779-5AE979AC6886}" name="2025-06-15" dataDxfId="105"/>
    <tableColumn id="258" xr3:uid="{DB9B71D0-083F-40C9-99EC-EA2500168DB1}" name="2025-06-16" dataDxfId="104"/>
    <tableColumn id="259" xr3:uid="{F368A8EF-CA23-49A5-84B6-E087A332E315}" name="2025-06-17" dataDxfId="103"/>
    <tableColumn id="260" xr3:uid="{F2B11177-CB50-47EB-87ED-A437D4F32F8E}" name="2025-06-18" dataDxfId="102"/>
    <tableColumn id="261" xr3:uid="{F21EDA7F-2C76-45F1-AB9D-D35BEE4425F3}" name="2025-06-19" dataDxfId="101"/>
    <tableColumn id="262" xr3:uid="{527A99F6-045E-4293-955B-C68E4AD9052A}" name="2025-06-20" dataDxfId="100"/>
    <tableColumn id="263" xr3:uid="{99DC238A-A4C6-4EAE-82AC-FCA02043D4EA}" name="2025-06-21" dataDxfId="99"/>
    <tableColumn id="264" xr3:uid="{43477D6D-E749-4FFF-9062-9F92408792BE}" name="2025-06-22" dataDxfId="98"/>
    <tableColumn id="265" xr3:uid="{13D87D26-AA45-4778-8BD5-BDB665171820}" name="2025-06-23" dataDxfId="97"/>
    <tableColumn id="266" xr3:uid="{3DF15EBF-5CB5-4787-8409-9F983729C815}" name="2025-06-24" dataDxfId="96"/>
    <tableColumn id="267" xr3:uid="{71F1B423-DE3D-4704-B52D-D6660BE9B52F}" name="2025-06-25" dataDxfId="95"/>
    <tableColumn id="268" xr3:uid="{E9D496DF-4D64-42C9-9857-E5FCB3FF66F8}" name="2025-06-26" dataDxfId="94"/>
    <tableColumn id="269" xr3:uid="{21A1EEB8-CF48-4BFB-9EB7-3E5069338279}" name="2025-06-27" dataDxfId="93"/>
    <tableColumn id="270" xr3:uid="{05C6922F-BFAD-40A6-BF87-21B77F0394F1}" name="2025-06-28" dataDxfId="92"/>
    <tableColumn id="271" xr3:uid="{8929460E-C610-4A2C-A152-7ADD44E2FE12}" name="2025-06-29" dataDxfId="91"/>
    <tableColumn id="272" xr3:uid="{4C8830FB-F1D3-4D12-BD25-337AA191C58D}" name="2025-06-30" dataDxfId="90"/>
    <tableColumn id="273" xr3:uid="{AC1A3332-3064-4E0E-BA13-DA3DA202B941}" name="2025-07-01" totalsRowFunction="count" dataDxfId="8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K1:K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opLeftCell="AF1" workbookViewId="0">
      <selection activeCell="BH1" sqref="BH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19" t="s">
        <v>78</v>
      </c>
      <c r="F1" s="119"/>
      <c r="G1" s="119"/>
      <c r="H1" s="119"/>
      <c r="I1" s="119" t="s">
        <v>79</v>
      </c>
      <c r="J1" s="119"/>
      <c r="K1" s="119"/>
      <c r="L1" s="11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Z3" t="s">
        <v>1441</v>
      </c>
      <c r="BA3">
        <v>100</v>
      </c>
      <c r="BC3" s="66"/>
      <c r="BD3" s="116" t="s">
        <v>1816</v>
      </c>
      <c r="BE3" s="117"/>
      <c r="BF3" s="117"/>
      <c r="BG3" s="117"/>
      <c r="BH3" s="118"/>
      <c r="BJ3" s="113" t="s">
        <v>1806</v>
      </c>
      <c r="BK3" s="113"/>
      <c r="BL3" s="113"/>
      <c r="BM3" s="11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U4" t="s">
        <v>87</v>
      </c>
      <c r="AV4">
        <f>COUNTA($M$3:$M$1315)</f>
        <v>789</v>
      </c>
      <c r="AZ4" t="s">
        <v>1442</v>
      </c>
      <c r="BA4">
        <v>50</v>
      </c>
      <c r="BC4" s="66"/>
      <c r="BD4" t="s">
        <v>1433</v>
      </c>
      <c r="BE4">
        <f>COUNTIFS($O$3:$O$1315, "Y", $M$3:$M$1315, "REG")</f>
        <v>359</v>
      </c>
      <c r="BH4" s="66"/>
      <c r="BJ4" s="53" t="s">
        <v>1805</v>
      </c>
      <c r="BK4" s="113" t="s">
        <v>1803</v>
      </c>
      <c r="BL4" s="113"/>
      <c r="BM4" s="113" t="s">
        <v>1804</v>
      </c>
      <c r="BN4" s="11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U5" t="s">
        <v>86</v>
      </c>
      <c r="AV5">
        <f>COUNTIF($O$3:$O$1315,"Y")</f>
        <v>443</v>
      </c>
      <c r="AZ5" t="s">
        <v>1443</v>
      </c>
      <c r="BA5">
        <v>50</v>
      </c>
      <c r="BC5" s="66"/>
      <c r="BD5" t="s">
        <v>1435</v>
      </c>
      <c r="BE5">
        <f>COUNTIFS($O$3:$O$1315, "N", $M$3:$M$1315, "REG")</f>
        <v>272</v>
      </c>
      <c r="BH5" s="66"/>
      <c r="BJ5" s="2">
        <v>0</v>
      </c>
      <c r="BK5" s="2" cm="1">
        <f t="array" ref="BK5">SUM(--(ABS($F$3:$F$1315 - $J$3:$J$1315) = 0)) -(((32*82)/2) - $AV$4)</f>
        <v>134</v>
      </c>
      <c r="BL5" s="2">
        <f>$BK5/$AV$4</f>
        <v>0.16983523447401774</v>
      </c>
      <c r="BM5" s="2" cm="1">
        <f t="array" ref="BM5">SUM(--(ABS($G$3:$G$1315 - $K$3:$K$1315) = 0)) -(((32*82)/2) - $AV$4)</f>
        <v>142</v>
      </c>
      <c r="BN5" s="2">
        <f>$BM5/$AV$4</f>
        <v>0.17997465145754118</v>
      </c>
      <c r="BO5" s="2">
        <f t="shared" ref="BO5:BO15" si="5">BK5+BM5</f>
        <v>276</v>
      </c>
      <c r="BP5">
        <f t="shared" ref="BP5:BP15" si="6">(BK5+BM5)/($AV$4*2)</f>
        <v>0.17490494296577946</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U6" t="s">
        <v>88</v>
      </c>
      <c r="AV6">
        <f>AV4-AV5</f>
        <v>346</v>
      </c>
      <c r="AZ6" t="s">
        <v>1480</v>
      </c>
      <c r="BA6">
        <v>50</v>
      </c>
      <c r="BC6" s="66"/>
      <c r="BD6" t="s">
        <v>1436</v>
      </c>
      <c r="BE6">
        <f>COUNTIFS($O$3:$O$1315, "Y", $M$3:$M$1315, "OT")</f>
        <v>62</v>
      </c>
      <c r="BH6" s="66"/>
      <c r="BJ6" s="2">
        <v>1</v>
      </c>
      <c r="BK6" s="2" cm="1">
        <f t="array" ref="BK6">SUM(--(ABS($F$3:$F$1315 - $J$3:$J$1315) = $BJ6))</f>
        <v>271</v>
      </c>
      <c r="BL6" s="2">
        <f t="shared" ref="BL6:BL15" si="7">$BK6/$AV$4</f>
        <v>0.34347275031685676</v>
      </c>
      <c r="BM6" s="2" cm="1">
        <f t="array" ref="BM6">SUM(--(ABS($G$3:$G$1315 - $K$3:$K$1315) = $BJ6))</f>
        <v>242</v>
      </c>
      <c r="BN6" s="2">
        <f t="shared" ref="BN6:BN15" si="8">$BM6/$AV$4</f>
        <v>0.30671736375158426</v>
      </c>
      <c r="BO6" s="2">
        <f t="shared" si="5"/>
        <v>513</v>
      </c>
      <c r="BP6">
        <f t="shared" si="6"/>
        <v>0.32509505703422054</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U7" t="s">
        <v>89</v>
      </c>
      <c r="AV7" s="15">
        <f>AV5/AV4</f>
        <v>0.56147021546261089</v>
      </c>
      <c r="AZ7" t="s">
        <v>1444</v>
      </c>
      <c r="BA7">
        <v>50</v>
      </c>
      <c r="BC7" s="66"/>
      <c r="BD7" t="s">
        <v>1437</v>
      </c>
      <c r="BE7">
        <f>COUNTIFS($O$3:$O$1315, "N", $M$3:$M$1315, "OT")</f>
        <v>57</v>
      </c>
      <c r="BH7" s="66"/>
      <c r="BJ7" s="2">
        <v>2</v>
      </c>
      <c r="BK7" s="2" cm="1">
        <f t="array" ref="BK7">SUM(--(ABS($F$3:$F$1315 - $J$3:$J$1315) = $BJ7))</f>
        <v>191</v>
      </c>
      <c r="BL7" s="2">
        <f t="shared" si="7"/>
        <v>0.24207858048162231</v>
      </c>
      <c r="BM7" s="2" cm="1">
        <f t="array" ref="BM7">SUM(--(ABS($G$3:$G$1315 - $K$3:$K$1315) = $BJ7))</f>
        <v>208</v>
      </c>
      <c r="BN7" s="2">
        <f t="shared" si="8"/>
        <v>0.26362484157160965</v>
      </c>
      <c r="BO7" s="2">
        <f t="shared" si="5"/>
        <v>399</v>
      </c>
      <c r="BP7">
        <f t="shared" si="6"/>
        <v>0.25285171102661597</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Z8" t="s">
        <v>1455</v>
      </c>
      <c r="BA8">
        <v>55</v>
      </c>
      <c r="BC8" s="66"/>
      <c r="BD8" t="s">
        <v>1438</v>
      </c>
      <c r="BE8">
        <f>COUNTIFS($O$3:$O$1315, "Y", $M$3:$M$1315, "SO")</f>
        <v>22</v>
      </c>
      <c r="BH8" s="66"/>
      <c r="BJ8" s="2">
        <v>3</v>
      </c>
      <c r="BK8" s="2" cm="1">
        <f t="array" ref="BK8">SUM(--(ABS($F$3:$F$1315 - $J$3:$J$1315) = $BJ8))</f>
        <v>117</v>
      </c>
      <c r="BL8" s="2">
        <f t="shared" si="7"/>
        <v>0.14828897338403041</v>
      </c>
      <c r="BM8" s="2" cm="1">
        <f t="array" ref="BM8">SUM(--(ABS($G$3:$G$1315 - $K$3:$K$1315) = $BJ8))</f>
        <v>115</v>
      </c>
      <c r="BN8" s="2">
        <f t="shared" si="8"/>
        <v>0.14575411913814956</v>
      </c>
      <c r="BO8" s="2">
        <f t="shared" si="5"/>
        <v>232</v>
      </c>
      <c r="BP8">
        <f t="shared" si="6"/>
        <v>0.14702154626108999</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U9" t="s">
        <v>1762</v>
      </c>
      <c r="AV9" s="29">
        <f>SUMIF($N$3:$N$1315,1, $AC$3:$AC$1315)</f>
        <v>383.60000000000127</v>
      </c>
      <c r="AZ9" t="s">
        <v>1456</v>
      </c>
      <c r="BA9">
        <v>40</v>
      </c>
      <c r="BC9" s="66"/>
      <c r="BD9" t="s">
        <v>1439</v>
      </c>
      <c r="BE9">
        <f>COUNTIFS($O$3:$O$1315, "N", $M$3:$M$1315, "SO")</f>
        <v>17</v>
      </c>
      <c r="BH9" s="66"/>
      <c r="BJ9" s="2">
        <v>4</v>
      </c>
      <c r="BK9" s="2" cm="1">
        <f t="array" ref="BK9">SUM(--(ABS($F$3:$F$1315 - $J$3:$J$1315) = $BJ9))</f>
        <v>58</v>
      </c>
      <c r="BL9" s="2">
        <f t="shared" si="7"/>
        <v>7.3510773130544993E-2</v>
      </c>
      <c r="BM9" s="2" cm="1">
        <f t="array" ref="BM9">SUM(--(ABS($G$3:$G$1315 - $K$3:$K$1315) = $BJ9))</f>
        <v>63</v>
      </c>
      <c r="BN9" s="2">
        <f t="shared" si="8"/>
        <v>7.9847908745247151E-2</v>
      </c>
      <c r="BO9" s="2">
        <f t="shared" si="5"/>
        <v>121</v>
      </c>
      <c r="BP9">
        <f t="shared" si="6"/>
        <v>7.6679340937896065E-2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U10" t="s">
        <v>1763</v>
      </c>
      <c r="AV10" s="29">
        <f>AV9/$AV$4</f>
        <v>0.48618504435995091</v>
      </c>
      <c r="AZ10" t="s">
        <v>1458</v>
      </c>
      <c r="BA10">
        <v>75</v>
      </c>
      <c r="BC10" s="66"/>
      <c r="BH10" s="66"/>
      <c r="BJ10" s="2">
        <v>5</v>
      </c>
      <c r="BK10" s="2" cm="1">
        <f t="array" ref="BK10">SUM(--(ABS($F$3:$F$1315 - $J$3:$J$1315) = $BJ10))</f>
        <v>14</v>
      </c>
      <c r="BL10" s="2">
        <f t="shared" si="7"/>
        <v>1.7743979721166033E-2</v>
      </c>
      <c r="BM10" s="2" cm="1">
        <f t="array" ref="BM10">SUM(--(ABS($G$3:$G$1315 - $K$3:$K$1315) = $BJ10))</f>
        <v>15</v>
      </c>
      <c r="BN10" s="2">
        <f t="shared" si="8"/>
        <v>1.9011406844106463E-2</v>
      </c>
      <c r="BO10" s="2">
        <f t="shared" si="5"/>
        <v>29</v>
      </c>
      <c r="BP10">
        <f t="shared" si="6"/>
        <v>1.8377693282636248E-2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S11" t="s">
        <v>1780</v>
      </c>
      <c r="AU11" t="s">
        <v>1764</v>
      </c>
      <c r="AV11" s="29">
        <f>$AX$11*($AV$5)</f>
        <v>354.40000000000003</v>
      </c>
      <c r="AX11">
        <f>80/100</f>
        <v>0.8</v>
      </c>
      <c r="AZ11" t="s">
        <v>1457</v>
      </c>
      <c r="BA11">
        <v>65</v>
      </c>
      <c r="BC11" s="66"/>
      <c r="BD11" s="120" t="str">
        <f>_xlfn.CONCAT(TEXT(BE4+BE6+BE8, "0"),"-",TEXT(BE5, "0"),"-",TEXT(BE7+BE9, "0"))</f>
        <v>443-272-74</v>
      </c>
      <c r="BE11" s="121"/>
      <c r="BF11" t="s">
        <v>1817</v>
      </c>
      <c r="BH11" s="66"/>
      <c r="BJ11" s="2">
        <v>6</v>
      </c>
      <c r="BK11" s="2" cm="1">
        <f t="array" ref="BK11">SUM(--(ABS($F$3:$F$1315 - $J$3:$J$1315) = $BJ11))</f>
        <v>5</v>
      </c>
      <c r="BL11" s="2">
        <f t="shared" si="7"/>
        <v>6.3371356147021544E-3</v>
      </c>
      <c r="BM11" s="2" cm="1">
        <f t="array" ref="BM11">SUM(--(ABS($G$3:$G$1315 - $K$3:$K$1315) = $BJ11))</f>
        <v>5</v>
      </c>
      <c r="BN11" s="2">
        <f t="shared" si="8"/>
        <v>6.3371356147021544E-3</v>
      </c>
      <c r="BO11" s="2">
        <f t="shared" si="5"/>
        <v>10</v>
      </c>
      <c r="BP11">
        <f t="shared" si="6"/>
        <v>6.3371356147021544E-3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U12" t="s">
        <v>1766</v>
      </c>
      <c r="AV12" s="29">
        <f>COUNTIFS($N$3:$N$1315,1, $P$3:$P$1315, "Y")</f>
        <v>142</v>
      </c>
      <c r="AX12">
        <f>10/100</f>
        <v>0.1</v>
      </c>
      <c r="BC12" s="66"/>
      <c r="BD12" s="114" t="str">
        <f>_xlfn.CONCAT(TEXT(BE4, "0"),"-",TEXT(BE5, "0"),"-",TEXT(BE7+BE9+BE6+BE8, "0"))</f>
        <v>359-272-158</v>
      </c>
      <c r="BE12" s="11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U13" t="s">
        <v>1765</v>
      </c>
      <c r="AV13" s="29">
        <f>COUNTIFS($N$3:$N$1315,1, $Q$3:$Q$1315, "Y")*$AX$13</f>
        <v>15</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BJ16" t="s">
        <v>1807</v>
      </c>
      <c r="BK16" s="113">
        <f>((BJ5*BL5)+(BL6*BJ6)+(BL7*BJ7)+(BL8*BJ8)+(BL9*BJ9)+(BL10*BJ10)+(BL11*BJ11)+(BL12*BJ12)+(BL13*BJ13)+(BL14*BJ14)+(BL15*BJ15))</f>
        <v>1.6932826362484157</v>
      </c>
      <c r="BL16" s="113"/>
      <c r="BM16" s="113">
        <f>((BJ5*BN5)+(BN6*BJ6)+(BN7*BJ7)+(BN8*BJ8)+(BN9*BJ9)+(BN10*BJ10)+(BN11*BJ11)+(BN12*BJ12)+(BN13*BJ13)+(BN14*BJ14)+(BN15*BJ15))</f>
        <v>1.7237008871989863</v>
      </c>
      <c r="BN16" s="113"/>
      <c r="BP16">
        <f>((BJ5*BP5)+(BP6*BJ6)+(BP7*BJ7)+(BP8*BJ8)+(BP9*BJ9)+(BP10*BJ10)+(BP11*BJ11)+(BP12*BJ12)+(BP13*BJ13)+(BP14*BJ14)+(BP15*BJ15))</f>
        <v>1.708491761723701</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U17" t="s">
        <v>1762</v>
      </c>
      <c r="AV17" s="29">
        <f>SUMIF($N$3:$N$1315,1, $AD$3:$AD$1315)</f>
        <v>397.52000000000123</v>
      </c>
      <c r="AZ17" t="s">
        <v>1833</v>
      </c>
      <c r="BA17">
        <f>COUNTIFS($N$3:$N$1315,1,$AC$3:$AC$1315,1)</f>
        <v>34</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U18" t="s">
        <v>1763</v>
      </c>
      <c r="AV18" s="29">
        <f>AV17/$AV$4</f>
        <v>0.50382762991128172</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row>
    <row r="49" spans="1:40"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row>
    <row r="50" spans="1:40"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row>
    <row r="51" spans="1:40"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row>
    <row r="52" spans="1:40"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row>
    <row r="53" spans="1:40"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row>
    <row r="54" spans="1:40"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row>
    <row r="55" spans="1:40"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row>
    <row r="56" spans="1:40"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row>
    <row r="57" spans="1:40"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row>
    <row r="58" spans="1:40"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row>
    <row r="59" spans="1:40"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row>
    <row r="60" spans="1:40"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row>
    <row r="61" spans="1:40"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row>
    <row r="62" spans="1:40"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row>
    <row r="63" spans="1:40"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row>
    <row r="64" spans="1:40"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row>
    <row r="65" spans="1:40"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row>
    <row r="66" spans="1:40"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row>
    <row r="67" spans="1:40"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row>
    <row r="68" spans="1:40"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row>
    <row r="69" spans="1:40"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row>
    <row r="70" spans="1:40"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row>
    <row r="71" spans="1:40"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row>
    <row r="72" spans="1:40"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row>
    <row r="73" spans="1:40"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row>
    <row r="74" spans="1:40"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row>
    <row r="75" spans="1:40"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row>
    <row r="76" spans="1:40"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row>
    <row r="77" spans="1:40"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row>
    <row r="78" spans="1:40"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row>
    <row r="79" spans="1:40"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row>
    <row r="80" spans="1:40"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row>
    <row r="81" spans="1:40"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row>
    <row r="82" spans="1:40"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row>
    <row r="83" spans="1:40"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row>
    <row r="84" spans="1:40"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row>
    <row r="85" spans="1:40"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row>
    <row r="86" spans="1:40"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row>
    <row r="87" spans="1:40"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row>
    <row r="88" spans="1:40"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row>
    <row r="89" spans="1:40"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row>
    <row r="90" spans="1:40"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row>
    <row r="91" spans="1:40"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row>
    <row r="92" spans="1:40"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row>
    <row r="93" spans="1:40"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row>
    <row r="94" spans="1:40"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row>
    <row r="95" spans="1:40"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row>
    <row r="96" spans="1:40"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row>
    <row r="97" spans="1:40"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row>
    <row r="98" spans="1:40"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row>
    <row r="99" spans="1:40"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row>
    <row r="100" spans="1:40"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row>
    <row r="101" spans="1:40"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row>
    <row r="102" spans="1:40"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row>
    <row r="103" spans="1:40"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row>
    <row r="104" spans="1:40"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row>
    <row r="105" spans="1:40"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row>
    <row r="106" spans="1:40"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row>
    <row r="107" spans="1:40"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row>
    <row r="108" spans="1:40"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row>
    <row r="109" spans="1:40"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row>
    <row r="110" spans="1:40"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row>
    <row r="111" spans="1:40"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row>
    <row r="112" spans="1:40"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row>
    <row r="113" spans="1:40"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row>
    <row r="114" spans="1:40"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row>
    <row r="115" spans="1:40"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row>
    <row r="116" spans="1:40"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row>
    <row r="117" spans="1:40"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row>
    <row r="118" spans="1:40"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row>
    <row r="119" spans="1:40"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row>
    <row r="120" spans="1:40"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row>
    <row r="121" spans="1:40"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row>
    <row r="122" spans="1:40"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row>
    <row r="123" spans="1:40"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row>
    <row r="124" spans="1:40"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row>
    <row r="125" spans="1:40"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row>
    <row r="126" spans="1:40"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row>
    <row r="127" spans="1:40"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row>
    <row r="128" spans="1:40"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row>
    <row r="129" spans="1:40"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row>
    <row r="130" spans="1:40"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row>
    <row r="131" spans="1:40"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row>
    <row r="132" spans="1:40"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row>
    <row r="133" spans="1:40"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row>
    <row r="134" spans="1:40"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row>
    <row r="135" spans="1:40"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row>
    <row r="136" spans="1:40"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row>
    <row r="137" spans="1:40"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row>
    <row r="138" spans="1:40"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row>
    <row r="139" spans="1:40"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row>
    <row r="140" spans="1:40"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row>
    <row r="141" spans="1:40"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row>
    <row r="142" spans="1:40"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row>
    <row r="143" spans="1:40"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row>
    <row r="144" spans="1:40"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row>
    <row r="145" spans="1:40"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row>
    <row r="146" spans="1:40"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row>
    <row r="147" spans="1:40"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row>
    <row r="148" spans="1:40"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row>
    <row r="149" spans="1:40"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row>
    <row r="150" spans="1:40"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row>
    <row r="151" spans="1:40"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row>
    <row r="152" spans="1:40"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row>
    <row r="153" spans="1:40"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row>
    <row r="154" spans="1:40"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row>
    <row r="155" spans="1:40"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row>
    <row r="156" spans="1:40"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row>
    <row r="157" spans="1:40"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row>
    <row r="158" spans="1:40"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row>
    <row r="159" spans="1:40"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row>
    <row r="160" spans="1:40"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row>
    <row r="161" spans="1:40"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row>
    <row r="162" spans="1:40"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row>
    <row r="163" spans="1:40"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row>
    <row r="164" spans="1:40"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row>
    <row r="165" spans="1:40"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row>
    <row r="166" spans="1:40"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row>
    <row r="167" spans="1:40"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row>
    <row r="168" spans="1:40"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row>
    <row r="169" spans="1:40"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row>
    <row r="170" spans="1:40"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row>
    <row r="171" spans="1:40"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row>
    <row r="172" spans="1:40"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row>
    <row r="173" spans="1:40"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row>
    <row r="174" spans="1:40"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row>
    <row r="175" spans="1:40"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row>
    <row r="176" spans="1:40"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row>
    <row r="177" spans="1:40"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row>
    <row r="178" spans="1:40"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row>
    <row r="179" spans="1:40"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row>
    <row r="180" spans="1:40"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row>
    <row r="181" spans="1:40"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row>
    <row r="182" spans="1:40"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row>
    <row r="183" spans="1:40"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row>
    <row r="184" spans="1:40"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row>
    <row r="185" spans="1:40"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row>
    <row r="186" spans="1:40"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row>
    <row r="187" spans="1:40"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row>
    <row r="188" spans="1:40"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row>
    <row r="189" spans="1:40"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row>
    <row r="190" spans="1:40"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row>
    <row r="191" spans="1:40"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row>
    <row r="192" spans="1:40"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row>
    <row r="193" spans="1:40"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row>
    <row r="194" spans="1:40"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row>
    <row r="195" spans="1:40"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row>
    <row r="196" spans="1:40"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row>
    <row r="197" spans="1:40"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row>
    <row r="198" spans="1:40"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row>
    <row r="199" spans="1:40"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row>
    <row r="200" spans="1:40"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row>
    <row r="201" spans="1:40"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row>
    <row r="202" spans="1:40"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row>
    <row r="203" spans="1:40"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row>
    <row r="204" spans="1:40"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row>
    <row r="205" spans="1:40"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row>
    <row r="206" spans="1:40"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row>
    <row r="207" spans="1:40"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row>
    <row r="208" spans="1:40"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row>
    <row r="209" spans="1:40"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row>
    <row r="210" spans="1:40"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row>
    <row r="211" spans="1:40"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row>
    <row r="212" spans="1:40"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row>
    <row r="213" spans="1:40"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row>
    <row r="214" spans="1:40"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row>
    <row r="215" spans="1:40"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row>
    <row r="216" spans="1:40"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row>
    <row r="217" spans="1:40"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row>
    <row r="218" spans="1:40"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row>
    <row r="219" spans="1:40"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row>
    <row r="220" spans="1:40"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row>
    <row r="221" spans="1:40"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row>
    <row r="222" spans="1:40"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row>
    <row r="223" spans="1:40"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row>
    <row r="224" spans="1:40"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row>
    <row r="225" spans="1:40"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row>
    <row r="226" spans="1:40"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row>
    <row r="227" spans="1:40"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row>
    <row r="228" spans="1:40"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row>
    <row r="229" spans="1:40"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row>
    <row r="230" spans="1:40"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row>
    <row r="231" spans="1:40"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row>
    <row r="232" spans="1:40"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row>
    <row r="233" spans="1:40"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row>
    <row r="234" spans="1:40"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row>
    <row r="235" spans="1:40"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row>
    <row r="236" spans="1:40"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row>
    <row r="237" spans="1:40"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row>
    <row r="238" spans="1:40"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row>
    <row r="239" spans="1:40"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row>
    <row r="240" spans="1:40"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row>
    <row r="241" spans="1:40"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row>
    <row r="242" spans="1:40"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row>
    <row r="243" spans="1:40"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row>
    <row r="244" spans="1:40"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row>
    <row r="245" spans="1:40"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row>
    <row r="246" spans="1:40"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row>
    <row r="247" spans="1:40"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row>
    <row r="248" spans="1:40"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row>
    <row r="249" spans="1:40"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row>
    <row r="250" spans="1:40"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row>
    <row r="251" spans="1:40"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row>
    <row r="252" spans="1:40"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row>
    <row r="253" spans="1:40"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row>
    <row r="254" spans="1:40"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row>
    <row r="255" spans="1:40"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row>
    <row r="256" spans="1:40"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row>
    <row r="257" spans="1:40"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row>
    <row r="258" spans="1:40"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row>
    <row r="259" spans="1:40"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row>
    <row r="260" spans="1:40"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row>
    <row r="261" spans="1:40"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row>
    <row r="262" spans="1:40"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row>
    <row r="263" spans="1:40"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row>
    <row r="264" spans="1:40"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row>
    <row r="265" spans="1:40"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row>
    <row r="266" spans="1:40"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row>
    <row r="267" spans="1:40"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row>
    <row r="268" spans="1:40"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row>
    <row r="269" spans="1:40"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row>
    <row r="270" spans="1:40"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row>
    <row r="271" spans="1:40"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row>
    <row r="272" spans="1:40"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row>
    <row r="273" spans="1:40"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row>
    <row r="274" spans="1:40"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row>
    <row r="275" spans="1:40"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row>
    <row r="276" spans="1:40"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row>
    <row r="277" spans="1:40"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row>
    <row r="278" spans="1:40"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row>
    <row r="279" spans="1:40"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row>
    <row r="280" spans="1:40"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row>
    <row r="281" spans="1:40"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row>
    <row r="282" spans="1:40"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row>
    <row r="283" spans="1:40"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row>
    <row r="284" spans="1:40"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row>
    <row r="285" spans="1:40"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row>
    <row r="286" spans="1:40"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row>
    <row r="287" spans="1:40"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row>
    <row r="288" spans="1:40"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row>
    <row r="289" spans="1:40"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row>
    <row r="290" spans="1:40"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row>
    <row r="291" spans="1:40"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row>
    <row r="292" spans="1:40"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row>
    <row r="293" spans="1:40"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row>
    <row r="294" spans="1:40"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row>
    <row r="295" spans="1:40"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row>
    <row r="296" spans="1:40"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row>
    <row r="297" spans="1:40"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row>
    <row r="298" spans="1:40"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row>
    <row r="299" spans="1:40"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row>
    <row r="300" spans="1:40"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row>
    <row r="301" spans="1:40"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row>
    <row r="302" spans="1:40"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row>
    <row r="303" spans="1:40"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row>
    <row r="304" spans="1:40"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row>
    <row r="305" spans="1:40"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row>
    <row r="306" spans="1:40"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row>
    <row r="307" spans="1:40"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row>
    <row r="308" spans="1:40"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row>
    <row r="309" spans="1:40"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row>
    <row r="310" spans="1:40"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row>
    <row r="311" spans="1:40"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row>
    <row r="312" spans="1:40"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row>
    <row r="313" spans="1:40"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row>
    <row r="314" spans="1:40"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row>
    <row r="315" spans="1:40"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row>
    <row r="316" spans="1:40"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row>
    <row r="317" spans="1:40"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row>
    <row r="318" spans="1:40"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row>
    <row r="319" spans="1:40"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row>
    <row r="320" spans="1:40"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row>
    <row r="321" spans="1:40"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row>
    <row r="322" spans="1:40"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row>
    <row r="323" spans="1:40"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row>
    <row r="324" spans="1:40"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row>
    <row r="325" spans="1:40"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row>
    <row r="326" spans="1:40"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row>
    <row r="327" spans="1:40"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row>
    <row r="328" spans="1:40"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row>
    <row r="329" spans="1:40"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row>
    <row r="330" spans="1:40"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row>
    <row r="331" spans="1:40"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row>
    <row r="332" spans="1:40"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row>
    <row r="333" spans="1:40"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row>
    <row r="334" spans="1:40"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row>
    <row r="335" spans="1:40"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row>
    <row r="336" spans="1:40"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row>
    <row r="337" spans="1:40"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row>
    <row r="338" spans="1:40"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row>
    <row r="339" spans="1:40"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row>
    <row r="340" spans="1:40"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row>
    <row r="341" spans="1:40"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row>
    <row r="342" spans="1:40"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row>
    <row r="343" spans="1:40"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row>
    <row r="344" spans="1:40"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row>
    <row r="345" spans="1:40"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row>
    <row r="346" spans="1:40"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row>
    <row r="347" spans="1:40"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row>
    <row r="348" spans="1:40"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row>
    <row r="349" spans="1:40"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row>
    <row r="350" spans="1:40"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row>
    <row r="351" spans="1:40"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row>
    <row r="352" spans="1:40"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row>
    <row r="353" spans="1:40"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row>
    <row r="354" spans="1:40"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row>
    <row r="355" spans="1:40"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row>
    <row r="356" spans="1:40"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row>
    <row r="357" spans="1:40"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row>
    <row r="358" spans="1:40"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row>
    <row r="359" spans="1:40"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row>
    <row r="360" spans="1:40"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row>
    <row r="361" spans="1:40"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row>
    <row r="362" spans="1:40"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row>
    <row r="363" spans="1:40"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row>
    <row r="364" spans="1:40"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row>
    <row r="365" spans="1:40"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row>
    <row r="366" spans="1:40"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row>
    <row r="367" spans="1:40"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row>
    <row r="368" spans="1:40"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row>
    <row r="369" spans="1:40"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row>
    <row r="370" spans="1:40"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row>
    <row r="371" spans="1:40"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row>
    <row r="372" spans="1:40"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row>
    <row r="373" spans="1:40"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row>
    <row r="374" spans="1:40"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row>
    <row r="375" spans="1:40"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row>
    <row r="376" spans="1:40"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row>
    <row r="377" spans="1:40"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row>
    <row r="378" spans="1:40"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row>
    <row r="379" spans="1:40"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row>
    <row r="380" spans="1:40"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row>
    <row r="381" spans="1:40"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row>
    <row r="382" spans="1:40"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row>
    <row r="383" spans="1:40"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row>
    <row r="384" spans="1:40"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row>
    <row r="385" spans="1:40"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row>
    <row r="386" spans="1:40"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row>
    <row r="387" spans="1:40"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row>
    <row r="388" spans="1:40"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row>
    <row r="389" spans="1:40"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row>
    <row r="390" spans="1:40"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row>
    <row r="391" spans="1:40"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row>
    <row r="392" spans="1:40"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row>
    <row r="393" spans="1:40"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row>
    <row r="394" spans="1:40"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row>
    <row r="395" spans="1:40"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row>
    <row r="396" spans="1:40"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row>
    <row r="397" spans="1:40"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row>
    <row r="398" spans="1:40"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row>
    <row r="399" spans="1:40"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row>
    <row r="400" spans="1:40"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row>
    <row r="401" spans="1:40"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row>
    <row r="402" spans="1:40"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row>
    <row r="403" spans="1:40"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row>
    <row r="404" spans="1:40"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row>
    <row r="405" spans="1:40"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row>
    <row r="406" spans="1:40"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row>
    <row r="407" spans="1:40"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row>
    <row r="408" spans="1:40"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row>
    <row r="409" spans="1:40"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row>
    <row r="410" spans="1:40"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row>
    <row r="411" spans="1:40"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row>
    <row r="412" spans="1:40"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row>
    <row r="413" spans="1:40"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row>
    <row r="414" spans="1:40"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row>
    <row r="415" spans="1:40"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row>
    <row r="416" spans="1:40"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row>
    <row r="417" spans="1:40"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row>
    <row r="418" spans="1:40"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row>
    <row r="419" spans="1:40"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row>
    <row r="420" spans="1:40"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row>
    <row r="421" spans="1:40"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row>
    <row r="422" spans="1:40"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row>
    <row r="423" spans="1:40"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row>
    <row r="424" spans="1:40"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row>
    <row r="425" spans="1:40"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row>
    <row r="426" spans="1:40"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row>
    <row r="427" spans="1:40"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row>
    <row r="428" spans="1:40"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row>
    <row r="429" spans="1:40"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row>
    <row r="430" spans="1:40"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row>
    <row r="431" spans="1:40"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row>
    <row r="432" spans="1:40"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row>
    <row r="433" spans="1:40"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row>
    <row r="434" spans="1:40"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row>
    <row r="435" spans="1:40"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row>
    <row r="436" spans="1:40"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row>
    <row r="437" spans="1:40"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row>
    <row r="438" spans="1:40"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row>
    <row r="439" spans="1:40"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row>
    <row r="440" spans="1:40"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row>
    <row r="441" spans="1:40"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row>
    <row r="442" spans="1:40"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row>
    <row r="443" spans="1:40"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row>
    <row r="444" spans="1:40"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row>
    <row r="445" spans="1:40"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row>
    <row r="446" spans="1:40"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row>
    <row r="447" spans="1:40"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row>
    <row r="448" spans="1:40"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row>
    <row r="449" spans="1:40"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row>
    <row r="450" spans="1:40"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row>
    <row r="451" spans="1:40"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row>
    <row r="452" spans="1:40"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row>
    <row r="453" spans="1:40"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row>
    <row r="454" spans="1:40"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row>
    <row r="455" spans="1:40"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row>
    <row r="456" spans="1:40"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row>
    <row r="457" spans="1:40"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row>
    <row r="458" spans="1:40"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row>
    <row r="459" spans="1:40"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row>
    <row r="460" spans="1:40"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row>
    <row r="461" spans="1:40"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row>
    <row r="462" spans="1:40"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row>
    <row r="463" spans="1:40"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row>
    <row r="464" spans="1:40"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row>
    <row r="465" spans="1:40"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row>
    <row r="466" spans="1:40"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row>
    <row r="467" spans="1:40"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row>
    <row r="468" spans="1:40"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row>
    <row r="469" spans="1:40"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row>
    <row r="470" spans="1:40"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row>
    <row r="471" spans="1:40"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row>
    <row r="472" spans="1:40"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row>
    <row r="473" spans="1:40"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row>
    <row r="474" spans="1:40"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row>
    <row r="475" spans="1:40"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row>
    <row r="476" spans="1:40"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row>
    <row r="477" spans="1:40"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row>
    <row r="478" spans="1:40"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row>
    <row r="479" spans="1:40"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row>
    <row r="480" spans="1:40"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row>
    <row r="481" spans="1:40"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row>
    <row r="482" spans="1:40"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row>
    <row r="483" spans="1:40"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row>
    <row r="484" spans="1:40"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row>
    <row r="485" spans="1:40"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row>
    <row r="486" spans="1:40"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row>
    <row r="487" spans="1:40"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row>
    <row r="488" spans="1:40"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row>
    <row r="489" spans="1:40"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row>
    <row r="490" spans="1:40"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row>
    <row r="491" spans="1:40"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row>
    <row r="492" spans="1:40"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row>
    <row r="493" spans="1:40"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row>
    <row r="494" spans="1:40"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row>
    <row r="495" spans="1:40"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row>
    <row r="496" spans="1:40"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row>
    <row r="497" spans="1:40"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row>
    <row r="498" spans="1:40"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row>
    <row r="499" spans="1:40"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row>
    <row r="500" spans="1:40"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row>
    <row r="501" spans="1:40"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row>
    <row r="502" spans="1:40"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row>
    <row r="503" spans="1:40"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row>
    <row r="504" spans="1:40"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row>
    <row r="505" spans="1:40"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row>
    <row r="506" spans="1:40"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row>
    <row r="507" spans="1:40"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row>
    <row r="508" spans="1:40"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row>
    <row r="509" spans="1:40"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row>
    <row r="510" spans="1:40"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row>
    <row r="511" spans="1:40"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row>
    <row r="512" spans="1:40"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row>
    <row r="513" spans="1:40"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row>
    <row r="514" spans="1:40"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row>
    <row r="515" spans="1:40"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row>
    <row r="516" spans="1:40"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row>
    <row r="517" spans="1:40"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row>
    <row r="518" spans="1:40"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row>
    <row r="519" spans="1:40"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row>
    <row r="520" spans="1:40"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row>
    <row r="521" spans="1:40"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row>
    <row r="522" spans="1:40"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row>
    <row r="523" spans="1:40"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row>
    <row r="524" spans="1:40"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row>
    <row r="525" spans="1:40"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row>
    <row r="526" spans="1:40"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row>
    <row r="527" spans="1:40"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row>
    <row r="528" spans="1:40"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row>
    <row r="529" spans="1:40"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row>
    <row r="530" spans="1:40"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row>
    <row r="531" spans="1:40"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row>
    <row r="532" spans="1:40"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row>
    <row r="533" spans="1:40"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row>
    <row r="534" spans="1:40"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row>
    <row r="535" spans="1:40"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row>
    <row r="536" spans="1:40"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row>
    <row r="537" spans="1:40"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row>
    <row r="538" spans="1:40"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row>
    <row r="539" spans="1:40"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row>
    <row r="540" spans="1:40"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row>
    <row r="541" spans="1:40"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row>
    <row r="542" spans="1:40"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row>
    <row r="543" spans="1:40"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row>
    <row r="544" spans="1:40"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row>
    <row r="545" spans="1:40"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row>
    <row r="546" spans="1:40"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row>
    <row r="547" spans="1:40"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row>
    <row r="548" spans="1:40"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row>
    <row r="549" spans="1:40"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row>
    <row r="550" spans="1:40"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row>
    <row r="551" spans="1:40"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row>
    <row r="552" spans="1:40"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row>
    <row r="553" spans="1:40"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row>
    <row r="554" spans="1:40"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row>
    <row r="555" spans="1:40"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row>
    <row r="556" spans="1:40"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row>
    <row r="557" spans="1:40"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row>
    <row r="558" spans="1:40"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row>
    <row r="559" spans="1:40"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row>
    <row r="560" spans="1:40"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row>
    <row r="561" spans="1:40"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row>
    <row r="562" spans="1:40"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row>
    <row r="563" spans="1:40"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row>
    <row r="564" spans="1:40"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row>
    <row r="565" spans="1:40"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row>
    <row r="566" spans="1:40"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row>
    <row r="567" spans="1:40"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row>
    <row r="568" spans="1:40"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row>
    <row r="569" spans="1:40"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row>
    <row r="570" spans="1:40"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row>
    <row r="571" spans="1:40"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row>
    <row r="572" spans="1:40"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row>
    <row r="573" spans="1:40"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row>
    <row r="574" spans="1:40"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row>
    <row r="575" spans="1:40"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row>
    <row r="576" spans="1:40"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row>
    <row r="577" spans="1:40"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row>
    <row r="578" spans="1:40"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row>
    <row r="579" spans="1:40"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row>
    <row r="580" spans="1:40"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row>
    <row r="581" spans="1:40"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row>
    <row r="582" spans="1:40"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row>
    <row r="583" spans="1:40"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row>
    <row r="584" spans="1:40"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row>
    <row r="585" spans="1:40"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row>
    <row r="586" spans="1:40"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row>
    <row r="587" spans="1:40"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row>
    <row r="588" spans="1:40"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row>
    <row r="589" spans="1:40"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row>
    <row r="590" spans="1:40"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row>
    <row r="591" spans="1:40"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row>
    <row r="592" spans="1:40"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row>
    <row r="593" spans="1:40"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row>
    <row r="594" spans="1:40"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row>
    <row r="595" spans="1:40"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row>
    <row r="596" spans="1:40"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row>
    <row r="597" spans="1:40"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row>
    <row r="598" spans="1:40"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row>
    <row r="599" spans="1:40"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row>
    <row r="600" spans="1:40"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row>
    <row r="601" spans="1:40"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row>
    <row r="602" spans="1:40"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row>
    <row r="603" spans="1:40"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row>
    <row r="604" spans="1:40"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row>
    <row r="605" spans="1:40"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row>
    <row r="606" spans="1:40"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row>
    <row r="607" spans="1:40"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row>
    <row r="608" spans="1:40"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row>
    <row r="609" spans="1:40"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row>
    <row r="610" spans="1:40"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row>
    <row r="611" spans="1:40"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row>
    <row r="612" spans="1:40"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row>
    <row r="613" spans="1:40"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row>
    <row r="614" spans="1:40"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row>
    <row r="615" spans="1:40"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row>
    <row r="616" spans="1:40"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row>
    <row r="617" spans="1:40"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row>
    <row r="618" spans="1:40"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row>
    <row r="619" spans="1:40"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row>
    <row r="620" spans="1:40"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row>
    <row r="621" spans="1:40"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row>
    <row r="622" spans="1:40"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row>
    <row r="623" spans="1:40"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row>
    <row r="624" spans="1:40"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row>
    <row r="625" spans="1:40"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row>
    <row r="626" spans="1:40"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row>
    <row r="627" spans="1:40"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row>
    <row r="628" spans="1:40"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row>
    <row r="629" spans="1:40"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row>
    <row r="630" spans="1:40"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row>
    <row r="631" spans="1:40"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row>
    <row r="632" spans="1:40"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row>
    <row r="633" spans="1:40"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row>
    <row r="634" spans="1:40"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row>
    <row r="635" spans="1:40"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row>
    <row r="636" spans="1:40"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row>
    <row r="637" spans="1:40"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row>
    <row r="638" spans="1:40"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row>
    <row r="639" spans="1:40"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row>
    <row r="640" spans="1:40"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row>
    <row r="641" spans="1:40"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row>
    <row r="642" spans="1:40"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row>
    <row r="643" spans="1:40"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row>
    <row r="644" spans="1:40"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row>
    <row r="645" spans="1:40"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row>
    <row r="646" spans="1:40"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row>
    <row r="647" spans="1:40"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row>
    <row r="648" spans="1:40"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row>
    <row r="649" spans="1:40"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row>
    <row r="650" spans="1:40"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row>
    <row r="651" spans="1:40"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row>
    <row r="652" spans="1:40"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row>
    <row r="653" spans="1:40"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row>
    <row r="654" spans="1:40"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row>
    <row r="655" spans="1:40"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row>
    <row r="656" spans="1:40"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row>
    <row r="657" spans="1:40"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row>
    <row r="658" spans="1:40"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row>
    <row r="659" spans="1:40"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row>
    <row r="660" spans="1:40"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row>
    <row r="661" spans="1:40"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row>
    <row r="662" spans="1:40"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row>
    <row r="663" spans="1:40"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row>
    <row r="664" spans="1:40"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row>
    <row r="665" spans="1:40"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row>
    <row r="666" spans="1:40"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row>
    <row r="667" spans="1:40"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row>
    <row r="668" spans="1:40"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row>
    <row r="669" spans="1:40"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row>
    <row r="670" spans="1:40"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row>
    <row r="671" spans="1:40"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row>
    <row r="672" spans="1:40"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row>
    <row r="673" spans="1:40"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row>
    <row r="674" spans="1:40"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row>
    <row r="675" spans="1:40"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row>
    <row r="676" spans="1:40"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row>
    <row r="677" spans="1:40"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row>
    <row r="678" spans="1:40"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row>
    <row r="679" spans="1:40"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row>
    <row r="680" spans="1:40"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row>
    <row r="681" spans="1:40"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row>
    <row r="682" spans="1:40"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row>
    <row r="683" spans="1:40"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row>
    <row r="684" spans="1:40"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row>
    <row r="685" spans="1:40"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row>
    <row r="686" spans="1:40"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row>
    <row r="687" spans="1:40"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row>
    <row r="688" spans="1:40"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row>
    <row r="689" spans="1:40"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row>
    <row r="690" spans="1:40"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row>
    <row r="691" spans="1:40"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row>
    <row r="692" spans="1:40"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row>
    <row r="693" spans="1:40"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row>
    <row r="694" spans="1:40"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row>
    <row r="695" spans="1:40"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row>
    <row r="696" spans="1:40"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row>
    <row r="697" spans="1:40"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row>
    <row r="698" spans="1:40"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row>
    <row r="699" spans="1:40"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row>
    <row r="700" spans="1:40"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row>
    <row r="701" spans="1:40"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row>
    <row r="702" spans="1:40"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row>
    <row r="703" spans="1:40"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row>
    <row r="704" spans="1:40"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row>
    <row r="705" spans="1:40"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row>
    <row r="706" spans="1:40"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row>
    <row r="707" spans="1:40"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row>
    <row r="708" spans="1:40"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row>
    <row r="709" spans="1:40"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row>
    <row r="710" spans="1:40"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row>
    <row r="711" spans="1:40"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row>
    <row r="712" spans="1:40"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row>
    <row r="713" spans="1:40"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row>
    <row r="714" spans="1:40"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row>
    <row r="715" spans="1:40"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row>
    <row r="716" spans="1:40"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row>
    <row r="717" spans="1:40"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row>
    <row r="718" spans="1:40"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row>
    <row r="719" spans="1:40"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row>
    <row r="720" spans="1:40"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row>
    <row r="721" spans="1:40"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row>
    <row r="722" spans="1:40"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row>
    <row r="723" spans="1:40"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row>
    <row r="724" spans="1:40"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row>
    <row r="725" spans="1:40"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row>
    <row r="726" spans="1:40"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row>
    <row r="727" spans="1:40"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row>
    <row r="728" spans="1:40"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row>
    <row r="729" spans="1:40"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row>
    <row r="730" spans="1:40"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row>
    <row r="731" spans="1:40"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row>
    <row r="732" spans="1:40"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row>
    <row r="733" spans="1:40"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row>
    <row r="734" spans="1:40"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row>
    <row r="735" spans="1:40"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row>
    <row r="736" spans="1:40"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row>
    <row r="737" spans="1:40"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row>
    <row r="738" spans="1:40"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row>
    <row r="739" spans="1:40"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row>
    <row r="740" spans="1:40"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row>
    <row r="741" spans="1:40"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row>
    <row r="742" spans="1:40"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row>
    <row r="743" spans="1:40"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row>
    <row r="744" spans="1:40"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row>
    <row r="745" spans="1:40"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row>
    <row r="746" spans="1:40"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row>
    <row r="747" spans="1:40"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row>
    <row r="748" spans="1:40"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row>
    <row r="749" spans="1:40"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row>
    <row r="750" spans="1:40"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row>
    <row r="751" spans="1:40"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row>
    <row r="752" spans="1:40"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row>
    <row r="753" spans="1:40"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row>
    <row r="754" spans="1:40"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row>
    <row r="755" spans="1:40"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row>
    <row r="756" spans="1:40"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row>
    <row r="757" spans="1:40"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row>
    <row r="758" spans="1:40"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row>
    <row r="759" spans="1:40"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row>
    <row r="760" spans="1:40"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row>
    <row r="761" spans="1:40"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row>
    <row r="762" spans="1:40"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row>
    <row r="763" spans="1:40"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row>
    <row r="764" spans="1:40"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row>
    <row r="765" spans="1:40"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row>
    <row r="766" spans="1:40"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row>
    <row r="767" spans="1:40"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row>
    <row r="768" spans="1:40"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row>
    <row r="769" spans="1:40"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row>
    <row r="770" spans="1:40"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row>
    <row r="771" spans="1:40"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row>
    <row r="772" spans="1:40"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row>
    <row r="773" spans="1:40"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row>
    <row r="774" spans="1:40"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row>
    <row r="775" spans="1:40"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row>
    <row r="776" spans="1:40"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row>
    <row r="777" spans="1:40"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row>
    <row r="778" spans="1:40"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row>
    <row r="779" spans="1:40"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row>
    <row r="780" spans="1:40"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row>
    <row r="781" spans="1:40"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row>
    <row r="782" spans="1:40"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row>
    <row r="783" spans="1:40"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row>
    <row r="784" spans="1:40"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row>
    <row r="785" spans="1:40"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row>
    <row r="786" spans="1:40"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row>
    <row r="787" spans="1:40"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row>
    <row r="788" spans="1:40"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row>
    <row r="789" spans="1:40"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row>
    <row r="790" spans="1:40"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row>
    <row r="791" spans="1:40" x14ac:dyDescent="0.25">
      <c r="A791" s="4">
        <v>45681</v>
      </c>
      <c r="B791" s="4">
        <v>45683</v>
      </c>
      <c r="C791" s="7" t="s">
        <v>900</v>
      </c>
      <c r="D791" s="2" t="s">
        <v>26</v>
      </c>
      <c r="E791" s="2" t="s">
        <v>20</v>
      </c>
      <c r="F791" s="2">
        <v>4</v>
      </c>
      <c r="G791" s="2">
        <v>3</v>
      </c>
      <c r="H791" s="2" t="str">
        <f t="shared" si="64"/>
        <v>COL</v>
      </c>
      <c r="I791" s="2" t="s">
        <v>77</v>
      </c>
      <c r="J791" s="2"/>
      <c r="K791" s="2"/>
      <c r="L791" s="2" t="str">
        <f t="shared" si="65"/>
        <v>_</v>
      </c>
      <c r="M791" s="2"/>
      <c r="N791" s="2">
        <f>IF(ISBLANK(Table2[[#This Row],[ActualResult]]), 0, 1)</f>
        <v>0</v>
      </c>
      <c r="O791" s="2" t="str">
        <f>IF(ISBLANK(Table2[[#This Row],[ActualResult]]), "_", IF(Table2[[#This Row],[ActualWinner]]=Table2[[#This Row],[PredictedWinner]], "Y", "N"))</f>
        <v>_</v>
      </c>
      <c r="P791" s="2" t="str">
        <f>IF(Table2[[#This Row],[ActualAwayScore]]&gt;Table2[[#This Row],[PredictedAwayScore]], "N", IF(ISBLANK(Table2[[#This Row],[ActualResult]]), "_", IF(Table2[[#This Row],[ActualAwayScore]]=Table2[[#This Row],[PredictedAwayScore]], "Y", "N")))</f>
        <v>_</v>
      </c>
      <c r="Q791" s="2" t="str">
        <f>IF(Table2[[#This Row],[ActualHomeScore]]&gt;Table2[[#This Row],[PredictedHomeScore]],"N", IF(ISBLANK(Table2[[#This Row],[ActualResult]]), "_", IF(Table2[[#This Row],[ActualHomeScore]]=Table2[[#This Row],[PredictedHomeScore]], "Y", "N")))</f>
        <v>_</v>
      </c>
      <c r="R791" s="2"/>
      <c r="S791" s="2" t="str">
        <f t="shared" si="66"/>
        <v>_</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0</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-4</v>
      </c>
      <c r="AG791" s="2">
        <f>Table2[[#This Row],[ActualHomeScore]]-Table2[[#This Row],[PredictedHomeScore]]</f>
        <v>-3</v>
      </c>
      <c r="AH791" s="2">
        <f t="shared" si="67"/>
        <v>-16</v>
      </c>
      <c r="AI791" s="2">
        <f t="shared" si="68"/>
        <v>-6</v>
      </c>
      <c r="AJ791" s="2"/>
      <c r="AK791" s="2"/>
      <c r="AL791" s="2">
        <f>IF(Table2[[#This Row],[GameIsOver]]=0,0,IF(Table2[[#This Row],[ActualWinner]]=Table2[[#This Row],[AwayTeam]], 1, 0))</f>
        <v>0</v>
      </c>
      <c r="AM791" s="2">
        <f>IF(Table2[[#This Row],[GameIsOver]]=0,0,IF(Table2[[#This Row],[ActualWinner]]=Table2[[#This Row],[HomeTeam]], 1, 0))</f>
        <v>0</v>
      </c>
      <c r="AN791" s="2">
        <f>IF(IFERROR(FIND(Table2[[#This Row],[AwayTeam]], _xlfn.TEXTJOIN(";", 1, $AV$31:$AV$40)), 0) &gt; 0, 1, 0) + IF(IFERROR(FIND(Table2[[#This Row],[HomeTeam]], _xlfn.TEXTJOIN(";", 1, $AV$31:$AV$40)), 0) &gt; 0, 1, 0)</f>
        <v>0</v>
      </c>
    </row>
    <row r="792" spans="1:40"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-16</v>
      </c>
      <c r="AI792" s="2">
        <f t="shared" si="68"/>
        <v>-6</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row>
    <row r="793" spans="1:40"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-16</v>
      </c>
      <c r="AI793" s="2">
        <f t="shared" si="68"/>
        <v>-6</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row>
    <row r="794" spans="1:40" x14ac:dyDescent="0.25">
      <c r="A794" s="4">
        <v>45681</v>
      </c>
      <c r="B794" s="4">
        <v>45683</v>
      </c>
      <c r="C794" s="7" t="s">
        <v>903</v>
      </c>
      <c r="D794" s="2" t="s">
        <v>37</v>
      </c>
      <c r="E794" s="2" t="s">
        <v>17</v>
      </c>
      <c r="F794" s="2">
        <v>4</v>
      </c>
      <c r="G794" s="2">
        <v>3</v>
      </c>
      <c r="H794" s="2" t="str">
        <f t="shared" si="64"/>
        <v>MIN</v>
      </c>
      <c r="I794" s="2" t="s">
        <v>40</v>
      </c>
      <c r="J794" s="2"/>
      <c r="K794" s="2"/>
      <c r="L794" s="2" t="str">
        <f t="shared" si="65"/>
        <v>_</v>
      </c>
      <c r="M794" s="2"/>
      <c r="N794" s="2">
        <f>IF(ISBLANK(Table2[[#This Row],[ActualResult]]), 0, 1)</f>
        <v>0</v>
      </c>
      <c r="O794" s="2" t="str">
        <f>IF(ISBLANK(Table2[[#This Row],[ActualResult]]), "_", IF(Table2[[#This Row],[ActualWinner]]=Table2[[#This Row],[PredictedWinner]], "Y", "N"))</f>
        <v>_</v>
      </c>
      <c r="P794" s="2" t="str">
        <f>IF(Table2[[#This Row],[ActualAwayScore]]&gt;Table2[[#This Row],[PredictedAwayScore]], "N", IF(ISBLANK(Table2[[#This Row],[ActualResult]]), "_", IF(Table2[[#This Row],[ActualAwayScore]]=Table2[[#This Row],[PredictedAwayScore]], "Y", "N")))</f>
        <v>_</v>
      </c>
      <c r="Q794" s="2" t="str">
        <f>IF(Table2[[#This Row],[ActualHomeScore]]&gt;Table2[[#This Row],[PredictedHomeScore]],"N", IF(ISBLANK(Table2[[#This Row],[ActualResult]]), "_", IF(Table2[[#This Row],[ActualHomeScore]]=Table2[[#This Row],[PredictedHomeScore]], "Y", "N")))</f>
        <v>_</v>
      </c>
      <c r="R794" s="2"/>
      <c r="S794" s="2" t="str">
        <f t="shared" si="66"/>
        <v>_</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0</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-4</v>
      </c>
      <c r="AG794" s="2">
        <f>Table2[[#This Row],[ActualHomeScore]]-Table2[[#This Row],[PredictedHomeScore]]</f>
        <v>-3</v>
      </c>
      <c r="AH794" s="2">
        <f t="shared" si="67"/>
        <v>-16</v>
      </c>
      <c r="AI794" s="2">
        <f t="shared" si="68"/>
        <v>-6</v>
      </c>
      <c r="AJ794" s="2"/>
      <c r="AK794" s="2"/>
      <c r="AL794" s="2">
        <f>IF(Table2[[#This Row],[GameIsOver]]=0,0,IF(Table2[[#This Row],[ActualWinner]]=Table2[[#This Row],[AwayTeam]], 1, 0))</f>
        <v>0</v>
      </c>
      <c r="AM794" s="2">
        <f>IF(Table2[[#This Row],[GameIsOver]]=0,0,IF(Table2[[#This Row],[ActualWinner]]=Table2[[#This Row],[HomeTeam]], 1, 0))</f>
        <v>0</v>
      </c>
      <c r="AN794" s="2">
        <f>IF(IFERROR(FIND(Table2[[#This Row],[AwayTeam]], _xlfn.TEXTJOIN(";", 1, $AV$31:$AV$40)), 0) &gt; 0, 1, 0) + IF(IFERROR(FIND(Table2[[#This Row],[HomeTeam]], _xlfn.TEXTJOIN(";", 1, $AV$31:$AV$40)), 0) &gt; 0, 1, 0)</f>
        <v>0</v>
      </c>
    </row>
    <row r="795" spans="1:40" x14ac:dyDescent="0.25">
      <c r="A795" s="5">
        <v>45681</v>
      </c>
      <c r="B795" s="5">
        <v>45683</v>
      </c>
      <c r="C795" s="8" t="s">
        <v>904</v>
      </c>
      <c r="D795" s="3" t="s">
        <v>14</v>
      </c>
      <c r="E795" s="3" t="s">
        <v>27</v>
      </c>
      <c r="F795" s="3">
        <v>4</v>
      </c>
      <c r="G795" s="3">
        <v>3</v>
      </c>
      <c r="H795" s="3" t="str">
        <f t="shared" si="64"/>
        <v>FLA</v>
      </c>
      <c r="I795" s="3" t="s">
        <v>40</v>
      </c>
      <c r="J795" s="3"/>
      <c r="K795" s="3"/>
      <c r="L795" s="2" t="str">
        <f t="shared" si="65"/>
        <v>_</v>
      </c>
      <c r="M795" s="3"/>
      <c r="N795" s="3">
        <f>IF(ISBLANK(Table2[[#This Row],[ActualResult]]), 0, 1)</f>
        <v>0</v>
      </c>
      <c r="O795" s="3" t="str">
        <f>IF(ISBLANK(Table2[[#This Row],[ActualResult]]), "_", IF(Table2[[#This Row],[ActualWinner]]=Table2[[#This Row],[PredictedWinner]], "Y", "N"))</f>
        <v>_</v>
      </c>
      <c r="P795" s="3" t="str">
        <f>IF(Table2[[#This Row],[ActualAwayScore]]&gt;Table2[[#This Row],[PredictedAwayScore]], "N", IF(ISBLANK(Table2[[#This Row],[ActualResult]]), "_", IF(Table2[[#This Row],[ActualAwayScore]]=Table2[[#This Row],[PredictedAwayScore]], "Y", "N")))</f>
        <v>_</v>
      </c>
      <c r="Q795" s="3" t="str">
        <f>IF(Table2[[#This Row],[ActualHomeScore]]&gt;Table2[[#This Row],[PredictedHomeScore]],"N", IF(ISBLANK(Table2[[#This Row],[ActualResult]]), "_", IF(Table2[[#This Row],[ActualHomeScore]]=Table2[[#This Row],[PredictedHomeScore]], "Y", "N")))</f>
        <v>_</v>
      </c>
      <c r="R795" s="3"/>
      <c r="S795" s="3" t="str">
        <f t="shared" si="66"/>
        <v>_</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0</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-4</v>
      </c>
      <c r="AG795" s="3">
        <f>Table2[[#This Row],[ActualHomeScore]]-Table2[[#This Row],[PredictedHomeScore]]</f>
        <v>-3</v>
      </c>
      <c r="AH795" s="3">
        <f t="shared" si="67"/>
        <v>-16</v>
      </c>
      <c r="AI795" s="3">
        <f t="shared" si="68"/>
        <v>-6</v>
      </c>
      <c r="AJ795" s="3"/>
      <c r="AK795" s="2"/>
      <c r="AL795" s="2">
        <f>IF(Table2[[#This Row],[GameIsOver]]=0,0,IF(Table2[[#This Row],[ActualWinner]]=Table2[[#This Row],[AwayTeam]], 1, 0))</f>
        <v>0</v>
      </c>
      <c r="AM795" s="2">
        <f>IF(Table2[[#This Row],[GameIsOver]]=0,0,IF(Table2[[#This Row],[ActualWinner]]=Table2[[#This Row],[HomeTeam]], 1, 0))</f>
        <v>0</v>
      </c>
      <c r="AN795" s="2">
        <f>IF(IFERROR(FIND(Table2[[#This Row],[AwayTeam]], _xlfn.TEXTJOIN(";", 1, $AV$31:$AV$40)), 0) &gt; 0, 1, 0) + IF(IFERROR(FIND(Table2[[#This Row],[HomeTeam]], _xlfn.TEXTJOIN(";", 1, $AV$31:$AV$40)), 0) &gt; 0, 1, 0)</f>
        <v>0</v>
      </c>
    </row>
    <row r="796" spans="1:40" x14ac:dyDescent="0.25">
      <c r="A796" s="4">
        <v>45684</v>
      </c>
      <c r="B796" s="4">
        <v>45684</v>
      </c>
      <c r="C796" s="7" t="s">
        <v>905</v>
      </c>
      <c r="D796" s="2" t="s">
        <v>28</v>
      </c>
      <c r="E796" s="2" t="s">
        <v>31</v>
      </c>
      <c r="F796" s="2">
        <v>2</v>
      </c>
      <c r="G796" s="2">
        <v>3</v>
      </c>
      <c r="H796" s="2" t="str">
        <f t="shared" si="64"/>
        <v>DET</v>
      </c>
      <c r="I796" s="2" t="s">
        <v>77</v>
      </c>
      <c r="J796" s="2"/>
      <c r="K796" s="2"/>
      <c r="L796" s="13" t="str">
        <f t="shared" si="65"/>
        <v>_</v>
      </c>
      <c r="M796" s="2"/>
      <c r="N796" s="2">
        <f>IF(ISBLANK(Table2[[#This Row],[ActualResult]]), 0, 1)</f>
        <v>0</v>
      </c>
      <c r="O796" s="2" t="str">
        <f>IF(ISBLANK(Table2[[#This Row],[ActualResult]]), "_", IF(Table2[[#This Row],[ActualWinner]]=Table2[[#This Row],[PredictedWinner]], "Y", "N"))</f>
        <v>_</v>
      </c>
      <c r="P796" s="2" t="str">
        <f>IF(Table2[[#This Row],[ActualAwayScore]]&gt;Table2[[#This Row],[PredictedAwayScore]], "N", IF(ISBLANK(Table2[[#This Row],[ActualResult]]), "_", IF(Table2[[#This Row],[ActualAwayScore]]=Table2[[#This Row],[PredictedAwayScore]], "Y", "N")))</f>
        <v>_</v>
      </c>
      <c r="Q796" s="2" t="str">
        <f>IF(Table2[[#This Row],[ActualHomeScore]]&gt;Table2[[#This Row],[PredictedHomeScore]],"N", IF(ISBLANK(Table2[[#This Row],[ActualResult]]), "_", IF(Table2[[#This Row],[ActualHomeScore]]=Table2[[#This Row],[PredictedHomeScore]], "Y", "N")))</f>
        <v>_</v>
      </c>
      <c r="R796" s="2"/>
      <c r="S796" s="2" t="str">
        <f t="shared" si="66"/>
        <v>_</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0</v>
      </c>
      <c r="AC796" s="32">
        <f>(($AX$11)*IF(Table2[[#This Row],[CorrectWinnerPrediction]]="Y", 1, 0))+(($AX$12)*IF(Table2[[#This Row],[CorrectAwayScorePrediction]]="Y", 1, 0))+(($AX$13)*IF(Table2[[#This Row],[CorrectHomeScorePrediction]]="Y", 1, 0))</f>
        <v>0</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-2</v>
      </c>
      <c r="AG796" s="2">
        <f>Table2[[#This Row],[ActualHomeScore]]-Table2[[#This Row],[PredictedHomeScore]]</f>
        <v>-3</v>
      </c>
      <c r="AH796" s="2">
        <f t="shared" si="67"/>
        <v>-14</v>
      </c>
      <c r="AI796" s="2">
        <f t="shared" si="68"/>
        <v>-16</v>
      </c>
      <c r="AJ796" s="2"/>
      <c r="AK796" s="2"/>
      <c r="AL796" s="2">
        <f>IF(Table2[[#This Row],[GameIsOver]]=0,0,IF(Table2[[#This Row],[ActualWinner]]=Table2[[#This Row],[AwayTeam]], 1, 0))</f>
        <v>0</v>
      </c>
      <c r="AM796" s="2">
        <f>IF(Table2[[#This Row],[GameIsOver]]=0,0,IF(Table2[[#This Row],[ActualWinner]]=Table2[[#This Row],[HomeTeam]], 1, 0))</f>
        <v>0</v>
      </c>
      <c r="AN796" s="2">
        <f>IF(IFERROR(FIND(Table2[[#This Row],[AwayTeam]], _xlfn.TEXTJOIN(";", 1, $AV$31:$AV$40)), 0) &gt; 0, 1, 0) + IF(IFERROR(FIND(Table2[[#This Row],[HomeTeam]], _xlfn.TEXTJOIN(";", 1, $AV$31:$AV$40)), 0) &gt; 0, 1, 0)</f>
        <v>0</v>
      </c>
    </row>
    <row r="797" spans="1:40" x14ac:dyDescent="0.25">
      <c r="A797" s="4">
        <v>45684</v>
      </c>
      <c r="B797" s="4">
        <v>45684</v>
      </c>
      <c r="C797" s="7" t="s">
        <v>906</v>
      </c>
      <c r="D797" s="2" t="s">
        <v>32</v>
      </c>
      <c r="E797" s="2" t="s">
        <v>45</v>
      </c>
      <c r="F797" s="2">
        <v>4</v>
      </c>
      <c r="G797" s="2">
        <v>2</v>
      </c>
      <c r="H797" s="2" t="str">
        <f t="shared" si="64"/>
        <v>NJD</v>
      </c>
      <c r="I797" s="2" t="s">
        <v>40</v>
      </c>
      <c r="J797" s="2"/>
      <c r="K797" s="2"/>
      <c r="L797" s="2" t="str">
        <f t="shared" si="65"/>
        <v>_</v>
      </c>
      <c r="M797" s="2"/>
      <c r="N797" s="2">
        <f>IF(ISBLANK(Table2[[#This Row],[ActualResult]]), 0, 1)</f>
        <v>0</v>
      </c>
      <c r="O797" s="2" t="str">
        <f>IF(ISBLANK(Table2[[#This Row],[ActualResult]]), "_", IF(Table2[[#This Row],[ActualWinner]]=Table2[[#This Row],[PredictedWinner]], "Y", "N"))</f>
        <v>_</v>
      </c>
      <c r="P797" s="2" t="str">
        <f>IF(Table2[[#This Row],[ActualAwayScore]]&gt;Table2[[#This Row],[PredictedAwayScore]], "N", IF(ISBLANK(Table2[[#This Row],[ActualResult]]), "_", IF(Table2[[#This Row],[ActualAwayScore]]=Table2[[#This Row],[PredictedAwayScore]], "Y", "N")))</f>
        <v>_</v>
      </c>
      <c r="Q797" s="2" t="str">
        <f>IF(Table2[[#This Row],[ActualHomeScore]]&gt;Table2[[#This Row],[PredictedHomeScore]],"N", IF(ISBLANK(Table2[[#This Row],[ActualResult]]), "_", IF(Table2[[#This Row],[ActualHomeScore]]=Table2[[#This Row],[PredictedHomeScore]], "Y", "N")))</f>
        <v>_</v>
      </c>
      <c r="R797" s="2"/>
      <c r="S797" s="2" t="str">
        <f t="shared" si="66"/>
        <v>_</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0</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-4</v>
      </c>
      <c r="AG797" s="2">
        <f>Table2[[#This Row],[ActualHomeScore]]-Table2[[#This Row],[PredictedHomeScore]]</f>
        <v>-2</v>
      </c>
      <c r="AH797" s="2">
        <f t="shared" si="67"/>
        <v>-14</v>
      </c>
      <c r="AI797" s="2">
        <f t="shared" si="68"/>
        <v>-16</v>
      </c>
      <c r="AJ797" s="2"/>
      <c r="AK797" s="2"/>
      <c r="AL797" s="2">
        <f>IF(Table2[[#This Row],[GameIsOver]]=0,0,IF(Table2[[#This Row],[ActualWinner]]=Table2[[#This Row],[AwayTeam]], 1, 0))</f>
        <v>0</v>
      </c>
      <c r="AM797" s="2">
        <f>IF(Table2[[#This Row],[GameIsOver]]=0,0,IF(Table2[[#This Row],[ActualWinner]]=Table2[[#This Row],[HomeTeam]], 1, 0))</f>
        <v>0</v>
      </c>
      <c r="AN797" s="2">
        <f>IF(IFERROR(FIND(Table2[[#This Row],[AwayTeam]], _xlfn.TEXTJOIN(";", 1, $AV$31:$AV$40)), 0) &gt; 0, 1, 0) + IF(IFERROR(FIND(Table2[[#This Row],[HomeTeam]], _xlfn.TEXTJOIN(";", 1, $AV$31:$AV$40)), 0) &gt; 0, 1, 0)</f>
        <v>0</v>
      </c>
    </row>
    <row r="798" spans="1:40" x14ac:dyDescent="0.25">
      <c r="A798" s="4">
        <v>45684</v>
      </c>
      <c r="B798" s="4">
        <v>45684</v>
      </c>
      <c r="C798" s="7" t="s">
        <v>907</v>
      </c>
      <c r="D798" s="2" t="s">
        <v>25</v>
      </c>
      <c r="E798" s="2" t="s">
        <v>13</v>
      </c>
      <c r="F798" s="2">
        <v>2</v>
      </c>
      <c r="G798" s="2">
        <v>4</v>
      </c>
      <c r="H798" s="2" t="str">
        <f t="shared" si="64"/>
        <v>STL</v>
      </c>
      <c r="I798" s="2" t="s">
        <v>40</v>
      </c>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-2</v>
      </c>
      <c r="AG798" s="2">
        <f>Table2[[#This Row],[ActualHomeScore]]-Table2[[#This Row],[PredictedHomeScore]]</f>
        <v>-4</v>
      </c>
      <c r="AH798" s="2">
        <f t="shared" si="67"/>
        <v>-14</v>
      </c>
      <c r="AI798" s="2">
        <f t="shared" si="68"/>
        <v>-16</v>
      </c>
      <c r="AJ798" s="2"/>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row>
    <row r="799" spans="1:40" x14ac:dyDescent="0.25">
      <c r="A799" s="4">
        <v>45684</v>
      </c>
      <c r="B799" s="4">
        <v>45684</v>
      </c>
      <c r="C799" s="7" t="s">
        <v>908</v>
      </c>
      <c r="D799" s="2" t="s">
        <v>12</v>
      </c>
      <c r="E799" s="2" t="s">
        <v>23</v>
      </c>
      <c r="F799" s="2">
        <v>2</v>
      </c>
      <c r="G799" s="2">
        <v>4</v>
      </c>
      <c r="H799" s="2" t="str">
        <f t="shared" si="64"/>
        <v>EDM</v>
      </c>
      <c r="I799" s="2" t="s">
        <v>40</v>
      </c>
      <c r="J799" s="2"/>
      <c r="K799" s="2"/>
      <c r="L799" s="2" t="str">
        <f t="shared" si="65"/>
        <v>_</v>
      </c>
      <c r="M799" s="2"/>
      <c r="N799" s="2">
        <f>IF(ISBLANK(Table2[[#This Row],[ActualResult]]), 0, 1)</f>
        <v>0</v>
      </c>
      <c r="O799" s="2" t="str">
        <f>IF(ISBLANK(Table2[[#This Row],[ActualResult]]), "_", IF(Table2[[#This Row],[ActualWinner]]=Table2[[#This Row],[PredictedWinner]], "Y", "N"))</f>
        <v>_</v>
      </c>
      <c r="P799" s="2" t="str">
        <f>IF(Table2[[#This Row],[ActualAwayScore]]&gt;Table2[[#This Row],[PredictedAwayScore]], "N", IF(ISBLANK(Table2[[#This Row],[ActualResult]]), "_", IF(Table2[[#This Row],[ActualAwayScore]]=Table2[[#This Row],[PredictedAwayScore]], "Y", "N")))</f>
        <v>_</v>
      </c>
      <c r="Q799" s="2" t="str">
        <f>IF(Table2[[#This Row],[ActualHomeScore]]&gt;Table2[[#This Row],[PredictedHomeScore]],"N", IF(ISBLANK(Table2[[#This Row],[ActualResult]]), "_", IF(Table2[[#This Row],[ActualHomeScore]]=Table2[[#This Row],[PredictedHomeScore]], "Y", "N")))</f>
        <v>_</v>
      </c>
      <c r="R799" s="2"/>
      <c r="S799" s="2" t="str">
        <f t="shared" si="66"/>
        <v>_</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0</v>
      </c>
      <c r="AC799" s="32">
        <f>(($AX$11)*IF(Table2[[#This Row],[CorrectWinnerPrediction]]="Y", 1, 0))+(($AX$12)*IF(Table2[[#This Row],[CorrectAwayScorePrediction]]="Y", 1, 0))+(($AX$13)*IF(Table2[[#This Row],[CorrectHomeScorePrediction]]="Y", 1, 0))</f>
        <v>0</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-2</v>
      </c>
      <c r="AG799" s="2">
        <f>Table2[[#This Row],[ActualHomeScore]]-Table2[[#This Row],[PredictedHomeScore]]</f>
        <v>-4</v>
      </c>
      <c r="AH799" s="2">
        <f t="shared" si="67"/>
        <v>-14</v>
      </c>
      <c r="AI799" s="2">
        <f t="shared" si="68"/>
        <v>-16</v>
      </c>
      <c r="AJ799" s="2"/>
      <c r="AK799" s="2"/>
      <c r="AL799" s="2">
        <f>IF(Table2[[#This Row],[GameIsOver]]=0,0,IF(Table2[[#This Row],[ActualWinner]]=Table2[[#This Row],[AwayTeam]], 1, 0))</f>
        <v>0</v>
      </c>
      <c r="AM799" s="2">
        <f>IF(Table2[[#This Row],[GameIsOver]]=0,0,IF(Table2[[#This Row],[ActualWinner]]=Table2[[#This Row],[HomeTeam]], 1, 0))</f>
        <v>0</v>
      </c>
      <c r="AN799" s="2">
        <f>IF(IFERROR(FIND(Table2[[#This Row],[AwayTeam]], _xlfn.TEXTJOIN(";", 1, $AV$31:$AV$40)), 0) &gt; 0, 1, 0) + IF(IFERROR(FIND(Table2[[#This Row],[HomeTeam]], _xlfn.TEXTJOIN(";", 1, $AV$31:$AV$40)), 0) &gt; 0, 1, 0)</f>
        <v>1</v>
      </c>
    </row>
    <row r="800" spans="1:40" x14ac:dyDescent="0.25">
      <c r="A800" s="5">
        <v>45684</v>
      </c>
      <c r="B800" s="5">
        <v>45684</v>
      </c>
      <c r="C800" s="8" t="s">
        <v>909</v>
      </c>
      <c r="D800" s="3" t="s">
        <v>21</v>
      </c>
      <c r="E800" s="3" t="s">
        <v>38</v>
      </c>
      <c r="F800" s="3">
        <v>4</v>
      </c>
      <c r="G800" s="3">
        <v>3</v>
      </c>
      <c r="H800" s="3" t="str">
        <f t="shared" si="64"/>
        <v>PIT</v>
      </c>
      <c r="I800" s="3" t="s">
        <v>40</v>
      </c>
      <c r="J800" s="3"/>
      <c r="K800" s="3"/>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-4</v>
      </c>
      <c r="AG800" s="3">
        <f>Table2[[#This Row],[ActualHomeScore]]-Table2[[#This Row],[PredictedHomeScore]]</f>
        <v>-3</v>
      </c>
      <c r="AH800" s="3">
        <f t="shared" si="67"/>
        <v>-14</v>
      </c>
      <c r="AI800" s="3">
        <f t="shared" si="68"/>
        <v>-16</v>
      </c>
      <c r="AJ800" s="3"/>
      <c r="AK800" s="2"/>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row>
    <row r="801" spans="1:40" x14ac:dyDescent="0.25">
      <c r="A801" s="4">
        <v>45685</v>
      </c>
      <c r="B801" s="4">
        <v>45685</v>
      </c>
      <c r="C801" s="7" t="s">
        <v>910</v>
      </c>
      <c r="D801" s="2" t="s">
        <v>16</v>
      </c>
      <c r="E801" s="2" t="s">
        <v>29</v>
      </c>
      <c r="F801" s="2"/>
      <c r="G801" s="2"/>
      <c r="H801" s="2" t="str">
        <f t="shared" si="64"/>
        <v>_</v>
      </c>
      <c r="I801" s="2"/>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0</v>
      </c>
      <c r="AG801" s="2">
        <f>Table2[[#This Row],[ActualHomeScore]]-Table2[[#This Row],[PredictedHomeScore]]</f>
        <v>0</v>
      </c>
      <c r="AH801" s="2">
        <f t="shared" si="67"/>
        <v>0</v>
      </c>
      <c r="AI801" s="2">
        <f t="shared" si="68"/>
        <v>0</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row>
    <row r="802" spans="1:40" x14ac:dyDescent="0.25">
      <c r="A802" s="4">
        <v>45685</v>
      </c>
      <c r="B802" s="4">
        <v>45685</v>
      </c>
      <c r="C802" s="7" t="s">
        <v>911</v>
      </c>
      <c r="D802" s="2" t="s">
        <v>22</v>
      </c>
      <c r="E802" s="2" t="s">
        <v>19</v>
      </c>
      <c r="F802" s="2"/>
      <c r="G802" s="2"/>
      <c r="H802" s="2" t="str">
        <f t="shared" si="64"/>
        <v>_</v>
      </c>
      <c r="I802" s="2"/>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0</v>
      </c>
      <c r="AH802" s="2">
        <f t="shared" si="67"/>
        <v>0</v>
      </c>
      <c r="AI802" s="2">
        <f t="shared" si="68"/>
        <v>0</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row>
    <row r="803" spans="1:40" x14ac:dyDescent="0.25">
      <c r="A803" s="4">
        <v>45685</v>
      </c>
      <c r="B803" s="4">
        <v>45685</v>
      </c>
      <c r="C803" s="7" t="s">
        <v>912</v>
      </c>
      <c r="D803" s="2" t="s">
        <v>17</v>
      </c>
      <c r="E803" s="2" t="s">
        <v>43</v>
      </c>
      <c r="F803" s="2"/>
      <c r="G803" s="2"/>
      <c r="H803" s="2" t="str">
        <f t="shared" si="64"/>
        <v>_</v>
      </c>
      <c r="I803" s="2"/>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0</v>
      </c>
      <c r="AG803" s="2">
        <f>Table2[[#This Row],[ActualHomeScore]]-Table2[[#This Row],[PredictedHomeScore]]</f>
        <v>0</v>
      </c>
      <c r="AH803" s="2">
        <f t="shared" si="67"/>
        <v>0</v>
      </c>
      <c r="AI803" s="2">
        <f t="shared" si="68"/>
        <v>0</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row>
    <row r="804" spans="1:40" x14ac:dyDescent="0.25">
      <c r="A804" s="4">
        <v>45685</v>
      </c>
      <c r="B804" s="4">
        <v>45685</v>
      </c>
      <c r="C804" s="7" t="s">
        <v>913</v>
      </c>
      <c r="D804" s="2" t="s">
        <v>44</v>
      </c>
      <c r="E804" s="2" t="s">
        <v>20</v>
      </c>
      <c r="F804" s="2"/>
      <c r="G804" s="2"/>
      <c r="H804" s="2" t="str">
        <f t="shared" si="64"/>
        <v>_</v>
      </c>
      <c r="I804" s="2"/>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0</v>
      </c>
      <c r="AG804" s="2">
        <f>Table2[[#This Row],[ActualHomeScore]]-Table2[[#This Row],[PredictedHomeScore]]</f>
        <v>0</v>
      </c>
      <c r="AH804" s="2">
        <f t="shared" si="67"/>
        <v>0</v>
      </c>
      <c r="AI804" s="2">
        <f t="shared" si="68"/>
        <v>0</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row>
    <row r="805" spans="1:40" x14ac:dyDescent="0.25">
      <c r="A805" s="4">
        <v>45685</v>
      </c>
      <c r="B805" s="4">
        <v>45685</v>
      </c>
      <c r="C805" s="7" t="s">
        <v>914</v>
      </c>
      <c r="D805" s="2" t="s">
        <v>26</v>
      </c>
      <c r="E805" s="2" t="s">
        <v>33</v>
      </c>
      <c r="F805" s="2"/>
      <c r="G805" s="2"/>
      <c r="H805" s="2" t="str">
        <f t="shared" si="64"/>
        <v>_</v>
      </c>
      <c r="I805" s="2"/>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0</v>
      </c>
      <c r="AG805" s="2">
        <f>Table2[[#This Row],[ActualHomeScore]]-Table2[[#This Row],[PredictedHomeScore]]</f>
        <v>0</v>
      </c>
      <c r="AH805" s="2">
        <f t="shared" si="67"/>
        <v>0</v>
      </c>
      <c r="AI805" s="2">
        <f t="shared" si="68"/>
        <v>0</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row>
    <row r="806" spans="1:40" x14ac:dyDescent="0.25">
      <c r="A806" s="4">
        <v>45685</v>
      </c>
      <c r="B806" s="4">
        <v>45685</v>
      </c>
      <c r="C806" s="7" t="s">
        <v>915</v>
      </c>
      <c r="D806" s="2" t="s">
        <v>46</v>
      </c>
      <c r="E806" s="2" t="s">
        <v>24</v>
      </c>
      <c r="F806" s="2"/>
      <c r="G806" s="2"/>
      <c r="H806" s="2" t="str">
        <f t="shared" si="64"/>
        <v>_</v>
      </c>
      <c r="I806" s="2"/>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0</v>
      </c>
      <c r="AG806" s="2">
        <f>Table2[[#This Row],[ActualHomeScore]]-Table2[[#This Row],[PredictedHomeScore]]</f>
        <v>0</v>
      </c>
      <c r="AH806" s="2">
        <f t="shared" si="67"/>
        <v>0</v>
      </c>
      <c r="AI806" s="2">
        <f t="shared" si="68"/>
        <v>0</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row>
    <row r="807" spans="1:40" x14ac:dyDescent="0.25">
      <c r="A807" s="4">
        <v>45685</v>
      </c>
      <c r="B807" s="4">
        <v>45685</v>
      </c>
      <c r="C807" s="7" t="s">
        <v>916</v>
      </c>
      <c r="D807" s="2" t="s">
        <v>34</v>
      </c>
      <c r="E807" s="2" t="s">
        <v>27</v>
      </c>
      <c r="F807" s="2"/>
      <c r="G807" s="2"/>
      <c r="H807" s="2" t="str">
        <f t="shared" si="64"/>
        <v>_</v>
      </c>
      <c r="I807" s="2"/>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0</v>
      </c>
      <c r="AG807" s="2">
        <f>Table2[[#This Row],[ActualHomeScore]]-Table2[[#This Row],[PredictedHomeScore]]</f>
        <v>0</v>
      </c>
      <c r="AH807" s="2">
        <f t="shared" si="67"/>
        <v>0</v>
      </c>
      <c r="AI807" s="2">
        <f t="shared" si="68"/>
        <v>0</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row>
    <row r="808" spans="1:40" x14ac:dyDescent="0.25">
      <c r="A808" s="5">
        <v>45685</v>
      </c>
      <c r="B808" s="5">
        <v>45685</v>
      </c>
      <c r="C808" s="8" t="s">
        <v>917</v>
      </c>
      <c r="D808" s="3" t="s">
        <v>47</v>
      </c>
      <c r="E808" s="3" t="s">
        <v>12</v>
      </c>
      <c r="F808" s="3"/>
      <c r="G808" s="3"/>
      <c r="H808" s="3" t="str">
        <f t="shared" si="64"/>
        <v>_</v>
      </c>
      <c r="I808" s="3"/>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0</v>
      </c>
      <c r="AG808" s="3">
        <f>Table2[[#This Row],[ActualHomeScore]]-Table2[[#This Row],[PredictedHomeScore]]</f>
        <v>0</v>
      </c>
      <c r="AH808" s="3">
        <f t="shared" si="67"/>
        <v>0</v>
      </c>
      <c r="AI808" s="3">
        <f t="shared" si="68"/>
        <v>0</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row>
    <row r="809" spans="1:40" x14ac:dyDescent="0.25">
      <c r="B809" s="4">
        <v>45686</v>
      </c>
      <c r="C809" s="7" t="s">
        <v>918</v>
      </c>
      <c r="D809" s="2" t="s">
        <v>37</v>
      </c>
      <c r="E809" s="2" t="s">
        <v>18</v>
      </c>
      <c r="F809" s="2"/>
      <c r="G809" s="2"/>
      <c r="H809" s="2" t="str">
        <f t="shared" si="64"/>
        <v>_</v>
      </c>
      <c r="I809" s="2"/>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0</v>
      </c>
      <c r="AG809" s="2">
        <f>Table2[[#This Row],[ActualHomeScore]]-Table2[[#This Row],[PredictedHomeScore]]</f>
        <v>0</v>
      </c>
      <c r="AH809" s="2">
        <f t="shared" si="67"/>
        <v>0</v>
      </c>
      <c r="AI809" s="2">
        <f t="shared" si="68"/>
        <v>0</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row>
    <row r="810" spans="1:40" x14ac:dyDescent="0.25">
      <c r="B810" s="4">
        <v>45686</v>
      </c>
      <c r="C810" s="7" t="s">
        <v>919</v>
      </c>
      <c r="D810" s="2" t="s">
        <v>28</v>
      </c>
      <c r="E810" s="2" t="s">
        <v>14</v>
      </c>
      <c r="F810" s="2"/>
      <c r="G810" s="2"/>
      <c r="H810" s="2" t="str">
        <f t="shared" si="64"/>
        <v>_</v>
      </c>
      <c r="I810" s="2"/>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0</v>
      </c>
      <c r="AG810" s="2">
        <f>Table2[[#This Row],[ActualHomeScore]]-Table2[[#This Row],[PredictedHomeScore]]</f>
        <v>0</v>
      </c>
      <c r="AH810" s="2">
        <f t="shared" si="67"/>
        <v>0</v>
      </c>
      <c r="AI810" s="2">
        <f t="shared" si="68"/>
        <v>0</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row>
    <row r="811" spans="1:40" x14ac:dyDescent="0.25">
      <c r="B811" s="4">
        <v>45686</v>
      </c>
      <c r="C811" s="7" t="s">
        <v>920</v>
      </c>
      <c r="D811" s="2" t="s">
        <v>45</v>
      </c>
      <c r="E811" s="2" t="s">
        <v>32</v>
      </c>
      <c r="F811" s="2"/>
      <c r="G811" s="2"/>
      <c r="H811" s="2" t="str">
        <f t="shared" si="64"/>
        <v>_</v>
      </c>
      <c r="I811" s="2"/>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0</v>
      </c>
      <c r="AG811" s="2">
        <f>Table2[[#This Row],[ActualHomeScore]]-Table2[[#This Row],[PredictedHomeScore]]</f>
        <v>0</v>
      </c>
      <c r="AH811" s="2">
        <f t="shared" si="67"/>
        <v>0</v>
      </c>
      <c r="AI811" s="2">
        <f t="shared" si="68"/>
        <v>0</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row>
    <row r="812" spans="1:40" x14ac:dyDescent="0.25">
      <c r="B812" s="4">
        <v>45686</v>
      </c>
      <c r="C812" s="7" t="s">
        <v>921</v>
      </c>
      <c r="D812" s="2" t="s">
        <v>25</v>
      </c>
      <c r="E812" s="2" t="s">
        <v>35</v>
      </c>
      <c r="F812" s="2"/>
      <c r="G812" s="2"/>
      <c r="H812" s="2" t="str">
        <f t="shared" si="64"/>
        <v>_</v>
      </c>
      <c r="I812" s="2"/>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0</v>
      </c>
      <c r="AG812" s="2">
        <f>Table2[[#This Row],[ActualHomeScore]]-Table2[[#This Row],[PredictedHomeScore]]</f>
        <v>0</v>
      </c>
      <c r="AH812" s="2">
        <f t="shared" si="67"/>
        <v>0</v>
      </c>
      <c r="AI812" s="2">
        <f t="shared" si="68"/>
        <v>0</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row>
    <row r="813" spans="1:40" x14ac:dyDescent="0.25">
      <c r="A813" s="3"/>
      <c r="B813" s="5">
        <v>45686</v>
      </c>
      <c r="C813" s="8" t="s">
        <v>922</v>
      </c>
      <c r="D813" s="3" t="s">
        <v>21</v>
      </c>
      <c r="E813" s="3" t="s">
        <v>15</v>
      </c>
      <c r="F813" s="3"/>
      <c r="G813" s="3"/>
      <c r="H813" s="3" t="str">
        <f t="shared" si="64"/>
        <v>_</v>
      </c>
      <c r="I813" s="3"/>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0</v>
      </c>
      <c r="AG813" s="3">
        <f>Table2[[#This Row],[ActualHomeScore]]-Table2[[#This Row],[PredictedHomeScore]]</f>
        <v>0</v>
      </c>
      <c r="AH813" s="3">
        <f t="shared" si="67"/>
        <v>0</v>
      </c>
      <c r="AI813" s="3">
        <f t="shared" si="68"/>
        <v>0</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row>
    <row r="814" spans="1:40" x14ac:dyDescent="0.25">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row>
    <row r="815" spans="1:40" x14ac:dyDescent="0.25">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row>
    <row r="816" spans="1:40" x14ac:dyDescent="0.25">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row>
    <row r="817" spans="1:40" x14ac:dyDescent="0.25">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row>
    <row r="818" spans="1:40" x14ac:dyDescent="0.25">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row>
    <row r="819" spans="1:40" x14ac:dyDescent="0.25">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row>
    <row r="820" spans="1:40" x14ac:dyDescent="0.25">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row>
    <row r="821" spans="1:40" x14ac:dyDescent="0.25">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row>
    <row r="822" spans="1:40" x14ac:dyDescent="0.25">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row>
    <row r="823" spans="1:40" x14ac:dyDescent="0.25">
      <c r="A823" s="3"/>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row>
    <row r="824" spans="1:40"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row>
    <row r="825" spans="1:40"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row>
    <row r="826" spans="1:40"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row>
    <row r="827" spans="1:40"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row>
    <row r="828" spans="1:40"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row>
    <row r="829" spans="1:40"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row>
    <row r="830" spans="1:40"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row>
    <row r="831" spans="1:40"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row>
    <row r="832" spans="1:40"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row>
    <row r="833" spans="1:40"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row>
    <row r="834" spans="1:40"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row>
    <row r="835" spans="1:40"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row>
    <row r="836" spans="1:40"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row>
    <row r="837" spans="1:40"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row>
    <row r="838" spans="1:40"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row>
    <row r="839" spans="1:40"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row>
    <row r="840" spans="1:40"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row>
    <row r="841" spans="1:40"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row>
    <row r="842" spans="1:40"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row>
    <row r="843" spans="1:40"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row>
    <row r="844" spans="1:40"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row>
    <row r="845" spans="1:40"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row>
    <row r="846" spans="1:40"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row>
    <row r="847" spans="1:40"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row>
    <row r="848" spans="1:40"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row>
    <row r="849" spans="1:40"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row>
    <row r="850" spans="1:40"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row>
    <row r="851" spans="1:40"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row>
    <row r="852" spans="1:40"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row>
    <row r="853" spans="1:40"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row>
    <row r="854" spans="1:40"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row>
    <row r="855" spans="1:40"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row>
    <row r="856" spans="1:40"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row>
    <row r="857" spans="1:40"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row>
    <row r="858" spans="1:40"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row>
    <row r="859" spans="1:40"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row>
    <row r="860" spans="1:40"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row>
    <row r="861" spans="1:40"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row>
    <row r="862" spans="1:40"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row>
    <row r="863" spans="1:40"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row>
    <row r="864" spans="1:40"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row>
    <row r="865" spans="1:40"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row>
    <row r="866" spans="1:40"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row>
    <row r="867" spans="1:40"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row>
    <row r="868" spans="1:40"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row>
    <row r="869" spans="1:40"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row>
    <row r="870" spans="1:40"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row>
    <row r="871" spans="1:40"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row>
    <row r="872" spans="1:40"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row>
    <row r="873" spans="1:40"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row>
    <row r="874" spans="1:40"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row>
    <row r="875" spans="1:40"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row>
    <row r="876" spans="1:40"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row>
    <row r="877" spans="1:40"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row>
    <row r="878" spans="1:40"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row>
    <row r="879" spans="1:40"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row>
    <row r="880" spans="1:40"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row>
    <row r="881" spans="1:40"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row>
    <row r="882" spans="1:40"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row>
    <row r="883" spans="1:40"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row>
    <row r="884" spans="1:40"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row>
    <row r="885" spans="1:40"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row>
    <row r="886" spans="1:40"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row>
    <row r="887" spans="1:40"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row>
    <row r="888" spans="1:40"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row>
    <row r="889" spans="1:40"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row>
    <row r="890" spans="1:40"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row>
    <row r="891" spans="1:40"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row>
    <row r="892" spans="1:40"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row>
    <row r="893" spans="1:40"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row>
    <row r="894" spans="1:40"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row>
    <row r="895" spans="1:40"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row>
    <row r="896" spans="1:40"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row>
    <row r="897" spans="1:40"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row>
    <row r="898" spans="1:40"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row>
    <row r="899" spans="1:40"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row>
    <row r="900" spans="1:40"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row>
    <row r="901" spans="1:40"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row>
    <row r="902" spans="1:40"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row>
    <row r="903" spans="1:40"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row>
    <row r="904" spans="1:40"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row>
    <row r="905" spans="1:40"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row>
    <row r="906" spans="1:40"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row>
    <row r="907" spans="1:40"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row>
    <row r="908" spans="1:40"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row>
    <row r="909" spans="1:40"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row>
    <row r="910" spans="1:40"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row>
    <row r="911" spans="1:40"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row>
    <row r="912" spans="1:40"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row>
    <row r="913" spans="1:40"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row>
    <row r="914" spans="1:40"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row>
    <row r="915" spans="1:40"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row>
    <row r="916" spans="1:40"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row>
    <row r="917" spans="1:40"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row>
    <row r="918" spans="1:40"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row>
    <row r="919" spans="1:40"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row>
    <row r="920" spans="1:40"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row>
    <row r="921" spans="1:40"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row>
    <row r="922" spans="1:40"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row>
    <row r="923" spans="1:40"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row>
    <row r="924" spans="1:40"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row>
    <row r="925" spans="1:40"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row>
    <row r="926" spans="1:40"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row>
    <row r="927" spans="1:40"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row>
    <row r="928" spans="1:40"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row>
    <row r="929" spans="1:40"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row>
    <row r="930" spans="1:40"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row>
    <row r="931" spans="1:40"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row>
    <row r="932" spans="1:40"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row>
    <row r="933" spans="1:40"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row>
    <row r="934" spans="1:40"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row>
    <row r="935" spans="1:40"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row>
    <row r="936" spans="1:40"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row>
    <row r="937" spans="1:40"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row>
    <row r="938" spans="1:40"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row>
    <row r="939" spans="1:40"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row>
    <row r="940" spans="1:40"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row>
    <row r="941" spans="1:40"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row>
    <row r="942" spans="1:40"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row>
    <row r="943" spans="1:40"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row>
    <row r="944" spans="1:40"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row>
    <row r="945" spans="1:40"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row>
    <row r="946" spans="1:40"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row>
    <row r="947" spans="1:40"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row>
    <row r="948" spans="1:40"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row>
    <row r="949" spans="1:40"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row>
    <row r="950" spans="1:40"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row>
    <row r="951" spans="1:40"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row>
    <row r="952" spans="1:40"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row>
    <row r="953" spans="1:40"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row>
    <row r="954" spans="1:40"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row>
    <row r="955" spans="1:40"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row>
    <row r="956" spans="1:40"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row>
    <row r="957" spans="1:40"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row>
    <row r="958" spans="1:40"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row>
    <row r="959" spans="1:40"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row>
    <row r="960" spans="1:40"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row>
    <row r="961" spans="1:40"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row>
    <row r="962" spans="1:40"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row>
    <row r="963" spans="1:40"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row>
    <row r="964" spans="1:40"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row>
    <row r="965" spans="1:40"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row>
    <row r="966" spans="1:40"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row>
    <row r="967" spans="1:40"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row>
    <row r="968" spans="1:40"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row>
    <row r="969" spans="1:40"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row>
    <row r="970" spans="1:40"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row>
    <row r="971" spans="1:40"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row>
    <row r="972" spans="1:40"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row>
    <row r="973" spans="1:40"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row>
    <row r="974" spans="1:40"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row>
    <row r="975" spans="1:40"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row>
    <row r="976" spans="1:40"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row>
    <row r="977" spans="1:40"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row>
    <row r="978" spans="1:40"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row>
    <row r="979" spans="1:40"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row>
    <row r="980" spans="1:40"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row>
    <row r="981" spans="1:40"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row>
    <row r="982" spans="1:40"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row>
    <row r="983" spans="1:40"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row>
    <row r="984" spans="1:40"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row>
    <row r="985" spans="1:40"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row>
    <row r="986" spans="1:40"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row>
    <row r="987" spans="1:40"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row>
    <row r="988" spans="1:40"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row>
    <row r="989" spans="1:40"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row>
    <row r="990" spans="1:40"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row>
    <row r="991" spans="1:40"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row>
    <row r="992" spans="1:40"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row>
    <row r="993" spans="1:40"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row>
    <row r="994" spans="1:40"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row>
    <row r="995" spans="1:40"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row>
    <row r="996" spans="1:40"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row>
    <row r="997" spans="1:40"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row>
    <row r="998" spans="1:40"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row>
    <row r="999" spans="1:40"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row>
    <row r="1000" spans="1:40"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row>
    <row r="1001" spans="1:40"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row>
    <row r="1002" spans="1:40"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row>
    <row r="1003" spans="1:40"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row>
    <row r="1004" spans="1:40"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row>
    <row r="1005" spans="1:40"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row>
    <row r="1006" spans="1:40"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row>
    <row r="1007" spans="1:40"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row>
    <row r="1008" spans="1:40"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row>
    <row r="1009" spans="1:40"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row>
    <row r="1010" spans="1:40"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row>
    <row r="1011" spans="1:40"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row>
    <row r="1012" spans="1:40"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row>
    <row r="1013" spans="1:40"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row>
    <row r="1014" spans="1:40"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row>
    <row r="1015" spans="1:40"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row>
    <row r="1016" spans="1:40"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row>
    <row r="1017" spans="1:40"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row>
    <row r="1018" spans="1:40"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row>
    <row r="1019" spans="1:40"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row>
    <row r="1020" spans="1:40"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row>
    <row r="1021" spans="1:40"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row>
    <row r="1022" spans="1:40"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row>
    <row r="1023" spans="1:40"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row>
    <row r="1024" spans="1:40"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row>
    <row r="1025" spans="1:40"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row>
    <row r="1026" spans="1:40"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row>
    <row r="1027" spans="1:40"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row>
    <row r="1028" spans="1:40"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row>
    <row r="1029" spans="1:40"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row>
    <row r="1030" spans="1:40"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row>
    <row r="1031" spans="1:40"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row>
    <row r="1032" spans="1:40"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row>
    <row r="1033" spans="1:40"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row>
    <row r="1034" spans="1:40"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row>
    <row r="1035" spans="1:40"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row>
    <row r="1036" spans="1:40"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row>
    <row r="1037" spans="1:40"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row>
    <row r="1038" spans="1:40"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row>
    <row r="1039" spans="1:40"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row>
    <row r="1040" spans="1:40"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row>
    <row r="1041" spans="1:40"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row>
    <row r="1042" spans="1:40"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row>
    <row r="1043" spans="1:40"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row>
    <row r="1044" spans="1:40"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row>
    <row r="1045" spans="1:40"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row>
    <row r="1046" spans="1:40"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row>
    <row r="1047" spans="1:40"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row>
    <row r="1048" spans="1:40"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row>
    <row r="1049" spans="1:40"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row>
    <row r="1050" spans="1:40"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row>
    <row r="1051" spans="1:40"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row>
    <row r="1052" spans="1:40"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row>
    <row r="1053" spans="1:40"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row>
    <row r="1054" spans="1:40"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row>
    <row r="1055" spans="1:40"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row>
    <row r="1056" spans="1:40"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row>
    <row r="1057" spans="1:40"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row>
    <row r="1058" spans="1:40"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row>
    <row r="1059" spans="1:40"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row>
    <row r="1060" spans="1:40"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row>
    <row r="1061" spans="1:40"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row>
    <row r="1062" spans="1:40"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row>
    <row r="1063" spans="1:40"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row>
    <row r="1064" spans="1:40"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row>
    <row r="1065" spans="1:40"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row>
    <row r="1066" spans="1:40"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row>
    <row r="1067" spans="1:40"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row>
    <row r="1068" spans="1:40"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row>
    <row r="1069" spans="1:40"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row>
    <row r="1070" spans="1:40"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row>
    <row r="1071" spans="1:40"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row>
    <row r="1072" spans="1:40"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row>
    <row r="1073" spans="1:40"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row>
    <row r="1074" spans="1:40"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row>
    <row r="1075" spans="1:40"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row>
    <row r="1076" spans="1:40"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row>
    <row r="1077" spans="1:40"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row>
    <row r="1078" spans="1:40"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row>
    <row r="1079" spans="1:40"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row>
    <row r="1080" spans="1:40"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row>
    <row r="1081" spans="1:40"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row>
    <row r="1082" spans="1:40"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row>
    <row r="1083" spans="1:40"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row>
    <row r="1084" spans="1:40"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row>
    <row r="1085" spans="1:40"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row>
    <row r="1086" spans="1:40"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row>
    <row r="1087" spans="1:40"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row>
    <row r="1088" spans="1:40"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row>
    <row r="1089" spans="1:40"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row>
    <row r="1090" spans="1:40"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row>
    <row r="1091" spans="1:40"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row>
    <row r="1092" spans="1:40"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row>
    <row r="1093" spans="1:40"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row>
    <row r="1094" spans="1:40"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row>
    <row r="1095" spans="1:40"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row>
    <row r="1096" spans="1:40"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row>
    <row r="1097" spans="1:40"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row>
    <row r="1098" spans="1:40"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row>
    <row r="1099" spans="1:40"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row>
    <row r="1100" spans="1:40"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row>
    <row r="1101" spans="1:40"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row>
    <row r="1102" spans="1:40"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row>
    <row r="1103" spans="1:40"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row>
    <row r="1104" spans="1:40"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row>
    <row r="1105" spans="1:40"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row>
    <row r="1106" spans="1:40"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row>
    <row r="1107" spans="1:40"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row>
    <row r="1108" spans="1:40"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row>
    <row r="1109" spans="1:40"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row>
    <row r="1110" spans="1:40"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row>
    <row r="1111" spans="1:40"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row>
    <row r="1112" spans="1:40"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row>
    <row r="1113" spans="1:40"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row>
    <row r="1114" spans="1:40"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row>
    <row r="1115" spans="1:40"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row>
    <row r="1116" spans="1:40"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row>
    <row r="1117" spans="1:40"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row>
    <row r="1118" spans="1:40"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row>
    <row r="1119" spans="1:40"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row>
    <row r="1120" spans="1:40"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row>
    <row r="1121" spans="1:40"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row>
    <row r="1122" spans="1:40"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row>
    <row r="1123" spans="1:40"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row>
    <row r="1124" spans="1:40"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row>
    <row r="1125" spans="1:40"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row>
    <row r="1126" spans="1:40"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row>
    <row r="1127" spans="1:40"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row>
    <row r="1128" spans="1:40"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row>
    <row r="1129" spans="1:40"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row>
    <row r="1130" spans="1:40"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row>
    <row r="1131" spans="1:40"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row>
    <row r="1132" spans="1:40"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row>
    <row r="1133" spans="1:40"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row>
    <row r="1134" spans="1:40"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row>
    <row r="1135" spans="1:40"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row>
    <row r="1136" spans="1:40"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row>
    <row r="1137" spans="1:40"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row>
    <row r="1138" spans="1:40"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row>
    <row r="1139" spans="1:40"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row>
    <row r="1140" spans="1:40"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row>
    <row r="1141" spans="1:40"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row>
    <row r="1142" spans="1:40"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row>
    <row r="1143" spans="1:40"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row>
    <row r="1144" spans="1:40"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row>
    <row r="1145" spans="1:40"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row>
    <row r="1146" spans="1:40"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row>
    <row r="1147" spans="1:40"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row>
    <row r="1148" spans="1:40"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row>
    <row r="1149" spans="1:40"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row>
    <row r="1150" spans="1:40"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row>
    <row r="1151" spans="1:40"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row>
    <row r="1152" spans="1:40"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row>
    <row r="1153" spans="1:40"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row>
    <row r="1154" spans="1:40"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row>
    <row r="1155" spans="1:40"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row>
    <row r="1156" spans="1:40"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row>
    <row r="1157" spans="1:40"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row>
    <row r="1158" spans="1:40"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row>
    <row r="1159" spans="1:40"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row>
    <row r="1160" spans="1:40"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row>
    <row r="1161" spans="1:40"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row>
    <row r="1162" spans="1:40"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row>
    <row r="1163" spans="1:40"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row>
    <row r="1164" spans="1:40"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row>
    <row r="1165" spans="1:40"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row>
    <row r="1166" spans="1:40"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row>
    <row r="1167" spans="1:40"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row>
    <row r="1168" spans="1:40"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row>
    <row r="1169" spans="1:40"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row>
    <row r="1170" spans="1:40"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row>
    <row r="1171" spans="1:40"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row>
    <row r="1172" spans="1:40"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row>
    <row r="1173" spans="1:40"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row>
    <row r="1174" spans="1:40"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row>
    <row r="1175" spans="1:40"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row>
    <row r="1176" spans="1:40"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row>
    <row r="1177" spans="1:40"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row>
    <row r="1178" spans="1:40"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row>
    <row r="1179" spans="1:40"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row>
    <row r="1180" spans="1:40"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row>
    <row r="1181" spans="1:40"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row>
    <row r="1182" spans="1:40"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row>
    <row r="1183" spans="1:40"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row>
    <row r="1184" spans="1:40"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row>
    <row r="1185" spans="1:40"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row>
    <row r="1186" spans="1:40"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row>
    <row r="1187" spans="1:40"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row>
    <row r="1188" spans="1:40"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row>
    <row r="1189" spans="1:40"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row>
    <row r="1190" spans="1:40"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row>
    <row r="1191" spans="1:40"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row>
    <row r="1192" spans="1:40"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row>
    <row r="1193" spans="1:40"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row>
    <row r="1194" spans="1:40"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row>
    <row r="1195" spans="1:40"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row>
    <row r="1196" spans="1:40"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row>
    <row r="1197" spans="1:40"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row>
    <row r="1198" spans="1:40"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row>
    <row r="1199" spans="1:40"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row>
    <row r="1200" spans="1:40"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row>
    <row r="1201" spans="1:40"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row>
    <row r="1202" spans="1:40"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row>
    <row r="1203" spans="1:40"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row>
    <row r="1204" spans="1:40"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row>
    <row r="1205" spans="1:40"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row>
    <row r="1206" spans="1:40"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row>
    <row r="1207" spans="1:40"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row>
    <row r="1208" spans="1:40"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row>
    <row r="1209" spans="1:40"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row>
    <row r="1210" spans="1:40"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row>
    <row r="1211" spans="1:40"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row>
    <row r="1212" spans="1:40"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row>
    <row r="1213" spans="1:40"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row>
    <row r="1214" spans="1:40"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row>
    <row r="1215" spans="1:40"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row>
    <row r="1216" spans="1:40"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row>
    <row r="1217" spans="1:40"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row>
    <row r="1218" spans="1:40"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row>
    <row r="1219" spans="1:40"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row>
    <row r="1220" spans="1:40"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row>
    <row r="1221" spans="1:40"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row>
    <row r="1222" spans="1:40"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row>
    <row r="1223" spans="1:40"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row>
    <row r="1224" spans="1:40"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row>
    <row r="1225" spans="1:40"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row>
    <row r="1226" spans="1:40"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row>
    <row r="1227" spans="1:40"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row>
    <row r="1228" spans="1:40"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row>
    <row r="1229" spans="1:40"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row>
    <row r="1230" spans="1:40"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row>
    <row r="1231" spans="1:40"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row>
    <row r="1232" spans="1:40"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row>
    <row r="1233" spans="1:40"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row>
    <row r="1234" spans="1:40"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row>
    <row r="1235" spans="1:40"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row>
    <row r="1236" spans="1:40"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row>
    <row r="1237" spans="1:40"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row>
    <row r="1238" spans="1:40"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row>
    <row r="1239" spans="1:40"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row>
    <row r="1240" spans="1:40"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row>
    <row r="1241" spans="1:40"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row>
    <row r="1242" spans="1:40"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row>
    <row r="1243" spans="1:40"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row>
    <row r="1244" spans="1:40"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row>
    <row r="1245" spans="1:40"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row>
    <row r="1246" spans="1:40"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row>
    <row r="1247" spans="1:40"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row>
    <row r="1248" spans="1:40"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row>
    <row r="1249" spans="1:40"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row>
    <row r="1250" spans="1:40"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row>
    <row r="1251" spans="1:40"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row>
    <row r="1252" spans="1:40"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row>
    <row r="1253" spans="1:40"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row>
    <row r="1254" spans="1:40"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row>
    <row r="1255" spans="1:40"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row>
    <row r="1256" spans="1:40"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row>
    <row r="1257" spans="1:40"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row>
    <row r="1258" spans="1:40"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row>
    <row r="1259" spans="1:40"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row>
    <row r="1260" spans="1:40"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row>
    <row r="1261" spans="1:40"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row>
    <row r="1262" spans="1:40"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row>
    <row r="1263" spans="1:40"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row>
    <row r="1264" spans="1:40"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row>
    <row r="1265" spans="1:40"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row>
    <row r="1266" spans="1:40"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row>
    <row r="1267" spans="1:40"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row>
    <row r="1268" spans="1:40"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row>
    <row r="1269" spans="1:40"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row>
    <row r="1270" spans="1:40"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row>
    <row r="1271" spans="1:40"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row>
    <row r="1272" spans="1:40"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row>
    <row r="1273" spans="1:40"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row>
    <row r="1274" spans="1:40"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row>
    <row r="1275" spans="1:40"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row>
    <row r="1276" spans="1:40"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row>
    <row r="1277" spans="1:40"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row>
    <row r="1278" spans="1:40"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row>
    <row r="1279" spans="1:40"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row>
    <row r="1280" spans="1:40"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row>
    <row r="1281" spans="1:40"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row>
    <row r="1282" spans="1:40"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row>
    <row r="1283" spans="1:40"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row>
    <row r="1284" spans="1:40"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row>
    <row r="1285" spans="1:40"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row>
    <row r="1286" spans="1:40"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row>
    <row r="1287" spans="1:40"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row>
    <row r="1288" spans="1:40"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row>
    <row r="1289" spans="1:40"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row>
    <row r="1290" spans="1:40"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row>
    <row r="1291" spans="1:40"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row>
    <row r="1292" spans="1:40"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row>
    <row r="1293" spans="1:40"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row>
    <row r="1294" spans="1:40"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row>
    <row r="1295" spans="1:40"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row>
    <row r="1296" spans="1:40"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row>
    <row r="1297" spans="1:40"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row>
    <row r="1298" spans="1:40"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row>
    <row r="1299" spans="1:40"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row>
    <row r="1300" spans="1:40"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row>
    <row r="1301" spans="1:40"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row>
    <row r="1302" spans="1:40"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row>
    <row r="1303" spans="1:40"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row>
    <row r="1304" spans="1:40"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row>
    <row r="1305" spans="1:40"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row>
    <row r="1306" spans="1:40"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row>
    <row r="1307" spans="1:40"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row>
    <row r="1308" spans="1:40"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row>
    <row r="1309" spans="1:40"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row>
    <row r="1310" spans="1:40"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row>
    <row r="1311" spans="1:40"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row>
    <row r="1312" spans="1:40"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row>
    <row r="1313" spans="2:40"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row>
    <row r="1314" spans="2:40"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row>
    <row r="1315" spans="2:40" x14ac:dyDescent="0.25">
      <c r="F1315" s="2"/>
      <c r="G1315" s="2"/>
      <c r="H1315" s="2"/>
      <c r="I1315" s="2"/>
      <c r="J1315" s="2"/>
      <c r="K1315" s="2"/>
      <c r="L1315" s="2"/>
      <c r="M1315" s="2"/>
      <c r="N1315" s="2"/>
      <c r="O1315" s="2"/>
      <c r="P1315" s="2"/>
      <c r="Q1315" s="2"/>
    </row>
    <row r="1316" spans="2:40"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C664:AM1314 D1315:AZ1048576 AF1:AY1 AE1:AE1314 AT3:BA5 X4:Y7 AT6:AY11 BA6:BA11 AZ6:AZ12 AS12:BA16 AS17:AY17 AS18:BA22 AO23:BA1314 A1:B1048576">
    <cfRule type="cellIs" dxfId="40" priority="19" operator="equal">
      <formula>"OTT"</formula>
    </cfRule>
    <cfRule type="cellIs" dxfId="39" priority="33" operator="equal">
      <formula>"COL"</formula>
    </cfRule>
    <cfRule type="cellIs" dxfId="38" priority="34" operator="equal">
      <formula>"CHI"</formula>
    </cfRule>
    <cfRule type="cellIs" dxfId="37" priority="35" operator="equal">
      <formula>"CAR"</formula>
    </cfRule>
    <cfRule type="cellIs" dxfId="36" priority="36" operator="equal">
      <formula>"BUF"</formula>
    </cfRule>
    <cfRule type="cellIs" dxfId="35" priority="6" operator="equal">
      <formula>"WSH"</formula>
    </cfRule>
    <cfRule type="cellIs" dxfId="34" priority="7" operator="equal">
      <formula>"UTA"</formula>
    </cfRule>
    <cfRule type="cellIs" dxfId="33" priority="8" operator="equal">
      <formula>"TBL"</formula>
    </cfRule>
    <cfRule type="cellIs" dxfId="32" priority="9" operator="equal">
      <formula>"TOR"</formula>
    </cfRule>
    <cfRule type="cellIs" dxfId="31" priority="10" operator="equal">
      <formula>"WPG"</formula>
    </cfRule>
    <cfRule type="cellIs" dxfId="30" priority="11" operator="equal">
      <formula>"VAN"</formula>
    </cfRule>
    <cfRule type="cellIs" dxfId="29" priority="12" operator="equal">
      <formula>"VGK"</formula>
    </cfRule>
    <cfRule type="cellIs" dxfId="28" priority="13" operator="equal">
      <formula>"SEA"</formula>
    </cfRule>
    <cfRule type="cellIs" dxfId="27" priority="14" operator="equal">
      <formula>"STL"</formula>
    </cfRule>
    <cfRule type="cellIs" dxfId="26" priority="15" operator="equal">
      <formula>"SJS"</formula>
    </cfRule>
    <cfRule type="cellIs" dxfId="25" priority="16" operator="equal">
      <formula>"PHI"</formula>
    </cfRule>
    <cfRule type="cellIs" dxfId="24" priority="17" operator="equal">
      <formula>"LAK"</formula>
    </cfRule>
    <cfRule type="cellIs" dxfId="23" priority="18" operator="equal">
      <formula>"PIT"</formula>
    </cfRule>
    <cfRule type="cellIs" dxfId="22" priority="37" operator="equal">
      <formula>"ANA"</formula>
    </cfRule>
    <cfRule type="cellIs" dxfId="21" priority="20" operator="equal">
      <formula>"NSH"</formula>
    </cfRule>
    <cfRule type="cellIs" dxfId="20" priority="21" operator="equal">
      <formula>"MIN"</formula>
    </cfRule>
    <cfRule type="cellIs" dxfId="19" priority="22" operator="equal">
      <formula>"MTL"</formula>
    </cfRule>
    <cfRule type="cellIs" dxfId="18" priority="23" operator="equal">
      <formula>"NYR"</formula>
    </cfRule>
    <cfRule type="cellIs" dxfId="17" priority="24" operator="equal">
      <formula>"NJD"</formula>
    </cfRule>
    <cfRule type="cellIs" dxfId="16" priority="25" operator="equal">
      <formula>"NYI"</formula>
    </cfRule>
    <cfRule type="cellIs" dxfId="15" priority="26" operator="equal">
      <formula>"BOS"</formula>
    </cfRule>
    <cfRule type="cellIs" dxfId="14" priority="27" operator="equal">
      <formula>"FLA"</formula>
    </cfRule>
    <cfRule type="cellIs" dxfId="13" priority="28" operator="equal">
      <formula>"EDM"</formula>
    </cfRule>
    <cfRule type="cellIs" dxfId="12" priority="29" operator="equal">
      <formula>"DAL"</formula>
    </cfRule>
    <cfRule type="cellIs" dxfId="11" priority="30" operator="equal">
      <formula>"DET"</formula>
    </cfRule>
    <cfRule type="cellIs" dxfId="10" priority="31" operator="equal">
      <formula>"CBJ"</formula>
    </cfRule>
    <cfRule type="cellIs" dxfId="9"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1" workbookViewId="0">
      <selection activeCell="BZ15" sqref="BZ15"/>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58</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60</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64</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58</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51</v>
      </c>
      <c r="L118" s="2">
        <f>SUMIFS(DataRegularSeason20242025!$AA$3:$AA$1315,DataRegularSeason20242025!$B$3:$B$1315, "&lt;=" &amp; $A118, DataRegularSeason20242025!$D$3:$D$1315, L$1)+SUMIFS(DataRegularSeason20242025!$AB$3:$AB$1315,DataRegularSeason20242025!$B$3:$B$1315, "&lt;=" &amp; $A118, DataRegularSeason20242025!$E$3:$E$1315, L$1)</f>
        <v>65</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60</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50</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52</v>
      </c>
      <c r="AE118" s="2">
        <f>SUMIFS(DataRegularSeason20242025!$AA$3:$AA$1315,DataRegularSeason20242025!$B$3:$B$1315, "&lt;=" &amp; $A118, DataRegularSeason20242025!$D$3:$D$1315, AE$1)+SUMIFS(DataRegularSeason20242025!$AB$3:$AB$1315,DataRegularSeason20242025!$B$3:$B$1315, "&lt;=" &amp; $A118, DataRegularSeason20242025!$E$3:$E$1315, AE$1)</f>
        <v>64</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58</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51</v>
      </c>
      <c r="L119" s="2">
        <f>SUMIFS(DataRegularSeason20242025!$AA$3:$AA$1315,DataRegularSeason20242025!$B$3:$B$1315, "&lt;=" &amp; $A119, DataRegularSeason20242025!$D$3:$D$1315, L$1)+SUMIFS(DataRegularSeason20242025!$AB$3:$AB$1315,DataRegularSeason20242025!$B$3:$B$1315, "&lt;=" &amp; $A119, DataRegularSeason20242025!$E$3:$E$1315, L$1)</f>
        <v>65</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60</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50</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52</v>
      </c>
      <c r="AE119" s="2">
        <f>SUMIFS(DataRegularSeason20242025!$AA$3:$AA$1315,DataRegularSeason20242025!$B$3:$B$1315, "&lt;=" &amp; $A119, DataRegularSeason20242025!$D$3:$D$1315, AE$1)+SUMIFS(DataRegularSeason20242025!$AB$3:$AB$1315,DataRegularSeason20242025!$B$3:$B$1315, "&lt;=" &amp; $A119, DataRegularSeason20242025!$E$3:$E$1315, AE$1)</f>
        <v>64</v>
      </c>
      <c r="AF119" s="2">
        <f>SUMIFS(DataRegularSeason20242025!$AA$3:$AA$1315,DataRegularSeason20242025!$B$3:$B$1315, "&lt;=" &amp; $A119, DataRegularSeason20242025!$D$3:$D$1315, AF$1)+SUMIFS(DataRegularSeason20242025!$AB$3:$AB$1315,DataRegularSeason20242025!$B$3:$B$1315, "&lt;=" &amp; $A119, DataRegularSeason20242025!$E$3:$E$1315, AF$1)</f>
        <v>71</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58</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51</v>
      </c>
      <c r="L120" s="2">
        <f>SUMIFS(DataRegularSeason20242025!$AA$3:$AA$1315,DataRegularSeason20242025!$B$3:$B$1315, "&lt;=" &amp; $A120, DataRegularSeason20242025!$D$3:$D$1315, L$1)+SUMIFS(DataRegularSeason20242025!$AB$3:$AB$1315,DataRegularSeason20242025!$B$3:$B$1315, "&lt;=" &amp; $A120, DataRegularSeason20242025!$E$3:$E$1315, L$1)</f>
        <v>65</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60</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50</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52</v>
      </c>
      <c r="AE120" s="2">
        <f>SUMIFS(DataRegularSeason20242025!$AA$3:$AA$1315,DataRegularSeason20242025!$B$3:$B$1315, "&lt;=" &amp; $A120, DataRegularSeason20242025!$D$3:$D$1315, AE$1)+SUMIFS(DataRegularSeason20242025!$AB$3:$AB$1315,DataRegularSeason20242025!$B$3:$B$1315, "&lt;=" &amp; $A120, DataRegularSeason20242025!$E$3:$E$1315, AE$1)</f>
        <v>64</v>
      </c>
      <c r="AF120" s="2">
        <f>SUMIFS(DataRegularSeason20242025!$AA$3:$AA$1315,DataRegularSeason20242025!$B$3:$B$1315, "&lt;=" &amp; $A120, DataRegularSeason20242025!$D$3:$D$1315, AF$1)+SUMIFS(DataRegularSeason20242025!$AB$3:$AB$1315,DataRegularSeason20242025!$B$3:$B$1315, "&lt;=" &amp; $A120, DataRegularSeason20242025!$E$3:$E$1315, AF$1)</f>
        <v>71</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58</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51</v>
      </c>
      <c r="L121" s="2">
        <f>SUMIFS(DataRegularSeason20242025!$AA$3:$AA$1315,DataRegularSeason20242025!$B$3:$B$1315, "&lt;=" &amp; $A121, DataRegularSeason20242025!$D$3:$D$1315, L$1)+SUMIFS(DataRegularSeason20242025!$AB$3:$AB$1315,DataRegularSeason20242025!$B$3:$B$1315, "&lt;=" &amp; $A121, DataRegularSeason20242025!$E$3:$E$1315, L$1)</f>
        <v>65</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60</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50</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52</v>
      </c>
      <c r="AE121" s="2">
        <f>SUMIFS(DataRegularSeason20242025!$AA$3:$AA$1315,DataRegularSeason20242025!$B$3:$B$1315, "&lt;=" &amp; $A121, DataRegularSeason20242025!$D$3:$D$1315, AE$1)+SUMIFS(DataRegularSeason20242025!$AB$3:$AB$1315,DataRegularSeason20242025!$B$3:$B$1315, "&lt;=" &amp; $A121, DataRegularSeason20242025!$E$3:$E$1315, AE$1)</f>
        <v>64</v>
      </c>
      <c r="AF121" s="2">
        <f>SUMIFS(DataRegularSeason20242025!$AA$3:$AA$1315,DataRegularSeason20242025!$B$3:$B$1315, "&lt;=" &amp; $A121, DataRegularSeason20242025!$D$3:$D$1315, AF$1)+SUMIFS(DataRegularSeason20242025!$AB$3:$AB$1315,DataRegularSeason20242025!$B$3:$B$1315, "&lt;=" &amp; $A121, DataRegularSeason20242025!$E$3:$E$1315, AF$1)</f>
        <v>71</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58</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51</v>
      </c>
      <c r="L122" s="2">
        <f>SUMIFS(DataRegularSeason20242025!$AA$3:$AA$1315,DataRegularSeason20242025!$B$3:$B$1315, "&lt;=" &amp; $A122, DataRegularSeason20242025!$D$3:$D$1315, L$1)+SUMIFS(DataRegularSeason20242025!$AB$3:$AB$1315,DataRegularSeason20242025!$B$3:$B$1315, "&lt;=" &amp; $A122, DataRegularSeason20242025!$E$3:$E$1315, L$1)</f>
        <v>65</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60</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50</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52</v>
      </c>
      <c r="AE122" s="2">
        <f>SUMIFS(DataRegularSeason20242025!$AA$3:$AA$1315,DataRegularSeason20242025!$B$3:$B$1315, "&lt;=" &amp; $A122, DataRegularSeason20242025!$D$3:$D$1315, AE$1)+SUMIFS(DataRegularSeason20242025!$AB$3:$AB$1315,DataRegularSeason20242025!$B$3:$B$1315, "&lt;=" &amp; $A122, DataRegularSeason20242025!$E$3:$E$1315, AE$1)</f>
        <v>64</v>
      </c>
      <c r="AF122" s="2">
        <f>SUMIFS(DataRegularSeason20242025!$AA$3:$AA$1315,DataRegularSeason20242025!$B$3:$B$1315, "&lt;=" &amp; $A122, DataRegularSeason20242025!$D$3:$D$1315, AF$1)+SUMIFS(DataRegularSeason20242025!$AB$3:$AB$1315,DataRegularSeason20242025!$B$3:$B$1315, "&lt;=" &amp; $A122, DataRegularSeason20242025!$E$3:$E$1315, AF$1)</f>
        <v>71</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58</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51</v>
      </c>
      <c r="L123" s="2">
        <f>SUMIFS(DataRegularSeason20242025!$AA$3:$AA$1315,DataRegularSeason20242025!$B$3:$B$1315, "&lt;=" &amp; $A123, DataRegularSeason20242025!$D$3:$D$1315, L$1)+SUMIFS(DataRegularSeason20242025!$AB$3:$AB$1315,DataRegularSeason20242025!$B$3:$B$1315, "&lt;=" &amp; $A123, DataRegularSeason20242025!$E$3:$E$1315, L$1)</f>
        <v>65</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60</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50</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52</v>
      </c>
      <c r="AE123" s="2">
        <f>SUMIFS(DataRegularSeason20242025!$AA$3:$AA$1315,DataRegularSeason20242025!$B$3:$B$1315, "&lt;=" &amp; $A123, DataRegularSeason20242025!$D$3:$D$1315, AE$1)+SUMIFS(DataRegularSeason20242025!$AB$3:$AB$1315,DataRegularSeason20242025!$B$3:$B$1315, "&lt;=" &amp; $A123, DataRegularSeason20242025!$E$3:$E$1315, AE$1)</f>
        <v>64</v>
      </c>
      <c r="AF123" s="2">
        <f>SUMIFS(DataRegularSeason20242025!$AA$3:$AA$1315,DataRegularSeason20242025!$B$3:$B$1315, "&lt;=" &amp; $A123, DataRegularSeason20242025!$D$3:$D$1315, AF$1)+SUMIFS(DataRegularSeason20242025!$AB$3:$AB$1315,DataRegularSeason20242025!$B$3:$B$1315, "&lt;=" &amp; $A123, DataRegularSeason20242025!$E$3:$E$1315, AF$1)</f>
        <v>71</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58</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51</v>
      </c>
      <c r="L124" s="2">
        <f>SUMIFS(DataRegularSeason20242025!$AA$3:$AA$1315,DataRegularSeason20242025!$B$3:$B$1315, "&lt;=" &amp; $A124, DataRegularSeason20242025!$D$3:$D$1315, L$1)+SUMIFS(DataRegularSeason20242025!$AB$3:$AB$1315,DataRegularSeason20242025!$B$3:$B$1315, "&lt;=" &amp; $A124, DataRegularSeason20242025!$E$3:$E$1315, L$1)</f>
        <v>65</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60</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50</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52</v>
      </c>
      <c r="AE124" s="2">
        <f>SUMIFS(DataRegularSeason20242025!$AA$3:$AA$1315,DataRegularSeason20242025!$B$3:$B$1315, "&lt;=" &amp; $A124, DataRegularSeason20242025!$D$3:$D$1315, AE$1)+SUMIFS(DataRegularSeason20242025!$AB$3:$AB$1315,DataRegularSeason20242025!$B$3:$B$1315, "&lt;=" &amp; $A124, DataRegularSeason20242025!$E$3:$E$1315, AE$1)</f>
        <v>64</v>
      </c>
      <c r="AF124" s="2">
        <f>SUMIFS(DataRegularSeason20242025!$AA$3:$AA$1315,DataRegularSeason20242025!$B$3:$B$1315, "&lt;=" &amp; $A124, DataRegularSeason20242025!$D$3:$D$1315, AF$1)+SUMIFS(DataRegularSeason20242025!$AB$3:$AB$1315,DataRegularSeason20242025!$B$3:$B$1315, "&lt;=" &amp; $A124, DataRegularSeason20242025!$E$3:$E$1315, AF$1)</f>
        <v>71</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58</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51</v>
      </c>
      <c r="L125" s="2">
        <f>SUMIFS(DataRegularSeason20242025!$AA$3:$AA$1315,DataRegularSeason20242025!$B$3:$B$1315, "&lt;=" &amp; $A125, DataRegularSeason20242025!$D$3:$D$1315, L$1)+SUMIFS(DataRegularSeason20242025!$AB$3:$AB$1315,DataRegularSeason20242025!$B$3:$B$1315, "&lt;=" &amp; $A125, DataRegularSeason20242025!$E$3:$E$1315, L$1)</f>
        <v>65</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60</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50</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52</v>
      </c>
      <c r="AE125" s="2">
        <f>SUMIFS(DataRegularSeason20242025!$AA$3:$AA$1315,DataRegularSeason20242025!$B$3:$B$1315, "&lt;=" &amp; $A125, DataRegularSeason20242025!$D$3:$D$1315, AE$1)+SUMIFS(DataRegularSeason20242025!$AB$3:$AB$1315,DataRegularSeason20242025!$B$3:$B$1315, "&lt;=" &amp; $A125, DataRegularSeason20242025!$E$3:$E$1315, AE$1)</f>
        <v>64</v>
      </c>
      <c r="AF125" s="2">
        <f>SUMIFS(DataRegularSeason20242025!$AA$3:$AA$1315,DataRegularSeason20242025!$B$3:$B$1315, "&lt;=" &amp; $A125, DataRegularSeason20242025!$D$3:$D$1315, AF$1)+SUMIFS(DataRegularSeason20242025!$AB$3:$AB$1315,DataRegularSeason20242025!$B$3:$B$1315, "&lt;=" &amp; $A125, DataRegularSeason20242025!$E$3:$E$1315, AF$1)</f>
        <v>71</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58</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51</v>
      </c>
      <c r="L126" s="2">
        <f>SUMIFS(DataRegularSeason20242025!$AA$3:$AA$1315,DataRegularSeason20242025!$B$3:$B$1315, "&lt;=" &amp; $A126, DataRegularSeason20242025!$D$3:$D$1315, L$1)+SUMIFS(DataRegularSeason20242025!$AB$3:$AB$1315,DataRegularSeason20242025!$B$3:$B$1315, "&lt;=" &amp; $A126, DataRegularSeason20242025!$E$3:$E$1315, L$1)</f>
        <v>65</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60</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50</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52</v>
      </c>
      <c r="AE126" s="2">
        <f>SUMIFS(DataRegularSeason20242025!$AA$3:$AA$1315,DataRegularSeason20242025!$B$3:$B$1315, "&lt;=" &amp; $A126, DataRegularSeason20242025!$D$3:$D$1315, AE$1)+SUMIFS(DataRegularSeason20242025!$AB$3:$AB$1315,DataRegularSeason20242025!$B$3:$B$1315, "&lt;=" &amp; $A126, DataRegularSeason20242025!$E$3:$E$1315, AE$1)</f>
        <v>64</v>
      </c>
      <c r="AF126" s="2">
        <f>SUMIFS(DataRegularSeason20242025!$AA$3:$AA$1315,DataRegularSeason20242025!$B$3:$B$1315, "&lt;=" &amp; $A126, DataRegularSeason20242025!$D$3:$D$1315, AF$1)+SUMIFS(DataRegularSeason20242025!$AB$3:$AB$1315,DataRegularSeason20242025!$B$3:$B$1315, "&lt;=" &amp; $A126, DataRegularSeason20242025!$E$3:$E$1315, AF$1)</f>
        <v>71</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58</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51</v>
      </c>
      <c r="L127" s="2">
        <f>SUMIFS(DataRegularSeason20242025!$AA$3:$AA$1315,DataRegularSeason20242025!$B$3:$B$1315, "&lt;=" &amp; $A127, DataRegularSeason20242025!$D$3:$D$1315, L$1)+SUMIFS(DataRegularSeason20242025!$AB$3:$AB$1315,DataRegularSeason20242025!$B$3:$B$1315, "&lt;=" &amp; $A127, DataRegularSeason20242025!$E$3:$E$1315, L$1)</f>
        <v>65</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60</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50</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52</v>
      </c>
      <c r="AE127" s="2">
        <f>SUMIFS(DataRegularSeason20242025!$AA$3:$AA$1315,DataRegularSeason20242025!$B$3:$B$1315, "&lt;=" &amp; $A127, DataRegularSeason20242025!$D$3:$D$1315, AE$1)+SUMIFS(DataRegularSeason20242025!$AB$3:$AB$1315,DataRegularSeason20242025!$B$3:$B$1315, "&lt;=" &amp; $A127, DataRegularSeason20242025!$E$3:$E$1315, AE$1)</f>
        <v>64</v>
      </c>
      <c r="AF127" s="2">
        <f>SUMIFS(DataRegularSeason20242025!$AA$3:$AA$1315,DataRegularSeason20242025!$B$3:$B$1315, "&lt;=" &amp; $A127, DataRegularSeason20242025!$D$3:$D$1315, AF$1)+SUMIFS(DataRegularSeason20242025!$AB$3:$AB$1315,DataRegularSeason20242025!$B$3:$B$1315, "&lt;=" &amp; $A127, DataRegularSeason20242025!$E$3:$E$1315, AF$1)</f>
        <v>71</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58</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51</v>
      </c>
      <c r="L128" s="2">
        <f>SUMIFS(DataRegularSeason20242025!$AA$3:$AA$1315,DataRegularSeason20242025!$B$3:$B$1315, "&lt;=" &amp; $A128, DataRegularSeason20242025!$D$3:$D$1315, L$1)+SUMIFS(DataRegularSeason20242025!$AB$3:$AB$1315,DataRegularSeason20242025!$B$3:$B$1315, "&lt;=" &amp; $A128, DataRegularSeason20242025!$E$3:$E$1315, L$1)</f>
        <v>65</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60</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50</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52</v>
      </c>
      <c r="AE128" s="2">
        <f>SUMIFS(DataRegularSeason20242025!$AA$3:$AA$1315,DataRegularSeason20242025!$B$3:$B$1315, "&lt;=" &amp; $A128, DataRegularSeason20242025!$D$3:$D$1315, AE$1)+SUMIFS(DataRegularSeason20242025!$AB$3:$AB$1315,DataRegularSeason20242025!$B$3:$B$1315, "&lt;=" &amp; $A128, DataRegularSeason20242025!$E$3:$E$1315, AE$1)</f>
        <v>64</v>
      </c>
      <c r="AF128" s="2">
        <f>SUMIFS(DataRegularSeason20242025!$AA$3:$AA$1315,DataRegularSeason20242025!$B$3:$B$1315, "&lt;=" &amp; $A128, DataRegularSeason20242025!$D$3:$D$1315, AF$1)+SUMIFS(DataRegularSeason20242025!$AB$3:$AB$1315,DataRegularSeason20242025!$B$3:$B$1315, "&lt;=" &amp; $A128, DataRegularSeason20242025!$E$3:$E$1315, AF$1)</f>
        <v>71</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58</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51</v>
      </c>
      <c r="L129" s="2">
        <f>SUMIFS(DataRegularSeason20242025!$AA$3:$AA$1315,DataRegularSeason20242025!$B$3:$B$1315, "&lt;=" &amp; $A129, DataRegularSeason20242025!$D$3:$D$1315, L$1)+SUMIFS(DataRegularSeason20242025!$AB$3:$AB$1315,DataRegularSeason20242025!$B$3:$B$1315, "&lt;=" &amp; $A129, DataRegularSeason20242025!$E$3:$E$1315, L$1)</f>
        <v>65</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60</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50</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52</v>
      </c>
      <c r="AE129" s="2">
        <f>SUMIFS(DataRegularSeason20242025!$AA$3:$AA$1315,DataRegularSeason20242025!$B$3:$B$1315, "&lt;=" &amp; $A129, DataRegularSeason20242025!$D$3:$D$1315, AE$1)+SUMIFS(DataRegularSeason20242025!$AB$3:$AB$1315,DataRegularSeason20242025!$B$3:$B$1315, "&lt;=" &amp; $A129, DataRegularSeason20242025!$E$3:$E$1315, AE$1)</f>
        <v>64</v>
      </c>
      <c r="AF129" s="2">
        <f>SUMIFS(DataRegularSeason20242025!$AA$3:$AA$1315,DataRegularSeason20242025!$B$3:$B$1315, "&lt;=" &amp; $A129, DataRegularSeason20242025!$D$3:$D$1315, AF$1)+SUMIFS(DataRegularSeason20242025!$AB$3:$AB$1315,DataRegularSeason20242025!$B$3:$B$1315, "&lt;=" &amp; $A129, DataRegularSeason20242025!$E$3:$E$1315, AF$1)</f>
        <v>71</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58</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51</v>
      </c>
      <c r="L130" s="2">
        <f>SUMIFS(DataRegularSeason20242025!$AA$3:$AA$1315,DataRegularSeason20242025!$B$3:$B$1315, "&lt;=" &amp; $A130, DataRegularSeason20242025!$D$3:$D$1315, L$1)+SUMIFS(DataRegularSeason20242025!$AB$3:$AB$1315,DataRegularSeason20242025!$B$3:$B$1315, "&lt;=" &amp; $A130, DataRegularSeason20242025!$E$3:$E$1315, L$1)</f>
        <v>65</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60</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50</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52</v>
      </c>
      <c r="AE130" s="2">
        <f>SUMIFS(DataRegularSeason20242025!$AA$3:$AA$1315,DataRegularSeason20242025!$B$3:$B$1315, "&lt;=" &amp; $A130, DataRegularSeason20242025!$D$3:$D$1315, AE$1)+SUMIFS(DataRegularSeason20242025!$AB$3:$AB$1315,DataRegularSeason20242025!$B$3:$B$1315, "&lt;=" &amp; $A130, DataRegularSeason20242025!$E$3:$E$1315, AE$1)</f>
        <v>64</v>
      </c>
      <c r="AF130" s="2">
        <f>SUMIFS(DataRegularSeason20242025!$AA$3:$AA$1315,DataRegularSeason20242025!$B$3:$B$1315, "&lt;=" &amp; $A130, DataRegularSeason20242025!$D$3:$D$1315, AF$1)+SUMIFS(DataRegularSeason20242025!$AB$3:$AB$1315,DataRegularSeason20242025!$B$3:$B$1315, "&lt;=" &amp; $A130, DataRegularSeason20242025!$E$3:$E$1315, AF$1)</f>
        <v>71</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58</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51</v>
      </c>
      <c r="L131" s="2">
        <f>SUMIFS(DataRegularSeason20242025!$AA$3:$AA$1315,DataRegularSeason20242025!$B$3:$B$1315, "&lt;=" &amp; $A131, DataRegularSeason20242025!$D$3:$D$1315, L$1)+SUMIFS(DataRegularSeason20242025!$AB$3:$AB$1315,DataRegularSeason20242025!$B$3:$B$1315, "&lt;=" &amp; $A131, DataRegularSeason20242025!$E$3:$E$1315, L$1)</f>
        <v>65</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60</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50</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52</v>
      </c>
      <c r="AE131" s="2">
        <f>SUMIFS(DataRegularSeason20242025!$AA$3:$AA$1315,DataRegularSeason20242025!$B$3:$B$1315, "&lt;=" &amp; $A131, DataRegularSeason20242025!$D$3:$D$1315, AE$1)+SUMIFS(DataRegularSeason20242025!$AB$3:$AB$1315,DataRegularSeason20242025!$B$3:$B$1315, "&lt;=" &amp; $A131, DataRegularSeason20242025!$E$3:$E$1315, AE$1)</f>
        <v>64</v>
      </c>
      <c r="AF131" s="2">
        <f>SUMIFS(DataRegularSeason20242025!$AA$3:$AA$1315,DataRegularSeason20242025!$B$3:$B$1315, "&lt;=" &amp; $A131, DataRegularSeason20242025!$D$3:$D$1315, AF$1)+SUMIFS(DataRegularSeason20242025!$AB$3:$AB$1315,DataRegularSeason20242025!$B$3:$B$1315, "&lt;=" &amp; $A131, DataRegularSeason20242025!$E$3:$E$1315, AF$1)</f>
        <v>71</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58</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51</v>
      </c>
      <c r="L132" s="2">
        <f>SUMIFS(DataRegularSeason20242025!$AA$3:$AA$1315,DataRegularSeason20242025!$B$3:$B$1315, "&lt;=" &amp; $A132, DataRegularSeason20242025!$D$3:$D$1315, L$1)+SUMIFS(DataRegularSeason20242025!$AB$3:$AB$1315,DataRegularSeason20242025!$B$3:$B$1315, "&lt;=" &amp; $A132, DataRegularSeason20242025!$E$3:$E$1315, L$1)</f>
        <v>65</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60</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50</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52</v>
      </c>
      <c r="AE132" s="2">
        <f>SUMIFS(DataRegularSeason20242025!$AA$3:$AA$1315,DataRegularSeason20242025!$B$3:$B$1315, "&lt;=" &amp; $A132, DataRegularSeason20242025!$D$3:$D$1315, AE$1)+SUMIFS(DataRegularSeason20242025!$AB$3:$AB$1315,DataRegularSeason20242025!$B$3:$B$1315, "&lt;=" &amp; $A132, DataRegularSeason20242025!$E$3:$E$1315, AE$1)</f>
        <v>64</v>
      </c>
      <c r="AF132" s="2">
        <f>SUMIFS(DataRegularSeason20242025!$AA$3:$AA$1315,DataRegularSeason20242025!$B$3:$B$1315, "&lt;=" &amp; $A132, DataRegularSeason20242025!$D$3:$D$1315, AF$1)+SUMIFS(DataRegularSeason20242025!$AB$3:$AB$1315,DataRegularSeason20242025!$B$3:$B$1315, "&lt;=" &amp; $A132, DataRegularSeason20242025!$E$3:$E$1315, AF$1)</f>
        <v>71</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58</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51</v>
      </c>
      <c r="L133" s="2">
        <f>SUMIFS(DataRegularSeason20242025!$AA$3:$AA$1315,DataRegularSeason20242025!$B$3:$B$1315, "&lt;=" &amp; $A133, DataRegularSeason20242025!$D$3:$D$1315, L$1)+SUMIFS(DataRegularSeason20242025!$AB$3:$AB$1315,DataRegularSeason20242025!$B$3:$B$1315, "&lt;=" &amp; $A133, DataRegularSeason20242025!$E$3:$E$1315, L$1)</f>
        <v>65</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60</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50</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52</v>
      </c>
      <c r="AE133" s="2">
        <f>SUMIFS(DataRegularSeason20242025!$AA$3:$AA$1315,DataRegularSeason20242025!$B$3:$B$1315, "&lt;=" &amp; $A133, DataRegularSeason20242025!$D$3:$D$1315, AE$1)+SUMIFS(DataRegularSeason20242025!$AB$3:$AB$1315,DataRegularSeason20242025!$B$3:$B$1315, "&lt;=" &amp; $A133, DataRegularSeason20242025!$E$3:$E$1315, AE$1)</f>
        <v>64</v>
      </c>
      <c r="AF133" s="2">
        <f>SUMIFS(DataRegularSeason20242025!$AA$3:$AA$1315,DataRegularSeason20242025!$B$3:$B$1315, "&lt;=" &amp; $A133, DataRegularSeason20242025!$D$3:$D$1315, AF$1)+SUMIFS(DataRegularSeason20242025!$AB$3:$AB$1315,DataRegularSeason20242025!$B$3:$B$1315, "&lt;=" &amp; $A133, DataRegularSeason20242025!$E$3:$E$1315, AF$1)</f>
        <v>71</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58</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51</v>
      </c>
      <c r="L134" s="2">
        <f>SUMIFS(DataRegularSeason20242025!$AA$3:$AA$1315,DataRegularSeason20242025!$B$3:$B$1315, "&lt;=" &amp; $A134, DataRegularSeason20242025!$D$3:$D$1315, L$1)+SUMIFS(DataRegularSeason20242025!$AB$3:$AB$1315,DataRegularSeason20242025!$B$3:$B$1315, "&lt;=" &amp; $A134, DataRegularSeason20242025!$E$3:$E$1315, L$1)</f>
        <v>65</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60</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50</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52</v>
      </c>
      <c r="AE134" s="2">
        <f>SUMIFS(DataRegularSeason20242025!$AA$3:$AA$1315,DataRegularSeason20242025!$B$3:$B$1315, "&lt;=" &amp; $A134, DataRegularSeason20242025!$D$3:$D$1315, AE$1)+SUMIFS(DataRegularSeason20242025!$AB$3:$AB$1315,DataRegularSeason20242025!$B$3:$B$1315, "&lt;=" &amp; $A134, DataRegularSeason20242025!$E$3:$E$1315, AE$1)</f>
        <v>64</v>
      </c>
      <c r="AF134" s="2">
        <f>SUMIFS(DataRegularSeason20242025!$AA$3:$AA$1315,DataRegularSeason20242025!$B$3:$B$1315, "&lt;=" &amp; $A134, DataRegularSeason20242025!$D$3:$D$1315, AF$1)+SUMIFS(DataRegularSeason20242025!$AB$3:$AB$1315,DataRegularSeason20242025!$B$3:$B$1315, "&lt;=" &amp; $A134, DataRegularSeason20242025!$E$3:$E$1315, AF$1)</f>
        <v>71</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58</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51</v>
      </c>
      <c r="L135" s="2">
        <f>SUMIFS(DataRegularSeason20242025!$AA$3:$AA$1315,DataRegularSeason20242025!$B$3:$B$1315, "&lt;=" &amp; $A135, DataRegularSeason20242025!$D$3:$D$1315, L$1)+SUMIFS(DataRegularSeason20242025!$AB$3:$AB$1315,DataRegularSeason20242025!$B$3:$B$1315, "&lt;=" &amp; $A135, DataRegularSeason20242025!$E$3:$E$1315, L$1)</f>
        <v>65</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60</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50</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52</v>
      </c>
      <c r="AE135" s="2">
        <f>SUMIFS(DataRegularSeason20242025!$AA$3:$AA$1315,DataRegularSeason20242025!$B$3:$B$1315, "&lt;=" &amp; $A135, DataRegularSeason20242025!$D$3:$D$1315, AE$1)+SUMIFS(DataRegularSeason20242025!$AB$3:$AB$1315,DataRegularSeason20242025!$B$3:$B$1315, "&lt;=" &amp; $A135, DataRegularSeason20242025!$E$3:$E$1315, AE$1)</f>
        <v>64</v>
      </c>
      <c r="AF135" s="2">
        <f>SUMIFS(DataRegularSeason20242025!$AA$3:$AA$1315,DataRegularSeason20242025!$B$3:$B$1315, "&lt;=" &amp; $A135, DataRegularSeason20242025!$D$3:$D$1315, AF$1)+SUMIFS(DataRegularSeason20242025!$AB$3:$AB$1315,DataRegularSeason20242025!$B$3:$B$1315, "&lt;=" &amp; $A135, DataRegularSeason20242025!$E$3:$E$1315, AF$1)</f>
        <v>71</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58</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51</v>
      </c>
      <c r="L136" s="2">
        <f>SUMIFS(DataRegularSeason20242025!$AA$3:$AA$1315,DataRegularSeason20242025!$B$3:$B$1315, "&lt;=" &amp; $A136, DataRegularSeason20242025!$D$3:$D$1315, L$1)+SUMIFS(DataRegularSeason20242025!$AB$3:$AB$1315,DataRegularSeason20242025!$B$3:$B$1315, "&lt;=" &amp; $A136, DataRegularSeason20242025!$E$3:$E$1315, L$1)</f>
        <v>65</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60</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50</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52</v>
      </c>
      <c r="AE136" s="2">
        <f>SUMIFS(DataRegularSeason20242025!$AA$3:$AA$1315,DataRegularSeason20242025!$B$3:$B$1315, "&lt;=" &amp; $A136, DataRegularSeason20242025!$D$3:$D$1315, AE$1)+SUMIFS(DataRegularSeason20242025!$AB$3:$AB$1315,DataRegularSeason20242025!$B$3:$B$1315, "&lt;=" &amp; $A136, DataRegularSeason20242025!$E$3:$E$1315, AE$1)</f>
        <v>64</v>
      </c>
      <c r="AF136" s="2">
        <f>SUMIFS(DataRegularSeason20242025!$AA$3:$AA$1315,DataRegularSeason20242025!$B$3:$B$1315, "&lt;=" &amp; $A136, DataRegularSeason20242025!$D$3:$D$1315, AF$1)+SUMIFS(DataRegularSeason20242025!$AB$3:$AB$1315,DataRegularSeason20242025!$B$3:$B$1315, "&lt;=" &amp; $A136, DataRegularSeason20242025!$E$3:$E$1315, AF$1)</f>
        <v>71</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58</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51</v>
      </c>
      <c r="L137" s="2">
        <f>SUMIFS(DataRegularSeason20242025!$AA$3:$AA$1315,DataRegularSeason20242025!$B$3:$B$1315, "&lt;=" &amp; $A137, DataRegularSeason20242025!$D$3:$D$1315, L$1)+SUMIFS(DataRegularSeason20242025!$AB$3:$AB$1315,DataRegularSeason20242025!$B$3:$B$1315, "&lt;=" &amp; $A137, DataRegularSeason20242025!$E$3:$E$1315, L$1)</f>
        <v>65</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60</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50</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52</v>
      </c>
      <c r="AE137" s="2">
        <f>SUMIFS(DataRegularSeason20242025!$AA$3:$AA$1315,DataRegularSeason20242025!$B$3:$B$1315, "&lt;=" &amp; $A137, DataRegularSeason20242025!$D$3:$D$1315, AE$1)+SUMIFS(DataRegularSeason20242025!$AB$3:$AB$1315,DataRegularSeason20242025!$B$3:$B$1315, "&lt;=" &amp; $A137, DataRegularSeason20242025!$E$3:$E$1315, AE$1)</f>
        <v>64</v>
      </c>
      <c r="AF137" s="2">
        <f>SUMIFS(DataRegularSeason20242025!$AA$3:$AA$1315,DataRegularSeason20242025!$B$3:$B$1315, "&lt;=" &amp; $A137, DataRegularSeason20242025!$D$3:$D$1315, AF$1)+SUMIFS(DataRegularSeason20242025!$AB$3:$AB$1315,DataRegularSeason20242025!$B$3:$B$1315, "&lt;=" &amp; $A137, DataRegularSeason20242025!$E$3:$E$1315, AF$1)</f>
        <v>71</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58</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51</v>
      </c>
      <c r="L138" s="2">
        <f>SUMIFS(DataRegularSeason20242025!$AA$3:$AA$1315,DataRegularSeason20242025!$B$3:$B$1315, "&lt;=" &amp; $A138, DataRegularSeason20242025!$D$3:$D$1315, L$1)+SUMIFS(DataRegularSeason20242025!$AB$3:$AB$1315,DataRegularSeason20242025!$B$3:$B$1315, "&lt;=" &amp; $A138, DataRegularSeason20242025!$E$3:$E$1315, L$1)</f>
        <v>65</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60</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50</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52</v>
      </c>
      <c r="AE138" s="2">
        <f>SUMIFS(DataRegularSeason20242025!$AA$3:$AA$1315,DataRegularSeason20242025!$B$3:$B$1315, "&lt;=" &amp; $A138, DataRegularSeason20242025!$D$3:$D$1315, AE$1)+SUMIFS(DataRegularSeason20242025!$AB$3:$AB$1315,DataRegularSeason20242025!$B$3:$B$1315, "&lt;=" &amp; $A138, DataRegularSeason20242025!$E$3:$E$1315, AE$1)</f>
        <v>64</v>
      </c>
      <c r="AF138" s="2">
        <f>SUMIFS(DataRegularSeason20242025!$AA$3:$AA$1315,DataRegularSeason20242025!$B$3:$B$1315, "&lt;=" &amp; $A138, DataRegularSeason20242025!$D$3:$D$1315, AF$1)+SUMIFS(DataRegularSeason20242025!$AB$3:$AB$1315,DataRegularSeason20242025!$B$3:$B$1315, "&lt;=" &amp; $A138, DataRegularSeason20242025!$E$3:$E$1315, AF$1)</f>
        <v>71</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58</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51</v>
      </c>
      <c r="L139" s="2">
        <f>SUMIFS(DataRegularSeason20242025!$AA$3:$AA$1315,DataRegularSeason20242025!$B$3:$B$1315, "&lt;=" &amp; $A139, DataRegularSeason20242025!$D$3:$D$1315, L$1)+SUMIFS(DataRegularSeason20242025!$AB$3:$AB$1315,DataRegularSeason20242025!$B$3:$B$1315, "&lt;=" &amp; $A139, DataRegularSeason20242025!$E$3:$E$1315, L$1)</f>
        <v>65</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60</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50</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52</v>
      </c>
      <c r="AE139" s="2">
        <f>SUMIFS(DataRegularSeason20242025!$AA$3:$AA$1315,DataRegularSeason20242025!$B$3:$B$1315, "&lt;=" &amp; $A139, DataRegularSeason20242025!$D$3:$D$1315, AE$1)+SUMIFS(DataRegularSeason20242025!$AB$3:$AB$1315,DataRegularSeason20242025!$B$3:$B$1315, "&lt;=" &amp; $A139, DataRegularSeason20242025!$E$3:$E$1315, AE$1)</f>
        <v>64</v>
      </c>
      <c r="AF139" s="2">
        <f>SUMIFS(DataRegularSeason20242025!$AA$3:$AA$1315,DataRegularSeason20242025!$B$3:$B$1315, "&lt;=" &amp; $A139, DataRegularSeason20242025!$D$3:$D$1315, AF$1)+SUMIFS(DataRegularSeason20242025!$AB$3:$AB$1315,DataRegularSeason20242025!$B$3:$B$1315, "&lt;=" &amp; $A139, DataRegularSeason20242025!$E$3:$E$1315, AF$1)</f>
        <v>71</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58</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51</v>
      </c>
      <c r="L140" s="2">
        <f>SUMIFS(DataRegularSeason20242025!$AA$3:$AA$1315,DataRegularSeason20242025!$B$3:$B$1315, "&lt;=" &amp; $A140, DataRegularSeason20242025!$D$3:$D$1315, L$1)+SUMIFS(DataRegularSeason20242025!$AB$3:$AB$1315,DataRegularSeason20242025!$B$3:$B$1315, "&lt;=" &amp; $A140, DataRegularSeason20242025!$E$3:$E$1315, L$1)</f>
        <v>65</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60</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50</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52</v>
      </c>
      <c r="AE140" s="2">
        <f>SUMIFS(DataRegularSeason20242025!$AA$3:$AA$1315,DataRegularSeason20242025!$B$3:$B$1315, "&lt;=" &amp; $A140, DataRegularSeason20242025!$D$3:$D$1315, AE$1)+SUMIFS(DataRegularSeason20242025!$AB$3:$AB$1315,DataRegularSeason20242025!$B$3:$B$1315, "&lt;=" &amp; $A140, DataRegularSeason20242025!$E$3:$E$1315, AE$1)</f>
        <v>64</v>
      </c>
      <c r="AF140" s="2">
        <f>SUMIFS(DataRegularSeason20242025!$AA$3:$AA$1315,DataRegularSeason20242025!$B$3:$B$1315, "&lt;=" &amp; $A140, DataRegularSeason20242025!$D$3:$D$1315, AF$1)+SUMIFS(DataRegularSeason20242025!$AB$3:$AB$1315,DataRegularSeason20242025!$B$3:$B$1315, "&lt;=" &amp; $A140, DataRegularSeason20242025!$E$3:$E$1315, AF$1)</f>
        <v>71</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58</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51</v>
      </c>
      <c r="L141" s="2">
        <f>SUMIFS(DataRegularSeason20242025!$AA$3:$AA$1315,DataRegularSeason20242025!$B$3:$B$1315, "&lt;=" &amp; $A141, DataRegularSeason20242025!$D$3:$D$1315, L$1)+SUMIFS(DataRegularSeason20242025!$AB$3:$AB$1315,DataRegularSeason20242025!$B$3:$B$1315, "&lt;=" &amp; $A141, DataRegularSeason20242025!$E$3:$E$1315, L$1)</f>
        <v>65</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60</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50</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52</v>
      </c>
      <c r="AE141" s="2">
        <f>SUMIFS(DataRegularSeason20242025!$AA$3:$AA$1315,DataRegularSeason20242025!$B$3:$B$1315, "&lt;=" &amp; $A141, DataRegularSeason20242025!$D$3:$D$1315, AE$1)+SUMIFS(DataRegularSeason20242025!$AB$3:$AB$1315,DataRegularSeason20242025!$B$3:$B$1315, "&lt;=" &amp; $A141, DataRegularSeason20242025!$E$3:$E$1315, AE$1)</f>
        <v>64</v>
      </c>
      <c r="AF141" s="2">
        <f>SUMIFS(DataRegularSeason20242025!$AA$3:$AA$1315,DataRegularSeason20242025!$B$3:$B$1315, "&lt;=" &amp; $A141, DataRegularSeason20242025!$D$3:$D$1315, AF$1)+SUMIFS(DataRegularSeason20242025!$AB$3:$AB$1315,DataRegularSeason20242025!$B$3:$B$1315, "&lt;=" &amp; $A141, DataRegularSeason20242025!$E$3:$E$1315, AF$1)</f>
        <v>71</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58</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51</v>
      </c>
      <c r="L142" s="2">
        <f>SUMIFS(DataRegularSeason20242025!$AA$3:$AA$1315,DataRegularSeason20242025!$B$3:$B$1315, "&lt;=" &amp; $A142, DataRegularSeason20242025!$D$3:$D$1315, L$1)+SUMIFS(DataRegularSeason20242025!$AB$3:$AB$1315,DataRegularSeason20242025!$B$3:$B$1315, "&lt;=" &amp; $A142, DataRegularSeason20242025!$E$3:$E$1315, L$1)</f>
        <v>65</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60</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50</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52</v>
      </c>
      <c r="AE142" s="2">
        <f>SUMIFS(DataRegularSeason20242025!$AA$3:$AA$1315,DataRegularSeason20242025!$B$3:$B$1315, "&lt;=" &amp; $A142, DataRegularSeason20242025!$D$3:$D$1315, AE$1)+SUMIFS(DataRegularSeason20242025!$AB$3:$AB$1315,DataRegularSeason20242025!$B$3:$B$1315, "&lt;=" &amp; $A142, DataRegularSeason20242025!$E$3:$E$1315, AE$1)</f>
        <v>64</v>
      </c>
      <c r="AF142" s="2">
        <f>SUMIFS(DataRegularSeason20242025!$AA$3:$AA$1315,DataRegularSeason20242025!$B$3:$B$1315, "&lt;=" &amp; $A142, DataRegularSeason20242025!$D$3:$D$1315, AF$1)+SUMIFS(DataRegularSeason20242025!$AB$3:$AB$1315,DataRegularSeason20242025!$B$3:$B$1315, "&lt;=" &amp; $A142, DataRegularSeason20242025!$E$3:$E$1315, AF$1)</f>
        <v>71</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58</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51</v>
      </c>
      <c r="L143" s="2">
        <f>SUMIFS(DataRegularSeason20242025!$AA$3:$AA$1315,DataRegularSeason20242025!$B$3:$B$1315, "&lt;=" &amp; $A143, DataRegularSeason20242025!$D$3:$D$1315, L$1)+SUMIFS(DataRegularSeason20242025!$AB$3:$AB$1315,DataRegularSeason20242025!$B$3:$B$1315, "&lt;=" &amp; $A143, DataRegularSeason20242025!$E$3:$E$1315, L$1)</f>
        <v>65</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60</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50</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52</v>
      </c>
      <c r="AE143" s="2">
        <f>SUMIFS(DataRegularSeason20242025!$AA$3:$AA$1315,DataRegularSeason20242025!$B$3:$B$1315, "&lt;=" &amp; $A143, DataRegularSeason20242025!$D$3:$D$1315, AE$1)+SUMIFS(DataRegularSeason20242025!$AB$3:$AB$1315,DataRegularSeason20242025!$B$3:$B$1315, "&lt;=" &amp; $A143, DataRegularSeason20242025!$E$3:$E$1315, AE$1)</f>
        <v>64</v>
      </c>
      <c r="AF143" s="2">
        <f>SUMIFS(DataRegularSeason20242025!$AA$3:$AA$1315,DataRegularSeason20242025!$B$3:$B$1315, "&lt;=" &amp; $A143, DataRegularSeason20242025!$D$3:$D$1315, AF$1)+SUMIFS(DataRegularSeason20242025!$AB$3:$AB$1315,DataRegularSeason20242025!$B$3:$B$1315, "&lt;=" &amp; $A143, DataRegularSeason20242025!$E$3:$E$1315, AF$1)</f>
        <v>71</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58</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51</v>
      </c>
      <c r="L144" s="2">
        <f>SUMIFS(DataRegularSeason20242025!$AA$3:$AA$1315,DataRegularSeason20242025!$B$3:$B$1315, "&lt;=" &amp; $A144, DataRegularSeason20242025!$D$3:$D$1315, L$1)+SUMIFS(DataRegularSeason20242025!$AB$3:$AB$1315,DataRegularSeason20242025!$B$3:$B$1315, "&lt;=" &amp; $A144, DataRegularSeason20242025!$E$3:$E$1315, L$1)</f>
        <v>65</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60</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50</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52</v>
      </c>
      <c r="AE144" s="2">
        <f>SUMIFS(DataRegularSeason20242025!$AA$3:$AA$1315,DataRegularSeason20242025!$B$3:$B$1315, "&lt;=" &amp; $A144, DataRegularSeason20242025!$D$3:$D$1315, AE$1)+SUMIFS(DataRegularSeason20242025!$AB$3:$AB$1315,DataRegularSeason20242025!$B$3:$B$1315, "&lt;=" &amp; $A144, DataRegularSeason20242025!$E$3:$E$1315, AE$1)</f>
        <v>64</v>
      </c>
      <c r="AF144" s="2">
        <f>SUMIFS(DataRegularSeason20242025!$AA$3:$AA$1315,DataRegularSeason20242025!$B$3:$B$1315, "&lt;=" &amp; $A144, DataRegularSeason20242025!$D$3:$D$1315, AF$1)+SUMIFS(DataRegularSeason20242025!$AB$3:$AB$1315,DataRegularSeason20242025!$B$3:$B$1315, "&lt;=" &amp; $A144, DataRegularSeason20242025!$E$3:$E$1315, AF$1)</f>
        <v>71</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58</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51</v>
      </c>
      <c r="L145" s="2">
        <f>SUMIFS(DataRegularSeason20242025!$AA$3:$AA$1315,DataRegularSeason20242025!$B$3:$B$1315, "&lt;=" &amp; $A145, DataRegularSeason20242025!$D$3:$D$1315, L$1)+SUMIFS(DataRegularSeason20242025!$AB$3:$AB$1315,DataRegularSeason20242025!$B$3:$B$1315, "&lt;=" &amp; $A145, DataRegularSeason20242025!$E$3:$E$1315, L$1)</f>
        <v>65</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60</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50</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52</v>
      </c>
      <c r="AE145" s="2">
        <f>SUMIFS(DataRegularSeason20242025!$AA$3:$AA$1315,DataRegularSeason20242025!$B$3:$B$1315, "&lt;=" &amp; $A145, DataRegularSeason20242025!$D$3:$D$1315, AE$1)+SUMIFS(DataRegularSeason20242025!$AB$3:$AB$1315,DataRegularSeason20242025!$B$3:$B$1315, "&lt;=" &amp; $A145, DataRegularSeason20242025!$E$3:$E$1315, AE$1)</f>
        <v>64</v>
      </c>
      <c r="AF145" s="2">
        <f>SUMIFS(DataRegularSeason20242025!$AA$3:$AA$1315,DataRegularSeason20242025!$B$3:$B$1315, "&lt;=" &amp; $A145, DataRegularSeason20242025!$D$3:$D$1315, AF$1)+SUMIFS(DataRegularSeason20242025!$AB$3:$AB$1315,DataRegularSeason20242025!$B$3:$B$1315, "&lt;=" &amp; $A145, DataRegularSeason20242025!$E$3:$E$1315, AF$1)</f>
        <v>71</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58</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51</v>
      </c>
      <c r="L146" s="2">
        <f>SUMIFS(DataRegularSeason20242025!$AA$3:$AA$1315,DataRegularSeason20242025!$B$3:$B$1315, "&lt;=" &amp; $A146, DataRegularSeason20242025!$D$3:$D$1315, L$1)+SUMIFS(DataRegularSeason20242025!$AB$3:$AB$1315,DataRegularSeason20242025!$B$3:$B$1315, "&lt;=" &amp; $A146, DataRegularSeason20242025!$E$3:$E$1315, L$1)</f>
        <v>65</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60</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50</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52</v>
      </c>
      <c r="AE146" s="2">
        <f>SUMIFS(DataRegularSeason20242025!$AA$3:$AA$1315,DataRegularSeason20242025!$B$3:$B$1315, "&lt;=" &amp; $A146, DataRegularSeason20242025!$D$3:$D$1315, AE$1)+SUMIFS(DataRegularSeason20242025!$AB$3:$AB$1315,DataRegularSeason20242025!$B$3:$B$1315, "&lt;=" &amp; $A146, DataRegularSeason20242025!$E$3:$E$1315, AE$1)</f>
        <v>64</v>
      </c>
      <c r="AF146" s="2">
        <f>SUMIFS(DataRegularSeason20242025!$AA$3:$AA$1315,DataRegularSeason20242025!$B$3:$B$1315, "&lt;=" &amp; $A146, DataRegularSeason20242025!$D$3:$D$1315, AF$1)+SUMIFS(DataRegularSeason20242025!$AB$3:$AB$1315,DataRegularSeason20242025!$B$3:$B$1315, "&lt;=" &amp; $A146, DataRegularSeason20242025!$E$3:$E$1315, AF$1)</f>
        <v>71</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58</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51</v>
      </c>
      <c r="L147" s="2">
        <f>SUMIFS(DataRegularSeason20242025!$AA$3:$AA$1315,DataRegularSeason20242025!$B$3:$B$1315, "&lt;=" &amp; $A147, DataRegularSeason20242025!$D$3:$D$1315, L$1)+SUMIFS(DataRegularSeason20242025!$AB$3:$AB$1315,DataRegularSeason20242025!$B$3:$B$1315, "&lt;=" &amp; $A147, DataRegularSeason20242025!$E$3:$E$1315, L$1)</f>
        <v>65</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60</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50</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52</v>
      </c>
      <c r="AE147" s="2">
        <f>SUMIFS(DataRegularSeason20242025!$AA$3:$AA$1315,DataRegularSeason20242025!$B$3:$B$1315, "&lt;=" &amp; $A147, DataRegularSeason20242025!$D$3:$D$1315, AE$1)+SUMIFS(DataRegularSeason20242025!$AB$3:$AB$1315,DataRegularSeason20242025!$B$3:$B$1315, "&lt;=" &amp; $A147, DataRegularSeason20242025!$E$3:$E$1315, AE$1)</f>
        <v>64</v>
      </c>
      <c r="AF147" s="2">
        <f>SUMIFS(DataRegularSeason20242025!$AA$3:$AA$1315,DataRegularSeason20242025!$B$3:$B$1315, "&lt;=" &amp; $A147, DataRegularSeason20242025!$D$3:$D$1315, AF$1)+SUMIFS(DataRegularSeason20242025!$AB$3:$AB$1315,DataRegularSeason20242025!$B$3:$B$1315, "&lt;=" &amp; $A147, DataRegularSeason20242025!$E$3:$E$1315, AF$1)</f>
        <v>71</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58</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51</v>
      </c>
      <c r="L148" s="2">
        <f>SUMIFS(DataRegularSeason20242025!$AA$3:$AA$1315,DataRegularSeason20242025!$B$3:$B$1315, "&lt;=" &amp; $A148, DataRegularSeason20242025!$D$3:$D$1315, L$1)+SUMIFS(DataRegularSeason20242025!$AB$3:$AB$1315,DataRegularSeason20242025!$B$3:$B$1315, "&lt;=" &amp; $A148, DataRegularSeason20242025!$E$3:$E$1315, L$1)</f>
        <v>65</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60</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50</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52</v>
      </c>
      <c r="AE148" s="2">
        <f>SUMIFS(DataRegularSeason20242025!$AA$3:$AA$1315,DataRegularSeason20242025!$B$3:$B$1315, "&lt;=" &amp; $A148, DataRegularSeason20242025!$D$3:$D$1315, AE$1)+SUMIFS(DataRegularSeason20242025!$AB$3:$AB$1315,DataRegularSeason20242025!$B$3:$B$1315, "&lt;=" &amp; $A148, DataRegularSeason20242025!$E$3:$E$1315, AE$1)</f>
        <v>64</v>
      </c>
      <c r="AF148" s="2">
        <f>SUMIFS(DataRegularSeason20242025!$AA$3:$AA$1315,DataRegularSeason20242025!$B$3:$B$1315, "&lt;=" &amp; $A148, DataRegularSeason20242025!$D$3:$D$1315, AF$1)+SUMIFS(DataRegularSeason20242025!$AB$3:$AB$1315,DataRegularSeason20242025!$B$3:$B$1315, "&lt;=" &amp; $A148, DataRegularSeason20242025!$E$3:$E$1315, AF$1)</f>
        <v>71</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58</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51</v>
      </c>
      <c r="L149" s="2">
        <f>SUMIFS(DataRegularSeason20242025!$AA$3:$AA$1315,DataRegularSeason20242025!$B$3:$B$1315, "&lt;=" &amp; $A149, DataRegularSeason20242025!$D$3:$D$1315, L$1)+SUMIFS(DataRegularSeason20242025!$AB$3:$AB$1315,DataRegularSeason20242025!$B$3:$B$1315, "&lt;=" &amp; $A149, DataRegularSeason20242025!$E$3:$E$1315, L$1)</f>
        <v>65</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60</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50</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52</v>
      </c>
      <c r="AE149" s="2">
        <f>SUMIFS(DataRegularSeason20242025!$AA$3:$AA$1315,DataRegularSeason20242025!$B$3:$B$1315, "&lt;=" &amp; $A149, DataRegularSeason20242025!$D$3:$D$1315, AE$1)+SUMIFS(DataRegularSeason20242025!$AB$3:$AB$1315,DataRegularSeason20242025!$B$3:$B$1315, "&lt;=" &amp; $A149, DataRegularSeason20242025!$E$3:$E$1315, AE$1)</f>
        <v>64</v>
      </c>
      <c r="AF149" s="2">
        <f>SUMIFS(DataRegularSeason20242025!$AA$3:$AA$1315,DataRegularSeason20242025!$B$3:$B$1315, "&lt;=" &amp; $A149, DataRegularSeason20242025!$D$3:$D$1315, AF$1)+SUMIFS(DataRegularSeason20242025!$AB$3:$AB$1315,DataRegularSeason20242025!$B$3:$B$1315, "&lt;=" &amp; $A149, DataRegularSeason20242025!$E$3:$E$1315, AF$1)</f>
        <v>71</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58</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51</v>
      </c>
      <c r="L150" s="2">
        <f>SUMIFS(DataRegularSeason20242025!$AA$3:$AA$1315,DataRegularSeason20242025!$B$3:$B$1315, "&lt;=" &amp; $A150, DataRegularSeason20242025!$D$3:$D$1315, L$1)+SUMIFS(DataRegularSeason20242025!$AB$3:$AB$1315,DataRegularSeason20242025!$B$3:$B$1315, "&lt;=" &amp; $A150, DataRegularSeason20242025!$E$3:$E$1315, L$1)</f>
        <v>65</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60</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50</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52</v>
      </c>
      <c r="AE150" s="2">
        <f>SUMIFS(DataRegularSeason20242025!$AA$3:$AA$1315,DataRegularSeason20242025!$B$3:$B$1315, "&lt;=" &amp; $A150, DataRegularSeason20242025!$D$3:$D$1315, AE$1)+SUMIFS(DataRegularSeason20242025!$AB$3:$AB$1315,DataRegularSeason20242025!$B$3:$B$1315, "&lt;=" &amp; $A150, DataRegularSeason20242025!$E$3:$E$1315, AE$1)</f>
        <v>64</v>
      </c>
      <c r="AF150" s="2">
        <f>SUMIFS(DataRegularSeason20242025!$AA$3:$AA$1315,DataRegularSeason20242025!$B$3:$B$1315, "&lt;=" &amp; $A150, DataRegularSeason20242025!$D$3:$D$1315, AF$1)+SUMIFS(DataRegularSeason20242025!$AB$3:$AB$1315,DataRegularSeason20242025!$B$3:$B$1315, "&lt;=" &amp; $A150, DataRegularSeason20242025!$E$3:$E$1315, AF$1)</f>
        <v>71</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58</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51</v>
      </c>
      <c r="L151" s="2">
        <f>SUMIFS(DataRegularSeason20242025!$AA$3:$AA$1315,DataRegularSeason20242025!$B$3:$B$1315, "&lt;=" &amp; $A151, DataRegularSeason20242025!$D$3:$D$1315, L$1)+SUMIFS(DataRegularSeason20242025!$AB$3:$AB$1315,DataRegularSeason20242025!$B$3:$B$1315, "&lt;=" &amp; $A151, DataRegularSeason20242025!$E$3:$E$1315, L$1)</f>
        <v>65</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60</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50</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52</v>
      </c>
      <c r="AE151" s="2">
        <f>SUMIFS(DataRegularSeason20242025!$AA$3:$AA$1315,DataRegularSeason20242025!$B$3:$B$1315, "&lt;=" &amp; $A151, DataRegularSeason20242025!$D$3:$D$1315, AE$1)+SUMIFS(DataRegularSeason20242025!$AB$3:$AB$1315,DataRegularSeason20242025!$B$3:$B$1315, "&lt;=" &amp; $A151, DataRegularSeason20242025!$E$3:$E$1315, AE$1)</f>
        <v>64</v>
      </c>
      <c r="AF151" s="2">
        <f>SUMIFS(DataRegularSeason20242025!$AA$3:$AA$1315,DataRegularSeason20242025!$B$3:$B$1315, "&lt;=" &amp; $A151, DataRegularSeason20242025!$D$3:$D$1315, AF$1)+SUMIFS(DataRegularSeason20242025!$AB$3:$AB$1315,DataRegularSeason20242025!$B$3:$B$1315, "&lt;=" &amp; $A151, DataRegularSeason20242025!$E$3:$E$1315, AF$1)</f>
        <v>71</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58</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51</v>
      </c>
      <c r="L152" s="2">
        <f>SUMIFS(DataRegularSeason20242025!$AA$3:$AA$1315,DataRegularSeason20242025!$B$3:$B$1315, "&lt;=" &amp; $A152, DataRegularSeason20242025!$D$3:$D$1315, L$1)+SUMIFS(DataRegularSeason20242025!$AB$3:$AB$1315,DataRegularSeason20242025!$B$3:$B$1315, "&lt;=" &amp; $A152, DataRegularSeason20242025!$E$3:$E$1315, L$1)</f>
        <v>65</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60</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50</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52</v>
      </c>
      <c r="AE152" s="2">
        <f>SUMIFS(DataRegularSeason20242025!$AA$3:$AA$1315,DataRegularSeason20242025!$B$3:$B$1315, "&lt;=" &amp; $A152, DataRegularSeason20242025!$D$3:$D$1315, AE$1)+SUMIFS(DataRegularSeason20242025!$AB$3:$AB$1315,DataRegularSeason20242025!$B$3:$B$1315, "&lt;=" &amp; $A152, DataRegularSeason20242025!$E$3:$E$1315, AE$1)</f>
        <v>64</v>
      </c>
      <c r="AF152" s="2">
        <f>SUMIFS(DataRegularSeason20242025!$AA$3:$AA$1315,DataRegularSeason20242025!$B$3:$B$1315, "&lt;=" &amp; $A152, DataRegularSeason20242025!$D$3:$D$1315, AF$1)+SUMIFS(DataRegularSeason20242025!$AB$3:$AB$1315,DataRegularSeason20242025!$B$3:$B$1315, "&lt;=" &amp; $A152, DataRegularSeason20242025!$E$3:$E$1315, AF$1)</f>
        <v>71</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58</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51</v>
      </c>
      <c r="L153" s="2">
        <f>SUMIFS(DataRegularSeason20242025!$AA$3:$AA$1315,DataRegularSeason20242025!$B$3:$B$1315, "&lt;=" &amp; $A153, DataRegularSeason20242025!$D$3:$D$1315, L$1)+SUMIFS(DataRegularSeason20242025!$AB$3:$AB$1315,DataRegularSeason20242025!$B$3:$B$1315, "&lt;=" &amp; $A153, DataRegularSeason20242025!$E$3:$E$1315, L$1)</f>
        <v>65</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60</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50</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52</v>
      </c>
      <c r="AE153" s="2">
        <f>SUMIFS(DataRegularSeason20242025!$AA$3:$AA$1315,DataRegularSeason20242025!$B$3:$B$1315, "&lt;=" &amp; $A153, DataRegularSeason20242025!$D$3:$D$1315, AE$1)+SUMIFS(DataRegularSeason20242025!$AB$3:$AB$1315,DataRegularSeason20242025!$B$3:$B$1315, "&lt;=" &amp; $A153, DataRegularSeason20242025!$E$3:$E$1315, AE$1)</f>
        <v>64</v>
      </c>
      <c r="AF153" s="2">
        <f>SUMIFS(DataRegularSeason20242025!$AA$3:$AA$1315,DataRegularSeason20242025!$B$3:$B$1315, "&lt;=" &amp; $A153, DataRegularSeason20242025!$D$3:$D$1315, AF$1)+SUMIFS(DataRegularSeason20242025!$AB$3:$AB$1315,DataRegularSeason20242025!$B$3:$B$1315, "&lt;=" &amp; $A153, DataRegularSeason20242025!$E$3:$E$1315, AF$1)</f>
        <v>71</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58</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51</v>
      </c>
      <c r="L154" s="2">
        <f>SUMIFS(DataRegularSeason20242025!$AA$3:$AA$1315,DataRegularSeason20242025!$B$3:$B$1315, "&lt;=" &amp; $A154, DataRegularSeason20242025!$D$3:$D$1315, L$1)+SUMIFS(DataRegularSeason20242025!$AB$3:$AB$1315,DataRegularSeason20242025!$B$3:$B$1315, "&lt;=" &amp; $A154, DataRegularSeason20242025!$E$3:$E$1315, L$1)</f>
        <v>65</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60</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50</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52</v>
      </c>
      <c r="AE154" s="2">
        <f>SUMIFS(DataRegularSeason20242025!$AA$3:$AA$1315,DataRegularSeason20242025!$B$3:$B$1315, "&lt;=" &amp; $A154, DataRegularSeason20242025!$D$3:$D$1315, AE$1)+SUMIFS(DataRegularSeason20242025!$AB$3:$AB$1315,DataRegularSeason20242025!$B$3:$B$1315, "&lt;=" &amp; $A154, DataRegularSeason20242025!$E$3:$E$1315, AE$1)</f>
        <v>64</v>
      </c>
      <c r="AF154" s="2">
        <f>SUMIFS(DataRegularSeason20242025!$AA$3:$AA$1315,DataRegularSeason20242025!$B$3:$B$1315, "&lt;=" &amp; $A154, DataRegularSeason20242025!$D$3:$D$1315, AF$1)+SUMIFS(DataRegularSeason20242025!$AB$3:$AB$1315,DataRegularSeason20242025!$B$3:$B$1315, "&lt;=" &amp; $A154, DataRegularSeason20242025!$E$3:$E$1315, AF$1)</f>
        <v>71</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58</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51</v>
      </c>
      <c r="L155" s="2">
        <f>SUMIFS(DataRegularSeason20242025!$AA$3:$AA$1315,DataRegularSeason20242025!$B$3:$B$1315, "&lt;=" &amp; $A155, DataRegularSeason20242025!$D$3:$D$1315, L$1)+SUMIFS(DataRegularSeason20242025!$AB$3:$AB$1315,DataRegularSeason20242025!$B$3:$B$1315, "&lt;=" &amp; $A155, DataRegularSeason20242025!$E$3:$E$1315, L$1)</f>
        <v>65</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60</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50</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52</v>
      </c>
      <c r="AE155" s="2">
        <f>SUMIFS(DataRegularSeason20242025!$AA$3:$AA$1315,DataRegularSeason20242025!$B$3:$B$1315, "&lt;=" &amp; $A155, DataRegularSeason20242025!$D$3:$D$1315, AE$1)+SUMIFS(DataRegularSeason20242025!$AB$3:$AB$1315,DataRegularSeason20242025!$B$3:$B$1315, "&lt;=" &amp; $A155, DataRegularSeason20242025!$E$3:$E$1315, AE$1)</f>
        <v>64</v>
      </c>
      <c r="AF155" s="2">
        <f>SUMIFS(DataRegularSeason20242025!$AA$3:$AA$1315,DataRegularSeason20242025!$B$3:$B$1315, "&lt;=" &amp; $A155, DataRegularSeason20242025!$D$3:$D$1315, AF$1)+SUMIFS(DataRegularSeason20242025!$AB$3:$AB$1315,DataRegularSeason20242025!$B$3:$B$1315, "&lt;=" &amp; $A155, DataRegularSeason20242025!$E$3:$E$1315, AF$1)</f>
        <v>71</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58</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51</v>
      </c>
      <c r="L156" s="2">
        <f>SUMIFS(DataRegularSeason20242025!$AA$3:$AA$1315,DataRegularSeason20242025!$B$3:$B$1315, "&lt;=" &amp; $A156, DataRegularSeason20242025!$D$3:$D$1315, L$1)+SUMIFS(DataRegularSeason20242025!$AB$3:$AB$1315,DataRegularSeason20242025!$B$3:$B$1315, "&lt;=" &amp; $A156, DataRegularSeason20242025!$E$3:$E$1315, L$1)</f>
        <v>65</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60</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50</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52</v>
      </c>
      <c r="AE156" s="2">
        <f>SUMIFS(DataRegularSeason20242025!$AA$3:$AA$1315,DataRegularSeason20242025!$B$3:$B$1315, "&lt;=" &amp; $A156, DataRegularSeason20242025!$D$3:$D$1315, AE$1)+SUMIFS(DataRegularSeason20242025!$AB$3:$AB$1315,DataRegularSeason20242025!$B$3:$B$1315, "&lt;=" &amp; $A156, DataRegularSeason20242025!$E$3:$E$1315, AE$1)</f>
        <v>64</v>
      </c>
      <c r="AF156" s="2">
        <f>SUMIFS(DataRegularSeason20242025!$AA$3:$AA$1315,DataRegularSeason20242025!$B$3:$B$1315, "&lt;=" &amp; $A156, DataRegularSeason20242025!$D$3:$D$1315, AF$1)+SUMIFS(DataRegularSeason20242025!$AB$3:$AB$1315,DataRegularSeason20242025!$B$3:$B$1315, "&lt;=" &amp; $A156, DataRegularSeason20242025!$E$3:$E$1315, AF$1)</f>
        <v>71</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58</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51</v>
      </c>
      <c r="L157" s="2">
        <f>SUMIFS(DataRegularSeason20242025!$AA$3:$AA$1315,DataRegularSeason20242025!$B$3:$B$1315, "&lt;=" &amp; $A157, DataRegularSeason20242025!$D$3:$D$1315, L$1)+SUMIFS(DataRegularSeason20242025!$AB$3:$AB$1315,DataRegularSeason20242025!$B$3:$B$1315, "&lt;=" &amp; $A157, DataRegularSeason20242025!$E$3:$E$1315, L$1)</f>
        <v>65</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60</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50</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52</v>
      </c>
      <c r="AE157" s="2">
        <f>SUMIFS(DataRegularSeason20242025!$AA$3:$AA$1315,DataRegularSeason20242025!$B$3:$B$1315, "&lt;=" &amp; $A157, DataRegularSeason20242025!$D$3:$D$1315, AE$1)+SUMIFS(DataRegularSeason20242025!$AB$3:$AB$1315,DataRegularSeason20242025!$B$3:$B$1315, "&lt;=" &amp; $A157, DataRegularSeason20242025!$E$3:$E$1315, AE$1)</f>
        <v>64</v>
      </c>
      <c r="AF157" s="2">
        <f>SUMIFS(DataRegularSeason20242025!$AA$3:$AA$1315,DataRegularSeason20242025!$B$3:$B$1315, "&lt;=" &amp; $A157, DataRegularSeason20242025!$D$3:$D$1315, AF$1)+SUMIFS(DataRegularSeason20242025!$AB$3:$AB$1315,DataRegularSeason20242025!$B$3:$B$1315, "&lt;=" &amp; $A157, DataRegularSeason20242025!$E$3:$E$1315, AF$1)</f>
        <v>71</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58</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51</v>
      </c>
      <c r="L158" s="2">
        <f>SUMIFS(DataRegularSeason20242025!$AA$3:$AA$1315,DataRegularSeason20242025!$B$3:$B$1315, "&lt;=" &amp; $A158, DataRegularSeason20242025!$D$3:$D$1315, L$1)+SUMIFS(DataRegularSeason20242025!$AB$3:$AB$1315,DataRegularSeason20242025!$B$3:$B$1315, "&lt;=" &amp; $A158, DataRegularSeason20242025!$E$3:$E$1315, L$1)</f>
        <v>65</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60</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50</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52</v>
      </c>
      <c r="AE158" s="2">
        <f>SUMIFS(DataRegularSeason20242025!$AA$3:$AA$1315,DataRegularSeason20242025!$B$3:$B$1315, "&lt;=" &amp; $A158, DataRegularSeason20242025!$D$3:$D$1315, AE$1)+SUMIFS(DataRegularSeason20242025!$AB$3:$AB$1315,DataRegularSeason20242025!$B$3:$B$1315, "&lt;=" &amp; $A158, DataRegularSeason20242025!$E$3:$E$1315, AE$1)</f>
        <v>64</v>
      </c>
      <c r="AF158" s="2">
        <f>SUMIFS(DataRegularSeason20242025!$AA$3:$AA$1315,DataRegularSeason20242025!$B$3:$B$1315, "&lt;=" &amp; $A158, DataRegularSeason20242025!$D$3:$D$1315, AF$1)+SUMIFS(DataRegularSeason20242025!$AB$3:$AB$1315,DataRegularSeason20242025!$B$3:$B$1315, "&lt;=" &amp; $A158, DataRegularSeason20242025!$E$3:$E$1315, AF$1)</f>
        <v>71</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58</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51</v>
      </c>
      <c r="L159" s="2">
        <f>SUMIFS(DataRegularSeason20242025!$AA$3:$AA$1315,DataRegularSeason20242025!$B$3:$B$1315, "&lt;=" &amp; $A159, DataRegularSeason20242025!$D$3:$D$1315, L$1)+SUMIFS(DataRegularSeason20242025!$AB$3:$AB$1315,DataRegularSeason20242025!$B$3:$B$1315, "&lt;=" &amp; $A159, DataRegularSeason20242025!$E$3:$E$1315, L$1)</f>
        <v>65</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60</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50</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52</v>
      </c>
      <c r="AE159" s="2">
        <f>SUMIFS(DataRegularSeason20242025!$AA$3:$AA$1315,DataRegularSeason20242025!$B$3:$B$1315, "&lt;=" &amp; $A159, DataRegularSeason20242025!$D$3:$D$1315, AE$1)+SUMIFS(DataRegularSeason20242025!$AB$3:$AB$1315,DataRegularSeason20242025!$B$3:$B$1315, "&lt;=" &amp; $A159, DataRegularSeason20242025!$E$3:$E$1315, AE$1)</f>
        <v>64</v>
      </c>
      <c r="AF159" s="2">
        <f>SUMIFS(DataRegularSeason20242025!$AA$3:$AA$1315,DataRegularSeason20242025!$B$3:$B$1315, "&lt;=" &amp; $A159, DataRegularSeason20242025!$D$3:$D$1315, AF$1)+SUMIFS(DataRegularSeason20242025!$AB$3:$AB$1315,DataRegularSeason20242025!$B$3:$B$1315, "&lt;=" &amp; $A159, DataRegularSeason20242025!$E$3:$E$1315, AF$1)</f>
        <v>71</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58</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51</v>
      </c>
      <c r="L160" s="2">
        <f>SUMIFS(DataRegularSeason20242025!$AA$3:$AA$1315,DataRegularSeason20242025!$B$3:$B$1315, "&lt;=" &amp; $A160, DataRegularSeason20242025!$D$3:$D$1315, L$1)+SUMIFS(DataRegularSeason20242025!$AB$3:$AB$1315,DataRegularSeason20242025!$B$3:$B$1315, "&lt;=" &amp; $A160, DataRegularSeason20242025!$E$3:$E$1315, L$1)</f>
        <v>65</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60</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50</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52</v>
      </c>
      <c r="AE160" s="2">
        <f>SUMIFS(DataRegularSeason20242025!$AA$3:$AA$1315,DataRegularSeason20242025!$B$3:$B$1315, "&lt;=" &amp; $A160, DataRegularSeason20242025!$D$3:$D$1315, AE$1)+SUMIFS(DataRegularSeason20242025!$AB$3:$AB$1315,DataRegularSeason20242025!$B$3:$B$1315, "&lt;=" &amp; $A160, DataRegularSeason20242025!$E$3:$E$1315, AE$1)</f>
        <v>64</v>
      </c>
      <c r="AF160" s="2">
        <f>SUMIFS(DataRegularSeason20242025!$AA$3:$AA$1315,DataRegularSeason20242025!$B$3:$B$1315, "&lt;=" &amp; $A160, DataRegularSeason20242025!$D$3:$D$1315, AF$1)+SUMIFS(DataRegularSeason20242025!$AB$3:$AB$1315,DataRegularSeason20242025!$B$3:$B$1315, "&lt;=" &amp; $A160, DataRegularSeason20242025!$E$3:$E$1315, AF$1)</f>
        <v>71</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58</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51</v>
      </c>
      <c r="L161" s="2">
        <f>SUMIFS(DataRegularSeason20242025!$AA$3:$AA$1315,DataRegularSeason20242025!$B$3:$B$1315, "&lt;=" &amp; $A161, DataRegularSeason20242025!$D$3:$D$1315, L$1)+SUMIFS(DataRegularSeason20242025!$AB$3:$AB$1315,DataRegularSeason20242025!$B$3:$B$1315, "&lt;=" &amp; $A161, DataRegularSeason20242025!$E$3:$E$1315, L$1)</f>
        <v>65</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60</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50</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52</v>
      </c>
      <c r="AE161" s="2">
        <f>SUMIFS(DataRegularSeason20242025!$AA$3:$AA$1315,DataRegularSeason20242025!$B$3:$B$1315, "&lt;=" &amp; $A161, DataRegularSeason20242025!$D$3:$D$1315, AE$1)+SUMIFS(DataRegularSeason20242025!$AB$3:$AB$1315,DataRegularSeason20242025!$B$3:$B$1315, "&lt;=" &amp; $A161, DataRegularSeason20242025!$E$3:$E$1315, AE$1)</f>
        <v>64</v>
      </c>
      <c r="AF161" s="2">
        <f>SUMIFS(DataRegularSeason20242025!$AA$3:$AA$1315,DataRegularSeason20242025!$B$3:$B$1315, "&lt;=" &amp; $A161, DataRegularSeason20242025!$D$3:$D$1315, AF$1)+SUMIFS(DataRegularSeason20242025!$AB$3:$AB$1315,DataRegularSeason20242025!$B$3:$B$1315, "&lt;=" &amp; $A161, DataRegularSeason20242025!$E$3:$E$1315, AF$1)</f>
        <v>71</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58</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51</v>
      </c>
      <c r="L162" s="2">
        <f>SUMIFS(DataRegularSeason20242025!$AA$3:$AA$1315,DataRegularSeason20242025!$B$3:$B$1315, "&lt;=" &amp; $A162, DataRegularSeason20242025!$D$3:$D$1315, L$1)+SUMIFS(DataRegularSeason20242025!$AB$3:$AB$1315,DataRegularSeason20242025!$B$3:$B$1315, "&lt;=" &amp; $A162, DataRegularSeason20242025!$E$3:$E$1315, L$1)</f>
        <v>65</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60</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50</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52</v>
      </c>
      <c r="AE162" s="2">
        <f>SUMIFS(DataRegularSeason20242025!$AA$3:$AA$1315,DataRegularSeason20242025!$B$3:$B$1315, "&lt;=" &amp; $A162, DataRegularSeason20242025!$D$3:$D$1315, AE$1)+SUMIFS(DataRegularSeason20242025!$AB$3:$AB$1315,DataRegularSeason20242025!$B$3:$B$1315, "&lt;=" &amp; $A162, DataRegularSeason20242025!$E$3:$E$1315, AE$1)</f>
        <v>64</v>
      </c>
      <c r="AF162" s="2">
        <f>SUMIFS(DataRegularSeason20242025!$AA$3:$AA$1315,DataRegularSeason20242025!$B$3:$B$1315, "&lt;=" &amp; $A162, DataRegularSeason20242025!$D$3:$D$1315, AF$1)+SUMIFS(DataRegularSeason20242025!$AB$3:$AB$1315,DataRegularSeason20242025!$B$3:$B$1315, "&lt;=" &amp; $A162, DataRegularSeason20242025!$E$3:$E$1315, AF$1)</f>
        <v>71</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58</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51</v>
      </c>
      <c r="L163" s="2">
        <f>SUMIFS(DataRegularSeason20242025!$AA$3:$AA$1315,DataRegularSeason20242025!$B$3:$B$1315, "&lt;=" &amp; $A163, DataRegularSeason20242025!$D$3:$D$1315, L$1)+SUMIFS(DataRegularSeason20242025!$AB$3:$AB$1315,DataRegularSeason20242025!$B$3:$B$1315, "&lt;=" &amp; $A163, DataRegularSeason20242025!$E$3:$E$1315, L$1)</f>
        <v>65</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60</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50</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52</v>
      </c>
      <c r="AE163" s="2">
        <f>SUMIFS(DataRegularSeason20242025!$AA$3:$AA$1315,DataRegularSeason20242025!$B$3:$B$1315, "&lt;=" &amp; $A163, DataRegularSeason20242025!$D$3:$D$1315, AE$1)+SUMIFS(DataRegularSeason20242025!$AB$3:$AB$1315,DataRegularSeason20242025!$B$3:$B$1315, "&lt;=" &amp; $A163, DataRegularSeason20242025!$E$3:$E$1315, AE$1)</f>
        <v>64</v>
      </c>
      <c r="AF163" s="2">
        <f>SUMIFS(DataRegularSeason20242025!$AA$3:$AA$1315,DataRegularSeason20242025!$B$3:$B$1315, "&lt;=" &amp; $A163, DataRegularSeason20242025!$D$3:$D$1315, AF$1)+SUMIFS(DataRegularSeason20242025!$AB$3:$AB$1315,DataRegularSeason20242025!$B$3:$B$1315, "&lt;=" &amp; $A163, DataRegularSeason20242025!$E$3:$E$1315, AF$1)</f>
        <v>71</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58</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51</v>
      </c>
      <c r="L164" s="2">
        <f>SUMIFS(DataRegularSeason20242025!$AA$3:$AA$1315,DataRegularSeason20242025!$B$3:$B$1315, "&lt;=" &amp; $A164, DataRegularSeason20242025!$D$3:$D$1315, L$1)+SUMIFS(DataRegularSeason20242025!$AB$3:$AB$1315,DataRegularSeason20242025!$B$3:$B$1315, "&lt;=" &amp; $A164, DataRegularSeason20242025!$E$3:$E$1315, L$1)</f>
        <v>65</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60</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50</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52</v>
      </c>
      <c r="AE164" s="2">
        <f>SUMIFS(DataRegularSeason20242025!$AA$3:$AA$1315,DataRegularSeason20242025!$B$3:$B$1315, "&lt;=" &amp; $A164, DataRegularSeason20242025!$D$3:$D$1315, AE$1)+SUMIFS(DataRegularSeason20242025!$AB$3:$AB$1315,DataRegularSeason20242025!$B$3:$B$1315, "&lt;=" &amp; $A164, DataRegularSeason20242025!$E$3:$E$1315, AE$1)</f>
        <v>64</v>
      </c>
      <c r="AF164" s="2">
        <f>SUMIFS(DataRegularSeason20242025!$AA$3:$AA$1315,DataRegularSeason20242025!$B$3:$B$1315, "&lt;=" &amp; $A164, DataRegularSeason20242025!$D$3:$D$1315, AF$1)+SUMIFS(DataRegularSeason20242025!$AB$3:$AB$1315,DataRegularSeason20242025!$B$3:$B$1315, "&lt;=" &amp; $A164, DataRegularSeason20242025!$E$3:$E$1315, AF$1)</f>
        <v>71</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58</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51</v>
      </c>
      <c r="L165" s="2">
        <f>SUMIFS(DataRegularSeason20242025!$AA$3:$AA$1315,DataRegularSeason20242025!$B$3:$B$1315, "&lt;=" &amp; $A165, DataRegularSeason20242025!$D$3:$D$1315, L$1)+SUMIFS(DataRegularSeason20242025!$AB$3:$AB$1315,DataRegularSeason20242025!$B$3:$B$1315, "&lt;=" &amp; $A165, DataRegularSeason20242025!$E$3:$E$1315, L$1)</f>
        <v>65</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60</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50</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52</v>
      </c>
      <c r="AE165" s="2">
        <f>SUMIFS(DataRegularSeason20242025!$AA$3:$AA$1315,DataRegularSeason20242025!$B$3:$B$1315, "&lt;=" &amp; $A165, DataRegularSeason20242025!$D$3:$D$1315, AE$1)+SUMIFS(DataRegularSeason20242025!$AB$3:$AB$1315,DataRegularSeason20242025!$B$3:$B$1315, "&lt;=" &amp; $A165, DataRegularSeason20242025!$E$3:$E$1315, AE$1)</f>
        <v>64</v>
      </c>
      <c r="AF165" s="2">
        <f>SUMIFS(DataRegularSeason20242025!$AA$3:$AA$1315,DataRegularSeason20242025!$B$3:$B$1315, "&lt;=" &amp; $A165, DataRegularSeason20242025!$D$3:$D$1315, AF$1)+SUMIFS(DataRegularSeason20242025!$AB$3:$AB$1315,DataRegularSeason20242025!$B$3:$B$1315, "&lt;=" &amp; $A165, DataRegularSeason20242025!$E$3:$E$1315, AF$1)</f>
        <v>71</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58</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51</v>
      </c>
      <c r="L166" s="2">
        <f>SUMIFS(DataRegularSeason20242025!$AA$3:$AA$1315,DataRegularSeason20242025!$B$3:$B$1315, "&lt;=" &amp; $A166, DataRegularSeason20242025!$D$3:$D$1315, L$1)+SUMIFS(DataRegularSeason20242025!$AB$3:$AB$1315,DataRegularSeason20242025!$B$3:$B$1315, "&lt;=" &amp; $A166, DataRegularSeason20242025!$E$3:$E$1315, L$1)</f>
        <v>65</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60</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50</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52</v>
      </c>
      <c r="AE166" s="2">
        <f>SUMIFS(DataRegularSeason20242025!$AA$3:$AA$1315,DataRegularSeason20242025!$B$3:$B$1315, "&lt;=" &amp; $A166, DataRegularSeason20242025!$D$3:$D$1315, AE$1)+SUMIFS(DataRegularSeason20242025!$AB$3:$AB$1315,DataRegularSeason20242025!$B$3:$B$1315, "&lt;=" &amp; $A166, DataRegularSeason20242025!$E$3:$E$1315, AE$1)</f>
        <v>64</v>
      </c>
      <c r="AF166" s="2">
        <f>SUMIFS(DataRegularSeason20242025!$AA$3:$AA$1315,DataRegularSeason20242025!$B$3:$B$1315, "&lt;=" &amp; $A166, DataRegularSeason20242025!$D$3:$D$1315, AF$1)+SUMIFS(DataRegularSeason20242025!$AB$3:$AB$1315,DataRegularSeason20242025!$B$3:$B$1315, "&lt;=" &amp; $A166, DataRegularSeason20242025!$E$3:$E$1315, AF$1)</f>
        <v>71</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58</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51</v>
      </c>
      <c r="L167" s="2">
        <f>SUMIFS(DataRegularSeason20242025!$AA$3:$AA$1315,DataRegularSeason20242025!$B$3:$B$1315, "&lt;=" &amp; $A167, DataRegularSeason20242025!$D$3:$D$1315, L$1)+SUMIFS(DataRegularSeason20242025!$AB$3:$AB$1315,DataRegularSeason20242025!$B$3:$B$1315, "&lt;=" &amp; $A167, DataRegularSeason20242025!$E$3:$E$1315, L$1)</f>
        <v>65</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60</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50</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52</v>
      </c>
      <c r="AE167" s="2">
        <f>SUMIFS(DataRegularSeason20242025!$AA$3:$AA$1315,DataRegularSeason20242025!$B$3:$B$1315, "&lt;=" &amp; $A167, DataRegularSeason20242025!$D$3:$D$1315, AE$1)+SUMIFS(DataRegularSeason20242025!$AB$3:$AB$1315,DataRegularSeason20242025!$B$3:$B$1315, "&lt;=" &amp; $A167, DataRegularSeason20242025!$E$3:$E$1315, AE$1)</f>
        <v>64</v>
      </c>
      <c r="AF167" s="2">
        <f>SUMIFS(DataRegularSeason20242025!$AA$3:$AA$1315,DataRegularSeason20242025!$B$3:$B$1315, "&lt;=" &amp; $A167, DataRegularSeason20242025!$D$3:$D$1315, AF$1)+SUMIFS(DataRegularSeason20242025!$AB$3:$AB$1315,DataRegularSeason20242025!$B$3:$B$1315, "&lt;=" &amp; $A167, DataRegularSeason20242025!$E$3:$E$1315, AF$1)</f>
        <v>71</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58</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51</v>
      </c>
      <c r="L168" s="2">
        <f>SUMIFS(DataRegularSeason20242025!$AA$3:$AA$1315,DataRegularSeason20242025!$B$3:$B$1315, "&lt;=" &amp; $A168, DataRegularSeason20242025!$D$3:$D$1315, L$1)+SUMIFS(DataRegularSeason20242025!$AB$3:$AB$1315,DataRegularSeason20242025!$B$3:$B$1315, "&lt;=" &amp; $A168, DataRegularSeason20242025!$E$3:$E$1315, L$1)</f>
        <v>65</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60</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50</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52</v>
      </c>
      <c r="AE168" s="2">
        <f>SUMIFS(DataRegularSeason20242025!$AA$3:$AA$1315,DataRegularSeason20242025!$B$3:$B$1315, "&lt;=" &amp; $A168, DataRegularSeason20242025!$D$3:$D$1315, AE$1)+SUMIFS(DataRegularSeason20242025!$AB$3:$AB$1315,DataRegularSeason20242025!$B$3:$B$1315, "&lt;=" &amp; $A168, DataRegularSeason20242025!$E$3:$E$1315, AE$1)</f>
        <v>64</v>
      </c>
      <c r="AF168" s="2">
        <f>SUMIFS(DataRegularSeason20242025!$AA$3:$AA$1315,DataRegularSeason20242025!$B$3:$B$1315, "&lt;=" &amp; $A168, DataRegularSeason20242025!$D$3:$D$1315, AF$1)+SUMIFS(DataRegularSeason20242025!$AB$3:$AB$1315,DataRegularSeason20242025!$B$3:$B$1315, "&lt;=" &amp; $A168, DataRegularSeason20242025!$E$3:$E$1315, AF$1)</f>
        <v>71</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58</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51</v>
      </c>
      <c r="L169" s="2">
        <f>SUMIFS(DataRegularSeason20242025!$AA$3:$AA$1315,DataRegularSeason20242025!$B$3:$B$1315, "&lt;=" &amp; $A169, DataRegularSeason20242025!$D$3:$D$1315, L$1)+SUMIFS(DataRegularSeason20242025!$AB$3:$AB$1315,DataRegularSeason20242025!$B$3:$B$1315, "&lt;=" &amp; $A169, DataRegularSeason20242025!$E$3:$E$1315, L$1)</f>
        <v>65</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60</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50</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52</v>
      </c>
      <c r="AE169" s="2">
        <f>SUMIFS(DataRegularSeason20242025!$AA$3:$AA$1315,DataRegularSeason20242025!$B$3:$B$1315, "&lt;=" &amp; $A169, DataRegularSeason20242025!$D$3:$D$1315, AE$1)+SUMIFS(DataRegularSeason20242025!$AB$3:$AB$1315,DataRegularSeason20242025!$B$3:$B$1315, "&lt;=" &amp; $A169, DataRegularSeason20242025!$E$3:$E$1315, AE$1)</f>
        <v>64</v>
      </c>
      <c r="AF169" s="2">
        <f>SUMIFS(DataRegularSeason20242025!$AA$3:$AA$1315,DataRegularSeason20242025!$B$3:$B$1315, "&lt;=" &amp; $A169, DataRegularSeason20242025!$D$3:$D$1315, AF$1)+SUMIFS(DataRegularSeason20242025!$AB$3:$AB$1315,DataRegularSeason20242025!$B$3:$B$1315, "&lt;=" &amp; $A169, DataRegularSeason20242025!$E$3:$E$1315, AF$1)</f>
        <v>71</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58</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51</v>
      </c>
      <c r="L170" s="2">
        <f>SUMIFS(DataRegularSeason20242025!$AA$3:$AA$1315,DataRegularSeason20242025!$B$3:$B$1315, "&lt;=" &amp; $A170, DataRegularSeason20242025!$D$3:$D$1315, L$1)+SUMIFS(DataRegularSeason20242025!$AB$3:$AB$1315,DataRegularSeason20242025!$B$3:$B$1315, "&lt;=" &amp; $A170, DataRegularSeason20242025!$E$3:$E$1315, L$1)</f>
        <v>65</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60</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50</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52</v>
      </c>
      <c r="AE170" s="2">
        <f>SUMIFS(DataRegularSeason20242025!$AA$3:$AA$1315,DataRegularSeason20242025!$B$3:$B$1315, "&lt;=" &amp; $A170, DataRegularSeason20242025!$D$3:$D$1315, AE$1)+SUMIFS(DataRegularSeason20242025!$AB$3:$AB$1315,DataRegularSeason20242025!$B$3:$B$1315, "&lt;=" &amp; $A170, DataRegularSeason20242025!$E$3:$E$1315, AE$1)</f>
        <v>64</v>
      </c>
      <c r="AF170" s="2">
        <f>SUMIFS(DataRegularSeason20242025!$AA$3:$AA$1315,DataRegularSeason20242025!$B$3:$B$1315, "&lt;=" &amp; $A170, DataRegularSeason20242025!$D$3:$D$1315, AF$1)+SUMIFS(DataRegularSeason20242025!$AB$3:$AB$1315,DataRegularSeason20242025!$B$3:$B$1315, "&lt;=" &amp; $A170, DataRegularSeason20242025!$E$3:$E$1315, AF$1)</f>
        <v>71</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58</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51</v>
      </c>
      <c r="L171" s="2">
        <f>SUMIFS(DataRegularSeason20242025!$AA$3:$AA$1315,DataRegularSeason20242025!$B$3:$B$1315, "&lt;=" &amp; $A171, DataRegularSeason20242025!$D$3:$D$1315, L$1)+SUMIFS(DataRegularSeason20242025!$AB$3:$AB$1315,DataRegularSeason20242025!$B$3:$B$1315, "&lt;=" &amp; $A171, DataRegularSeason20242025!$E$3:$E$1315, L$1)</f>
        <v>65</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60</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50</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52</v>
      </c>
      <c r="AE171" s="2">
        <f>SUMIFS(DataRegularSeason20242025!$AA$3:$AA$1315,DataRegularSeason20242025!$B$3:$B$1315, "&lt;=" &amp; $A171, DataRegularSeason20242025!$D$3:$D$1315, AE$1)+SUMIFS(DataRegularSeason20242025!$AB$3:$AB$1315,DataRegularSeason20242025!$B$3:$B$1315, "&lt;=" &amp; $A171, DataRegularSeason20242025!$E$3:$E$1315, AE$1)</f>
        <v>64</v>
      </c>
      <c r="AF171" s="2">
        <f>SUMIFS(DataRegularSeason20242025!$AA$3:$AA$1315,DataRegularSeason20242025!$B$3:$B$1315, "&lt;=" &amp; $A171, DataRegularSeason20242025!$D$3:$D$1315, AF$1)+SUMIFS(DataRegularSeason20242025!$AB$3:$AB$1315,DataRegularSeason20242025!$B$3:$B$1315, "&lt;=" &amp; $A171, DataRegularSeason20242025!$E$3:$E$1315, AF$1)</f>
        <v>71</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58</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51</v>
      </c>
      <c r="L172" s="2">
        <f>SUMIFS(DataRegularSeason20242025!$AA$3:$AA$1315,DataRegularSeason20242025!$B$3:$B$1315, "&lt;=" &amp; $A172, DataRegularSeason20242025!$D$3:$D$1315, L$1)+SUMIFS(DataRegularSeason20242025!$AB$3:$AB$1315,DataRegularSeason20242025!$B$3:$B$1315, "&lt;=" &amp; $A172, DataRegularSeason20242025!$E$3:$E$1315, L$1)</f>
        <v>65</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60</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50</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52</v>
      </c>
      <c r="AE172" s="2">
        <f>SUMIFS(DataRegularSeason20242025!$AA$3:$AA$1315,DataRegularSeason20242025!$B$3:$B$1315, "&lt;=" &amp; $A172, DataRegularSeason20242025!$D$3:$D$1315, AE$1)+SUMIFS(DataRegularSeason20242025!$AB$3:$AB$1315,DataRegularSeason20242025!$B$3:$B$1315, "&lt;=" &amp; $A172, DataRegularSeason20242025!$E$3:$E$1315, AE$1)</f>
        <v>64</v>
      </c>
      <c r="AF172" s="2">
        <f>SUMIFS(DataRegularSeason20242025!$AA$3:$AA$1315,DataRegularSeason20242025!$B$3:$B$1315, "&lt;=" &amp; $A172, DataRegularSeason20242025!$D$3:$D$1315, AF$1)+SUMIFS(DataRegularSeason20242025!$AB$3:$AB$1315,DataRegularSeason20242025!$B$3:$B$1315, "&lt;=" &amp; $A172, DataRegularSeason20242025!$E$3:$E$1315, AF$1)</f>
        <v>71</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58</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51</v>
      </c>
      <c r="L173" s="2">
        <f>SUMIFS(DataRegularSeason20242025!$AA$3:$AA$1315,DataRegularSeason20242025!$B$3:$B$1315, "&lt;=" &amp; $A173, DataRegularSeason20242025!$D$3:$D$1315, L$1)+SUMIFS(DataRegularSeason20242025!$AB$3:$AB$1315,DataRegularSeason20242025!$B$3:$B$1315, "&lt;=" &amp; $A173, DataRegularSeason20242025!$E$3:$E$1315, L$1)</f>
        <v>65</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60</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50</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52</v>
      </c>
      <c r="AE173" s="2">
        <f>SUMIFS(DataRegularSeason20242025!$AA$3:$AA$1315,DataRegularSeason20242025!$B$3:$B$1315, "&lt;=" &amp; $A173, DataRegularSeason20242025!$D$3:$D$1315, AE$1)+SUMIFS(DataRegularSeason20242025!$AB$3:$AB$1315,DataRegularSeason20242025!$B$3:$B$1315, "&lt;=" &amp; $A173, DataRegularSeason20242025!$E$3:$E$1315, AE$1)</f>
        <v>64</v>
      </c>
      <c r="AF173" s="2">
        <f>SUMIFS(DataRegularSeason20242025!$AA$3:$AA$1315,DataRegularSeason20242025!$B$3:$B$1315, "&lt;=" &amp; $A173, DataRegularSeason20242025!$D$3:$D$1315, AF$1)+SUMIFS(DataRegularSeason20242025!$AB$3:$AB$1315,DataRegularSeason20242025!$B$3:$B$1315, "&lt;=" &amp; $A173, DataRegularSeason20242025!$E$3:$E$1315, AF$1)</f>
        <v>71</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58</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51</v>
      </c>
      <c r="L174" s="2">
        <f>SUMIFS(DataRegularSeason20242025!$AA$3:$AA$1315,DataRegularSeason20242025!$B$3:$B$1315, "&lt;=" &amp; $A174, DataRegularSeason20242025!$D$3:$D$1315, L$1)+SUMIFS(DataRegularSeason20242025!$AB$3:$AB$1315,DataRegularSeason20242025!$B$3:$B$1315, "&lt;=" &amp; $A174, DataRegularSeason20242025!$E$3:$E$1315, L$1)</f>
        <v>65</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60</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50</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52</v>
      </c>
      <c r="AE174" s="2">
        <f>SUMIFS(DataRegularSeason20242025!$AA$3:$AA$1315,DataRegularSeason20242025!$B$3:$B$1315, "&lt;=" &amp; $A174, DataRegularSeason20242025!$D$3:$D$1315, AE$1)+SUMIFS(DataRegularSeason20242025!$AB$3:$AB$1315,DataRegularSeason20242025!$B$3:$B$1315, "&lt;=" &amp; $A174, DataRegularSeason20242025!$E$3:$E$1315, AE$1)</f>
        <v>64</v>
      </c>
      <c r="AF174" s="2">
        <f>SUMIFS(DataRegularSeason20242025!$AA$3:$AA$1315,DataRegularSeason20242025!$B$3:$B$1315, "&lt;=" &amp; $A174, DataRegularSeason20242025!$D$3:$D$1315, AF$1)+SUMIFS(DataRegularSeason20242025!$AB$3:$AB$1315,DataRegularSeason20242025!$B$3:$B$1315, "&lt;=" &amp; $A174, DataRegularSeason20242025!$E$3:$E$1315, AF$1)</f>
        <v>71</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58</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51</v>
      </c>
      <c r="L175" s="2">
        <f>SUMIFS(DataRegularSeason20242025!$AA$3:$AA$1315,DataRegularSeason20242025!$B$3:$B$1315, "&lt;=" &amp; $A175, DataRegularSeason20242025!$D$3:$D$1315, L$1)+SUMIFS(DataRegularSeason20242025!$AB$3:$AB$1315,DataRegularSeason20242025!$B$3:$B$1315, "&lt;=" &amp; $A175, DataRegularSeason20242025!$E$3:$E$1315, L$1)</f>
        <v>65</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60</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50</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52</v>
      </c>
      <c r="AE175" s="2">
        <f>SUMIFS(DataRegularSeason20242025!$AA$3:$AA$1315,DataRegularSeason20242025!$B$3:$B$1315, "&lt;=" &amp; $A175, DataRegularSeason20242025!$D$3:$D$1315, AE$1)+SUMIFS(DataRegularSeason20242025!$AB$3:$AB$1315,DataRegularSeason20242025!$B$3:$B$1315, "&lt;=" &amp; $A175, DataRegularSeason20242025!$E$3:$E$1315, AE$1)</f>
        <v>64</v>
      </c>
      <c r="AF175" s="2">
        <f>SUMIFS(DataRegularSeason20242025!$AA$3:$AA$1315,DataRegularSeason20242025!$B$3:$B$1315, "&lt;=" &amp; $A175, DataRegularSeason20242025!$D$3:$D$1315, AF$1)+SUMIFS(DataRegularSeason20242025!$AB$3:$AB$1315,DataRegularSeason20242025!$B$3:$B$1315, "&lt;=" &amp; $A175, DataRegularSeason20242025!$E$3:$E$1315, AF$1)</f>
        <v>71</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58</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51</v>
      </c>
      <c r="L176" s="2">
        <f>SUMIFS(DataRegularSeason20242025!$AA$3:$AA$1315,DataRegularSeason20242025!$B$3:$B$1315, "&lt;=" &amp; $A176, DataRegularSeason20242025!$D$3:$D$1315, L$1)+SUMIFS(DataRegularSeason20242025!$AB$3:$AB$1315,DataRegularSeason20242025!$B$3:$B$1315, "&lt;=" &amp; $A176, DataRegularSeason20242025!$E$3:$E$1315, L$1)</f>
        <v>65</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60</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50</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52</v>
      </c>
      <c r="AE176" s="2">
        <f>SUMIFS(DataRegularSeason20242025!$AA$3:$AA$1315,DataRegularSeason20242025!$B$3:$B$1315, "&lt;=" &amp; $A176, DataRegularSeason20242025!$D$3:$D$1315, AE$1)+SUMIFS(DataRegularSeason20242025!$AB$3:$AB$1315,DataRegularSeason20242025!$B$3:$B$1315, "&lt;=" &amp; $A176, DataRegularSeason20242025!$E$3:$E$1315, AE$1)</f>
        <v>64</v>
      </c>
      <c r="AF176" s="2">
        <f>SUMIFS(DataRegularSeason20242025!$AA$3:$AA$1315,DataRegularSeason20242025!$B$3:$B$1315, "&lt;=" &amp; $A176, DataRegularSeason20242025!$D$3:$D$1315, AF$1)+SUMIFS(DataRegularSeason20242025!$AB$3:$AB$1315,DataRegularSeason20242025!$B$3:$B$1315, "&lt;=" &amp; $A176, DataRegularSeason20242025!$E$3:$E$1315, AF$1)</f>
        <v>71</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58</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51</v>
      </c>
      <c r="L177" s="2">
        <f>SUMIFS(DataRegularSeason20242025!$AA$3:$AA$1315,DataRegularSeason20242025!$B$3:$B$1315, "&lt;=" &amp; $A177, DataRegularSeason20242025!$D$3:$D$1315, L$1)+SUMIFS(DataRegularSeason20242025!$AB$3:$AB$1315,DataRegularSeason20242025!$B$3:$B$1315, "&lt;=" &amp; $A177, DataRegularSeason20242025!$E$3:$E$1315, L$1)</f>
        <v>65</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60</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50</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52</v>
      </c>
      <c r="AE177" s="2">
        <f>SUMIFS(DataRegularSeason20242025!$AA$3:$AA$1315,DataRegularSeason20242025!$B$3:$B$1315, "&lt;=" &amp; $A177, DataRegularSeason20242025!$D$3:$D$1315, AE$1)+SUMIFS(DataRegularSeason20242025!$AB$3:$AB$1315,DataRegularSeason20242025!$B$3:$B$1315, "&lt;=" &amp; $A177, DataRegularSeason20242025!$E$3:$E$1315, AE$1)</f>
        <v>64</v>
      </c>
      <c r="AF177" s="2">
        <f>SUMIFS(DataRegularSeason20242025!$AA$3:$AA$1315,DataRegularSeason20242025!$B$3:$B$1315, "&lt;=" &amp; $A177, DataRegularSeason20242025!$D$3:$D$1315, AF$1)+SUMIFS(DataRegularSeason20242025!$AB$3:$AB$1315,DataRegularSeason20242025!$B$3:$B$1315, "&lt;=" &amp; $A177, DataRegularSeason20242025!$E$3:$E$1315, AF$1)</f>
        <v>71</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58</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51</v>
      </c>
      <c r="L178" s="2">
        <f>SUMIFS(DataRegularSeason20242025!$AA$3:$AA$1315,DataRegularSeason20242025!$B$3:$B$1315, "&lt;=" &amp; $A178, DataRegularSeason20242025!$D$3:$D$1315, L$1)+SUMIFS(DataRegularSeason20242025!$AB$3:$AB$1315,DataRegularSeason20242025!$B$3:$B$1315, "&lt;=" &amp; $A178, DataRegularSeason20242025!$E$3:$E$1315, L$1)</f>
        <v>65</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60</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50</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52</v>
      </c>
      <c r="AE178" s="2">
        <f>SUMIFS(DataRegularSeason20242025!$AA$3:$AA$1315,DataRegularSeason20242025!$B$3:$B$1315, "&lt;=" &amp; $A178, DataRegularSeason20242025!$D$3:$D$1315, AE$1)+SUMIFS(DataRegularSeason20242025!$AB$3:$AB$1315,DataRegularSeason20242025!$B$3:$B$1315, "&lt;=" &amp; $A178, DataRegularSeason20242025!$E$3:$E$1315, AE$1)</f>
        <v>64</v>
      </c>
      <c r="AF178" s="2">
        <f>SUMIFS(DataRegularSeason20242025!$AA$3:$AA$1315,DataRegularSeason20242025!$B$3:$B$1315, "&lt;=" &amp; $A178, DataRegularSeason20242025!$D$3:$D$1315, AF$1)+SUMIFS(DataRegularSeason20242025!$AB$3:$AB$1315,DataRegularSeason20242025!$B$3:$B$1315, "&lt;=" &amp; $A178, DataRegularSeason20242025!$E$3:$E$1315, AF$1)</f>
        <v>71</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58</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51</v>
      </c>
      <c r="L179" s="2">
        <f>SUMIFS(DataRegularSeason20242025!$AA$3:$AA$1315,DataRegularSeason20242025!$B$3:$B$1315, "&lt;=" &amp; $A179, DataRegularSeason20242025!$D$3:$D$1315, L$1)+SUMIFS(DataRegularSeason20242025!$AB$3:$AB$1315,DataRegularSeason20242025!$B$3:$B$1315, "&lt;=" &amp; $A179, DataRegularSeason20242025!$E$3:$E$1315, L$1)</f>
        <v>65</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60</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50</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52</v>
      </c>
      <c r="AE179" s="2">
        <f>SUMIFS(DataRegularSeason20242025!$AA$3:$AA$1315,DataRegularSeason20242025!$B$3:$B$1315, "&lt;=" &amp; $A179, DataRegularSeason20242025!$D$3:$D$1315, AE$1)+SUMIFS(DataRegularSeason20242025!$AB$3:$AB$1315,DataRegularSeason20242025!$B$3:$B$1315, "&lt;=" &amp; $A179, DataRegularSeason20242025!$E$3:$E$1315, AE$1)</f>
        <v>64</v>
      </c>
      <c r="AF179" s="2">
        <f>SUMIFS(DataRegularSeason20242025!$AA$3:$AA$1315,DataRegularSeason20242025!$B$3:$B$1315, "&lt;=" &amp; $A179, DataRegularSeason20242025!$D$3:$D$1315, AF$1)+SUMIFS(DataRegularSeason20242025!$AB$3:$AB$1315,DataRegularSeason20242025!$B$3:$B$1315, "&lt;=" &amp; $A179, DataRegularSeason20242025!$E$3:$E$1315, AF$1)</f>
        <v>71</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58</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51</v>
      </c>
      <c r="L180" s="2">
        <f>SUMIFS(DataRegularSeason20242025!$AA$3:$AA$1315,DataRegularSeason20242025!$B$3:$B$1315, "&lt;=" &amp; $A180, DataRegularSeason20242025!$D$3:$D$1315, L$1)+SUMIFS(DataRegularSeason20242025!$AB$3:$AB$1315,DataRegularSeason20242025!$B$3:$B$1315, "&lt;=" &amp; $A180, DataRegularSeason20242025!$E$3:$E$1315, L$1)</f>
        <v>65</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60</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50</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52</v>
      </c>
      <c r="AE180" s="2">
        <f>SUMIFS(DataRegularSeason20242025!$AA$3:$AA$1315,DataRegularSeason20242025!$B$3:$B$1315, "&lt;=" &amp; $A180, DataRegularSeason20242025!$D$3:$D$1315, AE$1)+SUMIFS(DataRegularSeason20242025!$AB$3:$AB$1315,DataRegularSeason20242025!$B$3:$B$1315, "&lt;=" &amp; $A180, DataRegularSeason20242025!$E$3:$E$1315, AE$1)</f>
        <v>64</v>
      </c>
      <c r="AF180" s="2">
        <f>SUMIFS(DataRegularSeason20242025!$AA$3:$AA$1315,DataRegularSeason20242025!$B$3:$B$1315, "&lt;=" &amp; $A180, DataRegularSeason20242025!$D$3:$D$1315, AF$1)+SUMIFS(DataRegularSeason20242025!$AB$3:$AB$1315,DataRegularSeason20242025!$B$3:$B$1315, "&lt;=" &amp; $A180, DataRegularSeason20242025!$E$3:$E$1315, AF$1)</f>
        <v>71</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58</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51</v>
      </c>
      <c r="L181" s="2">
        <f>SUMIFS(DataRegularSeason20242025!$AA$3:$AA$1315,DataRegularSeason20242025!$B$3:$B$1315, "&lt;=" &amp; $A181, DataRegularSeason20242025!$D$3:$D$1315, L$1)+SUMIFS(DataRegularSeason20242025!$AB$3:$AB$1315,DataRegularSeason20242025!$B$3:$B$1315, "&lt;=" &amp; $A181, DataRegularSeason20242025!$E$3:$E$1315, L$1)</f>
        <v>65</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60</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50</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52</v>
      </c>
      <c r="AE181" s="2">
        <f>SUMIFS(DataRegularSeason20242025!$AA$3:$AA$1315,DataRegularSeason20242025!$B$3:$B$1315, "&lt;=" &amp; $A181, DataRegularSeason20242025!$D$3:$D$1315, AE$1)+SUMIFS(DataRegularSeason20242025!$AB$3:$AB$1315,DataRegularSeason20242025!$B$3:$B$1315, "&lt;=" &amp; $A181, DataRegularSeason20242025!$E$3:$E$1315, AE$1)</f>
        <v>64</v>
      </c>
      <c r="AF181" s="2">
        <f>SUMIFS(DataRegularSeason20242025!$AA$3:$AA$1315,DataRegularSeason20242025!$B$3:$B$1315, "&lt;=" &amp; $A181, DataRegularSeason20242025!$D$3:$D$1315, AF$1)+SUMIFS(DataRegularSeason20242025!$AB$3:$AB$1315,DataRegularSeason20242025!$B$3:$B$1315, "&lt;=" &amp; $A181, DataRegularSeason20242025!$E$3:$E$1315, AF$1)</f>
        <v>71</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58</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51</v>
      </c>
      <c r="L182" s="2">
        <f>SUMIFS(DataRegularSeason20242025!$AA$3:$AA$1315,DataRegularSeason20242025!$B$3:$B$1315, "&lt;=" &amp; $A182, DataRegularSeason20242025!$D$3:$D$1315, L$1)+SUMIFS(DataRegularSeason20242025!$AB$3:$AB$1315,DataRegularSeason20242025!$B$3:$B$1315, "&lt;=" &amp; $A182, DataRegularSeason20242025!$E$3:$E$1315, L$1)</f>
        <v>65</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60</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50</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52</v>
      </c>
      <c r="AE182" s="2">
        <f>SUMIFS(DataRegularSeason20242025!$AA$3:$AA$1315,DataRegularSeason20242025!$B$3:$B$1315, "&lt;=" &amp; $A182, DataRegularSeason20242025!$D$3:$D$1315, AE$1)+SUMIFS(DataRegularSeason20242025!$AB$3:$AB$1315,DataRegularSeason20242025!$B$3:$B$1315, "&lt;=" &amp; $A182, DataRegularSeason20242025!$E$3:$E$1315, AE$1)</f>
        <v>64</v>
      </c>
      <c r="AF182" s="2">
        <f>SUMIFS(DataRegularSeason20242025!$AA$3:$AA$1315,DataRegularSeason20242025!$B$3:$B$1315, "&lt;=" &amp; $A182, DataRegularSeason20242025!$D$3:$D$1315, AF$1)+SUMIFS(DataRegularSeason20242025!$AB$3:$AB$1315,DataRegularSeason20242025!$B$3:$B$1315, "&lt;=" &amp; $A182, DataRegularSeason20242025!$E$3:$E$1315, AF$1)</f>
        <v>71</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58</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51</v>
      </c>
      <c r="L183" s="2">
        <f>SUMIFS(DataRegularSeason20242025!$AA$3:$AA$1315,DataRegularSeason20242025!$B$3:$B$1315, "&lt;=" &amp; $A183, DataRegularSeason20242025!$D$3:$D$1315, L$1)+SUMIFS(DataRegularSeason20242025!$AB$3:$AB$1315,DataRegularSeason20242025!$B$3:$B$1315, "&lt;=" &amp; $A183, DataRegularSeason20242025!$E$3:$E$1315, L$1)</f>
        <v>65</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60</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50</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52</v>
      </c>
      <c r="AE183" s="2">
        <f>SUMIFS(DataRegularSeason20242025!$AA$3:$AA$1315,DataRegularSeason20242025!$B$3:$B$1315, "&lt;=" &amp; $A183, DataRegularSeason20242025!$D$3:$D$1315, AE$1)+SUMIFS(DataRegularSeason20242025!$AB$3:$AB$1315,DataRegularSeason20242025!$B$3:$B$1315, "&lt;=" &amp; $A183, DataRegularSeason20242025!$E$3:$E$1315, AE$1)</f>
        <v>64</v>
      </c>
      <c r="AF183" s="2">
        <f>SUMIFS(DataRegularSeason20242025!$AA$3:$AA$1315,DataRegularSeason20242025!$B$3:$B$1315, "&lt;=" &amp; $A183, DataRegularSeason20242025!$D$3:$D$1315, AF$1)+SUMIFS(DataRegularSeason20242025!$AB$3:$AB$1315,DataRegularSeason20242025!$B$3:$B$1315, "&lt;=" &amp; $A183, DataRegularSeason20242025!$E$3:$E$1315, AF$1)</f>
        <v>71</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58</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51</v>
      </c>
      <c r="L184" s="2">
        <f>SUMIFS(DataRegularSeason20242025!$AA$3:$AA$1315,DataRegularSeason20242025!$B$3:$B$1315, "&lt;=" &amp; $A184, DataRegularSeason20242025!$D$3:$D$1315, L$1)+SUMIFS(DataRegularSeason20242025!$AB$3:$AB$1315,DataRegularSeason20242025!$B$3:$B$1315, "&lt;=" &amp; $A184, DataRegularSeason20242025!$E$3:$E$1315, L$1)</f>
        <v>65</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60</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50</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52</v>
      </c>
      <c r="AE184" s="2">
        <f>SUMIFS(DataRegularSeason20242025!$AA$3:$AA$1315,DataRegularSeason20242025!$B$3:$B$1315, "&lt;=" &amp; $A184, DataRegularSeason20242025!$D$3:$D$1315, AE$1)+SUMIFS(DataRegularSeason20242025!$AB$3:$AB$1315,DataRegularSeason20242025!$B$3:$B$1315, "&lt;=" &amp; $A184, DataRegularSeason20242025!$E$3:$E$1315, AE$1)</f>
        <v>64</v>
      </c>
      <c r="AF184" s="2">
        <f>SUMIFS(DataRegularSeason20242025!$AA$3:$AA$1315,DataRegularSeason20242025!$B$3:$B$1315, "&lt;=" &amp; $A184, DataRegularSeason20242025!$D$3:$D$1315, AF$1)+SUMIFS(DataRegularSeason20242025!$AB$3:$AB$1315,DataRegularSeason20242025!$B$3:$B$1315, "&lt;=" &amp; $A184, DataRegularSeason20242025!$E$3:$E$1315, AF$1)</f>
        <v>71</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58</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51</v>
      </c>
      <c r="L185" s="2">
        <f>SUMIFS(DataRegularSeason20242025!$AA$3:$AA$1315,DataRegularSeason20242025!$B$3:$B$1315, "&lt;=" &amp; $A185, DataRegularSeason20242025!$D$3:$D$1315, L$1)+SUMIFS(DataRegularSeason20242025!$AB$3:$AB$1315,DataRegularSeason20242025!$B$3:$B$1315, "&lt;=" &amp; $A185, DataRegularSeason20242025!$E$3:$E$1315, L$1)</f>
        <v>65</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60</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50</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52</v>
      </c>
      <c r="AE185" s="2">
        <f>SUMIFS(DataRegularSeason20242025!$AA$3:$AA$1315,DataRegularSeason20242025!$B$3:$B$1315, "&lt;=" &amp; $A185, DataRegularSeason20242025!$D$3:$D$1315, AE$1)+SUMIFS(DataRegularSeason20242025!$AB$3:$AB$1315,DataRegularSeason20242025!$B$3:$B$1315, "&lt;=" &amp; $A185, DataRegularSeason20242025!$E$3:$E$1315, AE$1)</f>
        <v>64</v>
      </c>
      <c r="AF185" s="2">
        <f>SUMIFS(DataRegularSeason20242025!$AA$3:$AA$1315,DataRegularSeason20242025!$B$3:$B$1315, "&lt;=" &amp; $A185, DataRegularSeason20242025!$D$3:$D$1315, AF$1)+SUMIFS(DataRegularSeason20242025!$AB$3:$AB$1315,DataRegularSeason20242025!$B$3:$B$1315, "&lt;=" &amp; $A185, DataRegularSeason20242025!$E$3:$E$1315, AF$1)</f>
        <v>71</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58</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51</v>
      </c>
      <c r="L186" s="2">
        <f>SUMIFS(DataRegularSeason20242025!$AA$3:$AA$1315,DataRegularSeason20242025!$B$3:$B$1315, "&lt;=" &amp; $A186, DataRegularSeason20242025!$D$3:$D$1315, L$1)+SUMIFS(DataRegularSeason20242025!$AB$3:$AB$1315,DataRegularSeason20242025!$B$3:$B$1315, "&lt;=" &amp; $A186, DataRegularSeason20242025!$E$3:$E$1315, L$1)</f>
        <v>65</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60</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50</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52</v>
      </c>
      <c r="AE186" s="2">
        <f>SUMIFS(DataRegularSeason20242025!$AA$3:$AA$1315,DataRegularSeason20242025!$B$3:$B$1315, "&lt;=" &amp; $A186, DataRegularSeason20242025!$D$3:$D$1315, AE$1)+SUMIFS(DataRegularSeason20242025!$AB$3:$AB$1315,DataRegularSeason20242025!$B$3:$B$1315, "&lt;=" &amp; $A186, DataRegularSeason20242025!$E$3:$E$1315, AE$1)</f>
        <v>64</v>
      </c>
      <c r="AF186" s="2">
        <f>SUMIFS(DataRegularSeason20242025!$AA$3:$AA$1315,DataRegularSeason20242025!$B$3:$B$1315, "&lt;=" &amp; $A186, DataRegularSeason20242025!$D$3:$D$1315, AF$1)+SUMIFS(DataRegularSeason20242025!$AB$3:$AB$1315,DataRegularSeason20242025!$B$3:$B$1315, "&lt;=" &amp; $A186, DataRegularSeason20242025!$E$3:$E$1315, AF$1)</f>
        <v>71</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58</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51</v>
      </c>
      <c r="L187" s="2">
        <f>SUMIFS(DataRegularSeason20242025!$AA$3:$AA$1315,DataRegularSeason20242025!$B$3:$B$1315, "&lt;=" &amp; $A187, DataRegularSeason20242025!$D$3:$D$1315, L$1)+SUMIFS(DataRegularSeason20242025!$AB$3:$AB$1315,DataRegularSeason20242025!$B$3:$B$1315, "&lt;=" &amp; $A187, DataRegularSeason20242025!$E$3:$E$1315, L$1)</f>
        <v>65</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60</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50</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52</v>
      </c>
      <c r="AE187" s="2">
        <f>SUMIFS(DataRegularSeason20242025!$AA$3:$AA$1315,DataRegularSeason20242025!$B$3:$B$1315, "&lt;=" &amp; $A187, DataRegularSeason20242025!$D$3:$D$1315, AE$1)+SUMIFS(DataRegularSeason20242025!$AB$3:$AB$1315,DataRegularSeason20242025!$B$3:$B$1315, "&lt;=" &amp; $A187, DataRegularSeason20242025!$E$3:$E$1315, AE$1)</f>
        <v>64</v>
      </c>
      <c r="AF187" s="2">
        <f>SUMIFS(DataRegularSeason20242025!$AA$3:$AA$1315,DataRegularSeason20242025!$B$3:$B$1315, "&lt;=" &amp; $A187, DataRegularSeason20242025!$D$3:$D$1315, AF$1)+SUMIFS(DataRegularSeason20242025!$AB$3:$AB$1315,DataRegularSeason20242025!$B$3:$B$1315, "&lt;=" &amp; $A187, DataRegularSeason20242025!$E$3:$E$1315, AF$1)</f>
        <v>71</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58</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51</v>
      </c>
      <c r="L188" s="2">
        <f>SUMIFS(DataRegularSeason20242025!$AA$3:$AA$1315,DataRegularSeason20242025!$B$3:$B$1315, "&lt;=" &amp; $A188, DataRegularSeason20242025!$D$3:$D$1315, L$1)+SUMIFS(DataRegularSeason20242025!$AB$3:$AB$1315,DataRegularSeason20242025!$B$3:$B$1315, "&lt;=" &amp; $A188, DataRegularSeason20242025!$E$3:$E$1315, L$1)</f>
        <v>65</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60</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50</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52</v>
      </c>
      <c r="AE188" s="2">
        <f>SUMIFS(DataRegularSeason20242025!$AA$3:$AA$1315,DataRegularSeason20242025!$B$3:$B$1315, "&lt;=" &amp; $A188, DataRegularSeason20242025!$D$3:$D$1315, AE$1)+SUMIFS(DataRegularSeason20242025!$AB$3:$AB$1315,DataRegularSeason20242025!$B$3:$B$1315, "&lt;=" &amp; $A188, DataRegularSeason20242025!$E$3:$E$1315, AE$1)</f>
        <v>64</v>
      </c>
      <c r="AF188" s="2">
        <f>SUMIFS(DataRegularSeason20242025!$AA$3:$AA$1315,DataRegularSeason20242025!$B$3:$B$1315, "&lt;=" &amp; $A188, DataRegularSeason20242025!$D$3:$D$1315, AF$1)+SUMIFS(DataRegularSeason20242025!$AB$3:$AB$1315,DataRegularSeason20242025!$B$3:$B$1315, "&lt;=" &amp; $A188, DataRegularSeason20242025!$E$3:$E$1315, AF$1)</f>
        <v>71</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58</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51</v>
      </c>
      <c r="L189" s="2">
        <f>SUMIFS(DataRegularSeason20242025!$AA$3:$AA$1315,DataRegularSeason20242025!$B$3:$B$1315, "&lt;=" &amp; $A189, DataRegularSeason20242025!$D$3:$D$1315, L$1)+SUMIFS(DataRegularSeason20242025!$AB$3:$AB$1315,DataRegularSeason20242025!$B$3:$B$1315, "&lt;=" &amp; $A189, DataRegularSeason20242025!$E$3:$E$1315, L$1)</f>
        <v>65</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60</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50</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52</v>
      </c>
      <c r="AE189" s="2">
        <f>SUMIFS(DataRegularSeason20242025!$AA$3:$AA$1315,DataRegularSeason20242025!$B$3:$B$1315, "&lt;=" &amp; $A189, DataRegularSeason20242025!$D$3:$D$1315, AE$1)+SUMIFS(DataRegularSeason20242025!$AB$3:$AB$1315,DataRegularSeason20242025!$B$3:$B$1315, "&lt;=" &amp; $A189, DataRegularSeason20242025!$E$3:$E$1315, AE$1)</f>
        <v>64</v>
      </c>
      <c r="AF189" s="2">
        <f>SUMIFS(DataRegularSeason20242025!$AA$3:$AA$1315,DataRegularSeason20242025!$B$3:$B$1315, "&lt;=" &amp; $A189, DataRegularSeason20242025!$D$3:$D$1315, AF$1)+SUMIFS(DataRegularSeason20242025!$AB$3:$AB$1315,DataRegularSeason20242025!$B$3:$B$1315, "&lt;=" &amp; $A189, DataRegularSeason20242025!$E$3:$E$1315, AF$1)</f>
        <v>71</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58</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51</v>
      </c>
      <c r="L190" s="2">
        <f>SUMIFS(DataRegularSeason20242025!$AA$3:$AA$1315,DataRegularSeason20242025!$B$3:$B$1315, "&lt;=" &amp; $A190, DataRegularSeason20242025!$D$3:$D$1315, L$1)+SUMIFS(DataRegularSeason20242025!$AB$3:$AB$1315,DataRegularSeason20242025!$B$3:$B$1315, "&lt;=" &amp; $A190, DataRegularSeason20242025!$E$3:$E$1315, L$1)</f>
        <v>65</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60</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50</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52</v>
      </c>
      <c r="AE190" s="2">
        <f>SUMIFS(DataRegularSeason20242025!$AA$3:$AA$1315,DataRegularSeason20242025!$B$3:$B$1315, "&lt;=" &amp; $A190, DataRegularSeason20242025!$D$3:$D$1315, AE$1)+SUMIFS(DataRegularSeason20242025!$AB$3:$AB$1315,DataRegularSeason20242025!$B$3:$B$1315, "&lt;=" &amp; $A190, DataRegularSeason20242025!$E$3:$E$1315, AE$1)</f>
        <v>64</v>
      </c>
      <c r="AF190" s="2">
        <f>SUMIFS(DataRegularSeason20242025!$AA$3:$AA$1315,DataRegularSeason20242025!$B$3:$B$1315, "&lt;=" &amp; $A190, DataRegularSeason20242025!$D$3:$D$1315, AF$1)+SUMIFS(DataRegularSeason20242025!$AB$3:$AB$1315,DataRegularSeason20242025!$B$3:$B$1315, "&lt;=" &amp; $A190, DataRegularSeason20242025!$E$3:$E$1315, AF$1)</f>
        <v>71</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58</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51</v>
      </c>
      <c r="L191" s="2">
        <f>SUMIFS(DataRegularSeason20242025!$AA$3:$AA$1315,DataRegularSeason20242025!$B$3:$B$1315, "&lt;=" &amp; $A191, DataRegularSeason20242025!$D$3:$D$1315, L$1)+SUMIFS(DataRegularSeason20242025!$AB$3:$AB$1315,DataRegularSeason20242025!$B$3:$B$1315, "&lt;=" &amp; $A191, DataRegularSeason20242025!$E$3:$E$1315, L$1)</f>
        <v>65</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60</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50</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52</v>
      </c>
      <c r="AE191" s="2">
        <f>SUMIFS(DataRegularSeason20242025!$AA$3:$AA$1315,DataRegularSeason20242025!$B$3:$B$1315, "&lt;=" &amp; $A191, DataRegularSeason20242025!$D$3:$D$1315, AE$1)+SUMIFS(DataRegularSeason20242025!$AB$3:$AB$1315,DataRegularSeason20242025!$B$3:$B$1315, "&lt;=" &amp; $A191, DataRegularSeason20242025!$E$3:$E$1315, AE$1)</f>
        <v>64</v>
      </c>
      <c r="AF191" s="2">
        <f>SUMIFS(DataRegularSeason20242025!$AA$3:$AA$1315,DataRegularSeason20242025!$B$3:$B$1315, "&lt;=" &amp; $A191, DataRegularSeason20242025!$D$3:$D$1315, AF$1)+SUMIFS(DataRegularSeason20242025!$AB$3:$AB$1315,DataRegularSeason20242025!$B$3:$B$1315, "&lt;=" &amp; $A191, DataRegularSeason20242025!$E$3:$E$1315, AF$1)</f>
        <v>71</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58</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51</v>
      </c>
      <c r="L192" s="2">
        <f>SUMIFS(DataRegularSeason20242025!$AA$3:$AA$1315,DataRegularSeason20242025!$B$3:$B$1315, "&lt;=" &amp; $A192, DataRegularSeason20242025!$D$3:$D$1315, L$1)+SUMIFS(DataRegularSeason20242025!$AB$3:$AB$1315,DataRegularSeason20242025!$B$3:$B$1315, "&lt;=" &amp; $A192, DataRegularSeason20242025!$E$3:$E$1315, L$1)</f>
        <v>65</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60</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50</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52</v>
      </c>
      <c r="AE192" s="2">
        <f>SUMIFS(DataRegularSeason20242025!$AA$3:$AA$1315,DataRegularSeason20242025!$B$3:$B$1315, "&lt;=" &amp; $A192, DataRegularSeason20242025!$D$3:$D$1315, AE$1)+SUMIFS(DataRegularSeason20242025!$AB$3:$AB$1315,DataRegularSeason20242025!$B$3:$B$1315, "&lt;=" &amp; $A192, DataRegularSeason20242025!$E$3:$E$1315, AE$1)</f>
        <v>64</v>
      </c>
      <c r="AF192" s="2">
        <f>SUMIFS(DataRegularSeason20242025!$AA$3:$AA$1315,DataRegularSeason20242025!$B$3:$B$1315, "&lt;=" &amp; $A192, DataRegularSeason20242025!$D$3:$D$1315, AF$1)+SUMIFS(DataRegularSeason20242025!$AB$3:$AB$1315,DataRegularSeason20242025!$B$3:$B$1315, "&lt;=" &amp; $A192, DataRegularSeason20242025!$E$3:$E$1315, AF$1)</f>
        <v>71</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58</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51</v>
      </c>
      <c r="L193" s="2">
        <f>SUMIFS(DataRegularSeason20242025!$AA$3:$AA$1315,DataRegularSeason20242025!$B$3:$B$1315, "&lt;=" &amp; $A193, DataRegularSeason20242025!$D$3:$D$1315, L$1)+SUMIFS(DataRegularSeason20242025!$AB$3:$AB$1315,DataRegularSeason20242025!$B$3:$B$1315, "&lt;=" &amp; $A193, DataRegularSeason20242025!$E$3:$E$1315, L$1)</f>
        <v>65</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60</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50</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52</v>
      </c>
      <c r="AE193" s="2">
        <f>SUMIFS(DataRegularSeason20242025!$AA$3:$AA$1315,DataRegularSeason20242025!$B$3:$B$1315, "&lt;=" &amp; $A193, DataRegularSeason20242025!$D$3:$D$1315, AE$1)+SUMIFS(DataRegularSeason20242025!$AB$3:$AB$1315,DataRegularSeason20242025!$B$3:$B$1315, "&lt;=" &amp; $A193, DataRegularSeason20242025!$E$3:$E$1315, AE$1)</f>
        <v>64</v>
      </c>
      <c r="AF193" s="2">
        <f>SUMIFS(DataRegularSeason20242025!$AA$3:$AA$1315,DataRegularSeason20242025!$B$3:$B$1315, "&lt;=" &amp; $A193, DataRegularSeason20242025!$D$3:$D$1315, AF$1)+SUMIFS(DataRegularSeason20242025!$AB$3:$AB$1315,DataRegularSeason20242025!$B$3:$B$1315, "&lt;=" &amp; $A193, DataRegularSeason20242025!$E$3:$E$1315, AF$1)</f>
        <v>71</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58</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51</v>
      </c>
      <c r="L194" s="2">
        <f>SUMIFS(DataRegularSeason20242025!$AA$3:$AA$1315,DataRegularSeason20242025!$B$3:$B$1315, "&lt;=" &amp; $A194, DataRegularSeason20242025!$D$3:$D$1315, L$1)+SUMIFS(DataRegularSeason20242025!$AB$3:$AB$1315,DataRegularSeason20242025!$B$3:$B$1315, "&lt;=" &amp; $A194, DataRegularSeason20242025!$E$3:$E$1315, L$1)</f>
        <v>65</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60</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50</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52</v>
      </c>
      <c r="AE194" s="2">
        <f>SUMIFS(DataRegularSeason20242025!$AA$3:$AA$1315,DataRegularSeason20242025!$B$3:$B$1315, "&lt;=" &amp; $A194, DataRegularSeason20242025!$D$3:$D$1315, AE$1)+SUMIFS(DataRegularSeason20242025!$AB$3:$AB$1315,DataRegularSeason20242025!$B$3:$B$1315, "&lt;=" &amp; $A194, DataRegularSeason20242025!$E$3:$E$1315, AE$1)</f>
        <v>64</v>
      </c>
      <c r="AF194" s="2">
        <f>SUMIFS(DataRegularSeason20242025!$AA$3:$AA$1315,DataRegularSeason20242025!$B$3:$B$1315, "&lt;=" &amp; $A194, DataRegularSeason20242025!$D$3:$D$1315, AF$1)+SUMIFS(DataRegularSeason20242025!$AB$3:$AB$1315,DataRegularSeason20242025!$B$3:$B$1315, "&lt;=" &amp; $A194, DataRegularSeason20242025!$E$3:$E$1315, AF$1)</f>
        <v>71</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58</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51</v>
      </c>
      <c r="L195" s="2">
        <f>SUMIFS(DataRegularSeason20242025!$AA$3:$AA$1315,DataRegularSeason20242025!$B$3:$B$1315, "&lt;=" &amp; $A195, DataRegularSeason20242025!$D$3:$D$1315, L$1)+SUMIFS(DataRegularSeason20242025!$AB$3:$AB$1315,DataRegularSeason20242025!$B$3:$B$1315, "&lt;=" &amp; $A195, DataRegularSeason20242025!$E$3:$E$1315, L$1)</f>
        <v>65</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60</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50</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52</v>
      </c>
      <c r="AE195" s="2">
        <f>SUMIFS(DataRegularSeason20242025!$AA$3:$AA$1315,DataRegularSeason20242025!$B$3:$B$1315, "&lt;=" &amp; $A195, DataRegularSeason20242025!$D$3:$D$1315, AE$1)+SUMIFS(DataRegularSeason20242025!$AB$3:$AB$1315,DataRegularSeason20242025!$B$3:$B$1315, "&lt;=" &amp; $A195, DataRegularSeason20242025!$E$3:$E$1315, AE$1)</f>
        <v>64</v>
      </c>
      <c r="AF195" s="2">
        <f>SUMIFS(DataRegularSeason20242025!$AA$3:$AA$1315,DataRegularSeason20242025!$B$3:$B$1315, "&lt;=" &amp; $A195, DataRegularSeason20242025!$D$3:$D$1315, AF$1)+SUMIFS(DataRegularSeason20242025!$AB$3:$AB$1315,DataRegularSeason20242025!$B$3:$B$1315, "&lt;=" &amp; $A195, DataRegularSeason20242025!$E$3:$E$1315, AF$1)</f>
        <v>71</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58</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51</v>
      </c>
      <c r="L196" s="2">
        <f>SUMIFS(DataRegularSeason20242025!$AA$3:$AA$1315,DataRegularSeason20242025!$B$3:$B$1315, "&lt;=" &amp; $A196, DataRegularSeason20242025!$D$3:$D$1315, L$1)+SUMIFS(DataRegularSeason20242025!$AB$3:$AB$1315,DataRegularSeason20242025!$B$3:$B$1315, "&lt;=" &amp; $A196, DataRegularSeason20242025!$E$3:$E$1315, L$1)</f>
        <v>65</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60</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50</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52</v>
      </c>
      <c r="AE196" s="2">
        <f>SUMIFS(DataRegularSeason20242025!$AA$3:$AA$1315,DataRegularSeason20242025!$B$3:$B$1315, "&lt;=" &amp; $A196, DataRegularSeason20242025!$D$3:$D$1315, AE$1)+SUMIFS(DataRegularSeason20242025!$AB$3:$AB$1315,DataRegularSeason20242025!$B$3:$B$1315, "&lt;=" &amp; $A196, DataRegularSeason20242025!$E$3:$E$1315, AE$1)</f>
        <v>64</v>
      </c>
      <c r="AF196" s="2">
        <f>SUMIFS(DataRegularSeason20242025!$AA$3:$AA$1315,DataRegularSeason20242025!$B$3:$B$1315, "&lt;=" &amp; $A196, DataRegularSeason20242025!$D$3:$D$1315, AF$1)+SUMIFS(DataRegularSeason20242025!$AB$3:$AB$1315,DataRegularSeason20242025!$B$3:$B$1315, "&lt;=" &amp; $A196, DataRegularSeason20242025!$E$3:$E$1315, AF$1)</f>
        <v>71</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58</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51</v>
      </c>
      <c r="L197" s="2">
        <f>SUMIFS(DataRegularSeason20242025!$AA$3:$AA$1315,DataRegularSeason20242025!$B$3:$B$1315, "&lt;=" &amp; $A197, DataRegularSeason20242025!$D$3:$D$1315, L$1)+SUMIFS(DataRegularSeason20242025!$AB$3:$AB$1315,DataRegularSeason20242025!$B$3:$B$1315, "&lt;=" &amp; $A197, DataRegularSeason20242025!$E$3:$E$1315, L$1)</f>
        <v>65</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60</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50</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52</v>
      </c>
      <c r="AE197" s="2">
        <f>SUMIFS(DataRegularSeason20242025!$AA$3:$AA$1315,DataRegularSeason20242025!$B$3:$B$1315, "&lt;=" &amp; $A197, DataRegularSeason20242025!$D$3:$D$1315, AE$1)+SUMIFS(DataRegularSeason20242025!$AB$3:$AB$1315,DataRegularSeason20242025!$B$3:$B$1315, "&lt;=" &amp; $A197, DataRegularSeason20242025!$E$3:$E$1315, AE$1)</f>
        <v>64</v>
      </c>
      <c r="AF197" s="2">
        <f>SUMIFS(DataRegularSeason20242025!$AA$3:$AA$1315,DataRegularSeason20242025!$B$3:$B$1315, "&lt;=" &amp; $A197, DataRegularSeason20242025!$D$3:$D$1315, AF$1)+SUMIFS(DataRegularSeason20242025!$AB$3:$AB$1315,DataRegularSeason20242025!$B$3:$B$1315, "&lt;=" &amp; $A197, DataRegularSeason20242025!$E$3:$E$1315, AF$1)</f>
        <v>71</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58</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51</v>
      </c>
      <c r="L198" s="2">
        <f>SUMIFS(DataRegularSeason20242025!$AA$3:$AA$1315,DataRegularSeason20242025!$B$3:$B$1315, "&lt;=" &amp; $A198, DataRegularSeason20242025!$D$3:$D$1315, L$1)+SUMIFS(DataRegularSeason20242025!$AB$3:$AB$1315,DataRegularSeason20242025!$B$3:$B$1315, "&lt;=" &amp; $A198, DataRegularSeason20242025!$E$3:$E$1315, L$1)</f>
        <v>65</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60</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50</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52</v>
      </c>
      <c r="AE198" s="2">
        <f>SUMIFS(DataRegularSeason20242025!$AA$3:$AA$1315,DataRegularSeason20242025!$B$3:$B$1315, "&lt;=" &amp; $A198, DataRegularSeason20242025!$D$3:$D$1315, AE$1)+SUMIFS(DataRegularSeason20242025!$AB$3:$AB$1315,DataRegularSeason20242025!$B$3:$B$1315, "&lt;=" &amp; $A198, DataRegularSeason20242025!$E$3:$E$1315, AE$1)</f>
        <v>64</v>
      </c>
      <c r="AF198" s="2">
        <f>SUMIFS(DataRegularSeason20242025!$AA$3:$AA$1315,DataRegularSeason20242025!$B$3:$B$1315, "&lt;=" &amp; $A198, DataRegularSeason20242025!$D$3:$D$1315, AF$1)+SUMIFS(DataRegularSeason20242025!$AB$3:$AB$1315,DataRegularSeason20242025!$B$3:$B$1315, "&lt;=" &amp; $A198, DataRegularSeason20242025!$E$3:$E$1315, AF$1)</f>
        <v>71</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58</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51</v>
      </c>
      <c r="L199" s="2">
        <f>SUMIFS(DataRegularSeason20242025!$AA$3:$AA$1315,DataRegularSeason20242025!$B$3:$B$1315, "&lt;=" &amp; $A199, DataRegularSeason20242025!$D$3:$D$1315, L$1)+SUMIFS(DataRegularSeason20242025!$AB$3:$AB$1315,DataRegularSeason20242025!$B$3:$B$1315, "&lt;=" &amp; $A199, DataRegularSeason20242025!$E$3:$E$1315, L$1)</f>
        <v>65</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60</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50</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52</v>
      </c>
      <c r="AE199" s="2">
        <f>SUMIFS(DataRegularSeason20242025!$AA$3:$AA$1315,DataRegularSeason20242025!$B$3:$B$1315, "&lt;=" &amp; $A199, DataRegularSeason20242025!$D$3:$D$1315, AE$1)+SUMIFS(DataRegularSeason20242025!$AB$3:$AB$1315,DataRegularSeason20242025!$B$3:$B$1315, "&lt;=" &amp; $A199, DataRegularSeason20242025!$E$3:$E$1315, AE$1)</f>
        <v>64</v>
      </c>
      <c r="AF199" s="2">
        <f>SUMIFS(DataRegularSeason20242025!$AA$3:$AA$1315,DataRegularSeason20242025!$B$3:$B$1315, "&lt;=" &amp; $A199, DataRegularSeason20242025!$D$3:$D$1315, AF$1)+SUMIFS(DataRegularSeason20242025!$AB$3:$AB$1315,DataRegularSeason20242025!$B$3:$B$1315, "&lt;=" &amp; $A199, DataRegularSeason20242025!$E$3:$E$1315, AF$1)</f>
        <v>71</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58</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51</v>
      </c>
      <c r="L200" s="2">
        <f>SUMIFS(DataRegularSeason20242025!$AA$3:$AA$1315,DataRegularSeason20242025!$B$3:$B$1315, "&lt;=" &amp; $A200, DataRegularSeason20242025!$D$3:$D$1315, L$1)+SUMIFS(DataRegularSeason20242025!$AB$3:$AB$1315,DataRegularSeason20242025!$B$3:$B$1315, "&lt;=" &amp; $A200, DataRegularSeason20242025!$E$3:$E$1315, L$1)</f>
        <v>65</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60</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50</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52</v>
      </c>
      <c r="AE200" s="2">
        <f>SUMIFS(DataRegularSeason20242025!$AA$3:$AA$1315,DataRegularSeason20242025!$B$3:$B$1315, "&lt;=" &amp; $A200, DataRegularSeason20242025!$D$3:$D$1315, AE$1)+SUMIFS(DataRegularSeason20242025!$AB$3:$AB$1315,DataRegularSeason20242025!$B$3:$B$1315, "&lt;=" &amp; $A200, DataRegularSeason20242025!$E$3:$E$1315, AE$1)</f>
        <v>64</v>
      </c>
      <c r="AF200" s="2">
        <f>SUMIFS(DataRegularSeason20242025!$AA$3:$AA$1315,DataRegularSeason20242025!$B$3:$B$1315, "&lt;=" &amp; $A200, DataRegularSeason20242025!$D$3:$D$1315, AF$1)+SUMIFS(DataRegularSeason20242025!$AB$3:$AB$1315,DataRegularSeason20242025!$B$3:$B$1315, "&lt;=" &amp; $A200, DataRegularSeason20242025!$E$3:$E$1315, AF$1)</f>
        <v>71</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58</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51</v>
      </c>
      <c r="L201" s="2">
        <f>SUMIFS(DataRegularSeason20242025!$AA$3:$AA$1315,DataRegularSeason20242025!$B$3:$B$1315, "&lt;=" &amp; $A201, DataRegularSeason20242025!$D$3:$D$1315, L$1)+SUMIFS(DataRegularSeason20242025!$AB$3:$AB$1315,DataRegularSeason20242025!$B$3:$B$1315, "&lt;=" &amp; $A201, DataRegularSeason20242025!$E$3:$E$1315, L$1)</f>
        <v>65</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60</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50</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52</v>
      </c>
      <c r="AE201" s="2">
        <f>SUMIFS(DataRegularSeason20242025!$AA$3:$AA$1315,DataRegularSeason20242025!$B$3:$B$1315, "&lt;=" &amp; $A201, DataRegularSeason20242025!$D$3:$D$1315, AE$1)+SUMIFS(DataRegularSeason20242025!$AB$3:$AB$1315,DataRegularSeason20242025!$B$3:$B$1315, "&lt;=" &amp; $A201, DataRegularSeason20242025!$E$3:$E$1315, AE$1)</f>
        <v>64</v>
      </c>
      <c r="AF201" s="2">
        <f>SUMIFS(DataRegularSeason20242025!$AA$3:$AA$1315,DataRegularSeason20242025!$B$3:$B$1315, "&lt;=" &amp; $A201, DataRegularSeason20242025!$D$3:$D$1315, AF$1)+SUMIFS(DataRegularSeason20242025!$AB$3:$AB$1315,DataRegularSeason20242025!$B$3:$B$1315, "&lt;=" &amp; $A201, DataRegularSeason20242025!$E$3:$E$1315, AF$1)</f>
        <v>71</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34"/>
  <sheetViews>
    <sheetView workbookViewId="0">
      <pane xSplit="1" topLeftCell="BE1" activePane="topRight" state="frozen"/>
      <selection pane="topRight" activeCell="DO2" sqref="DO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55</v>
      </c>
      <c r="DV5">
        <f>SUMIFS(DataRegularSeason20242025!$AA$3:$AA$1315,DataRegularSeason20242025!$B$3:$B$1315, "&lt;=" &amp; DV$1, DataRegularSeason20242025!$D$3:$D$1315, $A5)+SUMIFS(DataRegularSeason20242025!$AB$3:$AB$1315,DataRegularSeason20242025!$B$3:$B$1315, "&lt;=" &amp; DV$1, DataRegularSeason20242025!$E$3:$E$1315, $A5)</f>
        <v>55</v>
      </c>
      <c r="DW5">
        <f>SUMIFS(DataRegularSeason20242025!$AA$3:$AA$1315,DataRegularSeason20242025!$B$3:$B$1315, "&lt;=" &amp; DW$1, DataRegularSeason20242025!$D$3:$D$1315, $A5)+SUMIFS(DataRegularSeason20242025!$AB$3:$AB$1315,DataRegularSeason20242025!$B$3:$B$1315, "&lt;=" &amp; DW$1, DataRegularSeason20242025!$E$3:$E$1315, $A5)</f>
        <v>55</v>
      </c>
      <c r="DX5">
        <f>SUMIFS(DataRegularSeason20242025!$AA$3:$AA$1315,DataRegularSeason20242025!$B$3:$B$1315, "&lt;=" &amp; DX$1, DataRegularSeason20242025!$D$3:$D$1315, $A5)+SUMIFS(DataRegularSeason20242025!$AB$3:$AB$1315,DataRegularSeason20242025!$B$3:$B$1315, "&lt;=" &amp; DX$1, DataRegularSeason20242025!$E$3:$E$1315, $A5)</f>
        <v>55</v>
      </c>
      <c r="DY5">
        <f>SUMIFS(DataRegularSeason20242025!$AA$3:$AA$1315,DataRegularSeason20242025!$B$3:$B$1315, "&lt;=" &amp; DY$1, DataRegularSeason20242025!$D$3:$D$1315, $A5)+SUMIFS(DataRegularSeason20242025!$AB$3:$AB$1315,DataRegularSeason20242025!$B$3:$B$1315, "&lt;=" &amp; DY$1, DataRegularSeason20242025!$E$3:$E$1315, $A5)</f>
        <v>55</v>
      </c>
      <c r="DZ5">
        <f>SUMIFS(DataRegularSeason20242025!$AA$3:$AA$1315,DataRegularSeason20242025!$B$3:$B$1315, "&lt;=" &amp; DZ$1, DataRegularSeason20242025!$D$3:$D$1315, $A5)+SUMIFS(DataRegularSeason20242025!$AB$3:$AB$1315,DataRegularSeason20242025!$B$3:$B$1315, "&lt;=" &amp; DZ$1, DataRegularSeason20242025!$E$3:$E$1315, $A5)</f>
        <v>55</v>
      </c>
      <c r="EA5">
        <f>SUMIFS(DataRegularSeason20242025!$AA$3:$AA$1315,DataRegularSeason20242025!$B$3:$B$1315, "&lt;=" &amp; EA$1, DataRegularSeason20242025!$D$3:$D$1315, $A5)+SUMIFS(DataRegularSeason20242025!$AB$3:$AB$1315,DataRegularSeason20242025!$B$3:$B$1315, "&lt;=" &amp; EA$1, DataRegularSeason20242025!$E$3:$E$1315, $A5)</f>
        <v>55</v>
      </c>
      <c r="EB5">
        <f>SUMIFS(DataRegularSeason20242025!$AA$3:$AA$1315,DataRegularSeason20242025!$B$3:$B$1315, "&lt;=" &amp; EB$1, DataRegularSeason20242025!$D$3:$D$1315, $A5)+SUMIFS(DataRegularSeason20242025!$AB$3:$AB$1315,DataRegularSeason20242025!$B$3:$B$1315, "&lt;=" &amp; EB$1, DataRegularSeason20242025!$E$3:$E$1315, $A5)</f>
        <v>55</v>
      </c>
      <c r="EC5">
        <f>SUMIFS(DataRegularSeason20242025!$AA$3:$AA$1315,DataRegularSeason20242025!$B$3:$B$1315, "&lt;=" &amp; EC$1, DataRegularSeason20242025!$D$3:$D$1315, $A5)+SUMIFS(DataRegularSeason20242025!$AB$3:$AB$1315,DataRegularSeason20242025!$B$3:$B$1315, "&lt;=" &amp; EC$1, DataRegularSeason20242025!$E$3:$E$1315, $A5)</f>
        <v>55</v>
      </c>
      <c r="ED5">
        <f>SUMIFS(DataRegularSeason20242025!$AA$3:$AA$1315,DataRegularSeason20242025!$B$3:$B$1315, "&lt;=" &amp; ED$1, DataRegularSeason20242025!$D$3:$D$1315, $A5)+SUMIFS(DataRegularSeason20242025!$AB$3:$AB$1315,DataRegularSeason20242025!$B$3:$B$1315, "&lt;=" &amp; ED$1, DataRegularSeason20242025!$E$3:$E$1315, $A5)</f>
        <v>55</v>
      </c>
      <c r="EE5">
        <f>SUMIFS(DataRegularSeason20242025!$AA$3:$AA$1315,DataRegularSeason20242025!$B$3:$B$1315, "&lt;=" &amp; EE$1, DataRegularSeason20242025!$D$3:$D$1315, $A5)+SUMIFS(DataRegularSeason20242025!$AB$3:$AB$1315,DataRegularSeason20242025!$B$3:$B$1315, "&lt;=" &amp; EE$1, DataRegularSeason20242025!$E$3:$E$1315, $A5)</f>
        <v>55</v>
      </c>
      <c r="EF5">
        <f>SUMIFS(DataRegularSeason20242025!$AA$3:$AA$1315,DataRegularSeason20242025!$B$3:$B$1315, "&lt;=" &amp; EF$1, DataRegularSeason20242025!$D$3:$D$1315, $A5)+SUMIFS(DataRegularSeason20242025!$AB$3:$AB$1315,DataRegularSeason20242025!$B$3:$B$1315, "&lt;=" &amp; EF$1, DataRegularSeason20242025!$E$3:$E$1315, $A5)</f>
        <v>55</v>
      </c>
      <c r="EG5">
        <f>SUMIFS(DataRegularSeason20242025!$AA$3:$AA$1315,DataRegularSeason20242025!$B$3:$B$1315, "&lt;=" &amp; EG$1, DataRegularSeason20242025!$D$3:$D$1315, $A5)+SUMIFS(DataRegularSeason20242025!$AB$3:$AB$1315,DataRegularSeason20242025!$B$3:$B$1315, "&lt;=" &amp; EG$1, DataRegularSeason20242025!$E$3:$E$1315, $A5)</f>
        <v>55</v>
      </c>
      <c r="EH5">
        <f>SUMIFS(DataRegularSeason20242025!$AA$3:$AA$1315,DataRegularSeason20242025!$B$3:$B$1315, "&lt;=" &amp; EH$1, DataRegularSeason20242025!$D$3:$D$1315, $A5)+SUMIFS(DataRegularSeason20242025!$AB$3:$AB$1315,DataRegularSeason20242025!$B$3:$B$1315, "&lt;=" &amp; EH$1, DataRegularSeason20242025!$E$3:$E$1315, $A5)</f>
        <v>55</v>
      </c>
      <c r="EI5">
        <f>SUMIFS(DataRegularSeason20242025!$AA$3:$AA$1315,DataRegularSeason20242025!$B$3:$B$1315, "&lt;=" &amp; EI$1, DataRegularSeason20242025!$D$3:$D$1315, $A5)+SUMIFS(DataRegularSeason20242025!$AB$3:$AB$1315,DataRegularSeason20242025!$B$3:$B$1315, "&lt;=" &amp; EI$1, DataRegularSeason20242025!$E$3:$E$1315, $A5)</f>
        <v>55</v>
      </c>
      <c r="EJ5">
        <f>SUMIFS(DataRegularSeason20242025!$AA$3:$AA$1315,DataRegularSeason20242025!$B$3:$B$1315, "&lt;=" &amp; EJ$1, DataRegularSeason20242025!$D$3:$D$1315, $A5)+SUMIFS(DataRegularSeason20242025!$AB$3:$AB$1315,DataRegularSeason20242025!$B$3:$B$1315, "&lt;=" &amp; EJ$1, DataRegularSeason20242025!$E$3:$E$1315, $A5)</f>
        <v>55</v>
      </c>
      <c r="EK5">
        <f>SUMIFS(DataRegularSeason20242025!$AA$3:$AA$1315,DataRegularSeason20242025!$B$3:$B$1315, "&lt;=" &amp; EK$1, DataRegularSeason20242025!$D$3:$D$1315, $A5)+SUMIFS(DataRegularSeason20242025!$AB$3:$AB$1315,DataRegularSeason20242025!$B$3:$B$1315, "&lt;=" &amp; EK$1, DataRegularSeason20242025!$E$3:$E$1315, $A5)</f>
        <v>55</v>
      </c>
      <c r="EL5">
        <f>SUMIFS(DataRegularSeason20242025!$AA$3:$AA$1315,DataRegularSeason20242025!$B$3:$B$1315, "&lt;=" &amp; EL$1, DataRegularSeason20242025!$D$3:$D$1315, $A5)+SUMIFS(DataRegularSeason20242025!$AB$3:$AB$1315,DataRegularSeason20242025!$B$3:$B$1315, "&lt;=" &amp; EL$1, DataRegularSeason20242025!$E$3:$E$1315, $A5)</f>
        <v>55</v>
      </c>
      <c r="EM5">
        <f>SUMIFS(DataRegularSeason20242025!$AA$3:$AA$1315,DataRegularSeason20242025!$B$3:$B$1315, "&lt;=" &amp; EM$1, DataRegularSeason20242025!$D$3:$D$1315, $A5)+SUMIFS(DataRegularSeason20242025!$AB$3:$AB$1315,DataRegularSeason20242025!$B$3:$B$1315, "&lt;=" &amp; EM$1, DataRegularSeason20242025!$E$3:$E$1315, $A5)</f>
        <v>55</v>
      </c>
      <c r="EN5">
        <f>SUMIFS(DataRegularSeason20242025!$AA$3:$AA$1315,DataRegularSeason20242025!$B$3:$B$1315, "&lt;=" &amp; EN$1, DataRegularSeason20242025!$D$3:$D$1315, $A5)+SUMIFS(DataRegularSeason20242025!$AB$3:$AB$1315,DataRegularSeason20242025!$B$3:$B$1315, "&lt;=" &amp; EN$1, DataRegularSeason20242025!$E$3:$E$1315, $A5)</f>
        <v>55</v>
      </c>
      <c r="EO5">
        <f>SUMIFS(DataRegularSeason20242025!$AA$3:$AA$1315,DataRegularSeason20242025!$B$3:$B$1315, "&lt;=" &amp; EO$1, DataRegularSeason20242025!$D$3:$D$1315, $A5)+SUMIFS(DataRegularSeason20242025!$AB$3:$AB$1315,DataRegularSeason20242025!$B$3:$B$1315, "&lt;=" &amp; EO$1, DataRegularSeason20242025!$E$3:$E$1315, $A5)</f>
        <v>55</v>
      </c>
      <c r="EP5">
        <f>SUMIFS(DataRegularSeason20242025!$AA$3:$AA$1315,DataRegularSeason20242025!$B$3:$B$1315, "&lt;=" &amp; EP$1, DataRegularSeason20242025!$D$3:$D$1315, $A5)+SUMIFS(DataRegularSeason20242025!$AB$3:$AB$1315,DataRegularSeason20242025!$B$3:$B$1315, "&lt;=" &amp; EP$1, DataRegularSeason20242025!$E$3:$E$1315, $A5)</f>
        <v>55</v>
      </c>
      <c r="EQ5">
        <f>SUMIFS(DataRegularSeason20242025!$AA$3:$AA$1315,DataRegularSeason20242025!$B$3:$B$1315, "&lt;=" &amp; EQ$1, DataRegularSeason20242025!$D$3:$D$1315, $A5)+SUMIFS(DataRegularSeason20242025!$AB$3:$AB$1315,DataRegularSeason20242025!$B$3:$B$1315, "&lt;=" &amp; EQ$1, DataRegularSeason20242025!$E$3:$E$1315, $A5)</f>
        <v>55</v>
      </c>
      <c r="ER5">
        <f>SUMIFS(DataRegularSeason20242025!$AA$3:$AA$1315,DataRegularSeason20242025!$B$3:$B$1315, "&lt;=" &amp; ER$1, DataRegularSeason20242025!$D$3:$D$1315, $A5)+SUMIFS(DataRegularSeason20242025!$AB$3:$AB$1315,DataRegularSeason20242025!$B$3:$B$1315, "&lt;=" &amp; ER$1, DataRegularSeason20242025!$E$3:$E$1315, $A5)</f>
        <v>55</v>
      </c>
      <c r="ES5">
        <f>SUMIFS(DataRegularSeason20242025!$AA$3:$AA$1315,DataRegularSeason20242025!$B$3:$B$1315, "&lt;=" &amp; ES$1, DataRegularSeason20242025!$D$3:$D$1315, $A5)+SUMIFS(DataRegularSeason20242025!$AB$3:$AB$1315,DataRegularSeason20242025!$B$3:$B$1315, "&lt;=" &amp; ES$1, DataRegularSeason20242025!$E$3:$E$1315, $A5)</f>
        <v>55</v>
      </c>
      <c r="ET5">
        <f>SUMIFS(DataRegularSeason20242025!$AA$3:$AA$1315,DataRegularSeason20242025!$B$3:$B$1315, "&lt;=" &amp; ET$1, DataRegularSeason20242025!$D$3:$D$1315, $A5)+SUMIFS(DataRegularSeason20242025!$AB$3:$AB$1315,DataRegularSeason20242025!$B$3:$B$1315, "&lt;=" &amp; ET$1, DataRegularSeason20242025!$E$3:$E$1315, $A5)</f>
        <v>55</v>
      </c>
      <c r="EU5">
        <f>SUMIFS(DataRegularSeason20242025!$AA$3:$AA$1315,DataRegularSeason20242025!$B$3:$B$1315, "&lt;=" &amp; EU$1, DataRegularSeason20242025!$D$3:$D$1315, $A5)+SUMIFS(DataRegularSeason20242025!$AB$3:$AB$1315,DataRegularSeason20242025!$B$3:$B$1315, "&lt;=" &amp; EU$1, DataRegularSeason20242025!$E$3:$E$1315, $A5)</f>
        <v>55</v>
      </c>
      <c r="EV5">
        <f>SUMIFS(DataRegularSeason20242025!$AA$3:$AA$1315,DataRegularSeason20242025!$B$3:$B$1315, "&lt;=" &amp; EV$1, DataRegularSeason20242025!$D$3:$D$1315, $A5)+SUMIFS(DataRegularSeason20242025!$AB$3:$AB$1315,DataRegularSeason20242025!$B$3:$B$1315, "&lt;=" &amp; EV$1, DataRegularSeason20242025!$E$3:$E$1315, $A5)</f>
        <v>55</v>
      </c>
      <c r="EW5">
        <f>SUMIFS(DataRegularSeason20242025!$AA$3:$AA$1315,DataRegularSeason20242025!$B$3:$B$1315, "&lt;=" &amp; EW$1, DataRegularSeason20242025!$D$3:$D$1315, $A5)+SUMIFS(DataRegularSeason20242025!$AB$3:$AB$1315,DataRegularSeason20242025!$B$3:$B$1315, "&lt;=" &amp; EW$1, DataRegularSeason20242025!$E$3:$E$1315, $A5)</f>
        <v>55</v>
      </c>
      <c r="EX5">
        <f>SUMIFS(DataRegularSeason20242025!$AA$3:$AA$1315,DataRegularSeason20242025!$B$3:$B$1315, "&lt;=" &amp; EX$1, DataRegularSeason20242025!$D$3:$D$1315, $A5)+SUMIFS(DataRegularSeason20242025!$AB$3:$AB$1315,DataRegularSeason20242025!$B$3:$B$1315, "&lt;=" &amp; EX$1, DataRegularSeason20242025!$E$3:$E$1315, $A5)</f>
        <v>55</v>
      </c>
      <c r="EY5">
        <f>SUMIFS(DataRegularSeason20242025!$AA$3:$AA$1315,DataRegularSeason20242025!$B$3:$B$1315, "&lt;=" &amp; EY$1, DataRegularSeason20242025!$D$3:$D$1315, $A5)+SUMIFS(DataRegularSeason20242025!$AB$3:$AB$1315,DataRegularSeason20242025!$B$3:$B$1315, "&lt;=" &amp; EY$1, DataRegularSeason20242025!$E$3:$E$1315, $A5)</f>
        <v>55</v>
      </c>
      <c r="EZ5">
        <f>SUMIFS(DataRegularSeason20242025!$AA$3:$AA$1315,DataRegularSeason20242025!$B$3:$B$1315, "&lt;=" &amp; EZ$1, DataRegularSeason20242025!$D$3:$D$1315, $A5)+SUMIFS(DataRegularSeason20242025!$AB$3:$AB$1315,DataRegularSeason20242025!$B$3:$B$1315, "&lt;=" &amp; EZ$1, DataRegularSeason20242025!$E$3:$E$1315, $A5)</f>
        <v>55</v>
      </c>
      <c r="FA5">
        <f>SUMIFS(DataRegularSeason20242025!$AA$3:$AA$1315,DataRegularSeason20242025!$B$3:$B$1315, "&lt;=" &amp; FA$1, DataRegularSeason20242025!$D$3:$D$1315, $A5)+SUMIFS(DataRegularSeason20242025!$AB$3:$AB$1315,DataRegularSeason20242025!$B$3:$B$1315, "&lt;=" &amp; FA$1, DataRegularSeason20242025!$E$3:$E$1315, $A5)</f>
        <v>55</v>
      </c>
      <c r="FB5">
        <f>SUMIFS(DataRegularSeason20242025!$AA$3:$AA$1315,DataRegularSeason20242025!$B$3:$B$1315, "&lt;=" &amp; FB$1, DataRegularSeason20242025!$D$3:$D$1315, $A5)+SUMIFS(DataRegularSeason20242025!$AB$3:$AB$1315,DataRegularSeason20242025!$B$3:$B$1315, "&lt;=" &amp; FB$1, DataRegularSeason20242025!$E$3:$E$1315, $A5)</f>
        <v>55</v>
      </c>
      <c r="FC5">
        <f>SUMIFS(DataRegularSeason20242025!$AA$3:$AA$1315,DataRegularSeason20242025!$B$3:$B$1315, "&lt;=" &amp; FC$1, DataRegularSeason20242025!$D$3:$D$1315, $A5)+SUMIFS(DataRegularSeason20242025!$AB$3:$AB$1315,DataRegularSeason20242025!$B$3:$B$1315, "&lt;=" &amp; FC$1, DataRegularSeason20242025!$E$3:$E$1315, $A5)</f>
        <v>55</v>
      </c>
      <c r="FD5">
        <f>SUMIFS(DataRegularSeason20242025!$AA$3:$AA$1315,DataRegularSeason20242025!$B$3:$B$1315, "&lt;=" &amp; FD$1, DataRegularSeason20242025!$D$3:$D$1315, $A5)+SUMIFS(DataRegularSeason20242025!$AB$3:$AB$1315,DataRegularSeason20242025!$B$3:$B$1315, "&lt;=" &amp; FD$1, DataRegularSeason20242025!$E$3:$E$1315, $A5)</f>
        <v>55</v>
      </c>
      <c r="FE5">
        <f>SUMIFS(DataRegularSeason20242025!$AA$3:$AA$1315,DataRegularSeason20242025!$B$3:$B$1315, "&lt;=" &amp; FE$1, DataRegularSeason20242025!$D$3:$D$1315, $A5)+SUMIFS(DataRegularSeason20242025!$AB$3:$AB$1315,DataRegularSeason20242025!$B$3:$B$1315, "&lt;=" &amp; FE$1, DataRegularSeason20242025!$E$3:$E$1315, $A5)</f>
        <v>55</v>
      </c>
      <c r="FF5">
        <f>SUMIFS(DataRegularSeason20242025!$AA$3:$AA$1315,DataRegularSeason20242025!$B$3:$B$1315, "&lt;=" &amp; FF$1, DataRegularSeason20242025!$D$3:$D$1315, $A5)+SUMIFS(DataRegularSeason20242025!$AB$3:$AB$1315,DataRegularSeason20242025!$B$3:$B$1315, "&lt;=" &amp; FF$1, DataRegularSeason20242025!$E$3:$E$1315, $A5)</f>
        <v>55</v>
      </c>
      <c r="FG5">
        <f>SUMIFS(DataRegularSeason20242025!$AA$3:$AA$1315,DataRegularSeason20242025!$B$3:$B$1315, "&lt;=" &amp; FG$1, DataRegularSeason20242025!$D$3:$D$1315, $A5)+SUMIFS(DataRegularSeason20242025!$AB$3:$AB$1315,DataRegularSeason20242025!$B$3:$B$1315, "&lt;=" &amp; FG$1, DataRegularSeason20242025!$E$3:$E$1315, $A5)</f>
        <v>55</v>
      </c>
      <c r="FH5">
        <f>SUMIFS(DataRegularSeason20242025!$AA$3:$AA$1315,DataRegularSeason20242025!$B$3:$B$1315, "&lt;=" &amp; FH$1, DataRegularSeason20242025!$D$3:$D$1315, $A5)+SUMIFS(DataRegularSeason20242025!$AB$3:$AB$1315,DataRegularSeason20242025!$B$3:$B$1315, "&lt;=" &amp; FH$1, DataRegularSeason20242025!$E$3:$E$1315, $A5)</f>
        <v>55</v>
      </c>
      <c r="FI5">
        <f>SUMIFS(DataRegularSeason20242025!$AA$3:$AA$1315,DataRegularSeason20242025!$B$3:$B$1315, "&lt;=" &amp; FI$1, DataRegularSeason20242025!$D$3:$D$1315, $A5)+SUMIFS(DataRegularSeason20242025!$AB$3:$AB$1315,DataRegularSeason20242025!$B$3:$B$1315, "&lt;=" &amp; FI$1, DataRegularSeason20242025!$E$3:$E$1315, $A5)</f>
        <v>55</v>
      </c>
      <c r="FJ5">
        <f>SUMIFS(DataRegularSeason20242025!$AA$3:$AA$1315,DataRegularSeason20242025!$B$3:$B$1315, "&lt;=" &amp; FJ$1, DataRegularSeason20242025!$D$3:$D$1315, $A5)+SUMIFS(DataRegularSeason20242025!$AB$3:$AB$1315,DataRegularSeason20242025!$B$3:$B$1315, "&lt;=" &amp; FJ$1, DataRegularSeason20242025!$E$3:$E$1315, $A5)</f>
        <v>55</v>
      </c>
      <c r="FK5">
        <f>SUMIFS(DataRegularSeason20242025!$AA$3:$AA$1315,DataRegularSeason20242025!$B$3:$B$1315, "&lt;=" &amp; FK$1, DataRegularSeason20242025!$D$3:$D$1315, $A5)+SUMIFS(DataRegularSeason20242025!$AB$3:$AB$1315,DataRegularSeason20242025!$B$3:$B$1315, "&lt;=" &amp; FK$1, DataRegularSeason20242025!$E$3:$E$1315, $A5)</f>
        <v>55</v>
      </c>
      <c r="FL5">
        <f>SUMIFS(DataRegularSeason20242025!$AA$3:$AA$1315,DataRegularSeason20242025!$B$3:$B$1315, "&lt;=" &amp; FL$1, DataRegularSeason20242025!$D$3:$D$1315, $A5)+SUMIFS(DataRegularSeason20242025!$AB$3:$AB$1315,DataRegularSeason20242025!$B$3:$B$1315, "&lt;=" &amp; FL$1, DataRegularSeason20242025!$E$3:$E$1315, $A5)</f>
        <v>55</v>
      </c>
      <c r="FM5">
        <f>SUMIFS(DataRegularSeason20242025!$AA$3:$AA$1315,DataRegularSeason20242025!$B$3:$B$1315, "&lt;=" &amp; FM$1, DataRegularSeason20242025!$D$3:$D$1315, $A5)+SUMIFS(DataRegularSeason20242025!$AB$3:$AB$1315,DataRegularSeason20242025!$B$3:$B$1315, "&lt;=" &amp; FM$1, DataRegularSeason20242025!$E$3:$E$1315, $A5)</f>
        <v>55</v>
      </c>
      <c r="FN5">
        <f>SUMIFS(DataRegularSeason20242025!$AA$3:$AA$1315,DataRegularSeason20242025!$B$3:$B$1315, "&lt;=" &amp; FN$1, DataRegularSeason20242025!$D$3:$D$1315, $A5)+SUMIFS(DataRegularSeason20242025!$AB$3:$AB$1315,DataRegularSeason20242025!$B$3:$B$1315, "&lt;=" &amp; FN$1, DataRegularSeason20242025!$E$3:$E$1315, $A5)</f>
        <v>55</v>
      </c>
      <c r="FO5">
        <f>SUMIFS(DataRegularSeason20242025!$AA$3:$AA$1315,DataRegularSeason20242025!$B$3:$B$1315, "&lt;=" &amp; FO$1, DataRegularSeason20242025!$D$3:$D$1315, $A5)+SUMIFS(DataRegularSeason20242025!$AB$3:$AB$1315,DataRegularSeason20242025!$B$3:$B$1315, "&lt;=" &amp; FO$1, DataRegularSeason20242025!$E$3:$E$1315, $A5)</f>
        <v>55</v>
      </c>
      <c r="FP5">
        <f>SUMIFS(DataRegularSeason20242025!$AA$3:$AA$1315,DataRegularSeason20242025!$B$3:$B$1315, "&lt;=" &amp; FP$1, DataRegularSeason20242025!$D$3:$D$1315, $A5)+SUMIFS(DataRegularSeason20242025!$AB$3:$AB$1315,DataRegularSeason20242025!$B$3:$B$1315, "&lt;=" &amp; FP$1, DataRegularSeason20242025!$E$3:$E$1315, $A5)</f>
        <v>55</v>
      </c>
      <c r="FQ5">
        <f>SUMIFS(DataRegularSeason20242025!$AA$3:$AA$1315,DataRegularSeason20242025!$B$3:$B$1315, "&lt;=" &amp; FQ$1, DataRegularSeason20242025!$D$3:$D$1315, $A5)+SUMIFS(DataRegularSeason20242025!$AB$3:$AB$1315,DataRegularSeason20242025!$B$3:$B$1315, "&lt;=" &amp; FQ$1, DataRegularSeason20242025!$E$3:$E$1315, $A5)</f>
        <v>55</v>
      </c>
      <c r="FR5">
        <f>SUMIFS(DataRegularSeason20242025!$AA$3:$AA$1315,DataRegularSeason20242025!$B$3:$B$1315, "&lt;=" &amp; FR$1, DataRegularSeason20242025!$D$3:$D$1315, $A5)+SUMIFS(DataRegularSeason20242025!$AB$3:$AB$1315,DataRegularSeason20242025!$B$3:$B$1315, "&lt;=" &amp; FR$1, DataRegularSeason20242025!$E$3:$E$1315, $A5)</f>
        <v>55</v>
      </c>
      <c r="FS5">
        <f>SUMIFS(DataRegularSeason20242025!$AA$3:$AA$1315,DataRegularSeason20242025!$B$3:$B$1315, "&lt;=" &amp; FS$1, DataRegularSeason20242025!$D$3:$D$1315, $A5)+SUMIFS(DataRegularSeason20242025!$AB$3:$AB$1315,DataRegularSeason20242025!$B$3:$B$1315, "&lt;=" &amp; FS$1, DataRegularSeason20242025!$E$3:$E$1315, $A5)</f>
        <v>55</v>
      </c>
      <c r="FT5">
        <f>SUMIFS(DataRegularSeason20242025!$AA$3:$AA$1315,DataRegularSeason20242025!$B$3:$B$1315, "&lt;=" &amp; FT$1, DataRegularSeason20242025!$D$3:$D$1315, $A5)+SUMIFS(DataRegularSeason20242025!$AB$3:$AB$1315,DataRegularSeason20242025!$B$3:$B$1315, "&lt;=" &amp; FT$1, DataRegularSeason20242025!$E$3:$E$1315, $A5)</f>
        <v>55</v>
      </c>
      <c r="FU5">
        <f>SUMIFS(DataRegularSeason20242025!$AA$3:$AA$1315,DataRegularSeason20242025!$B$3:$B$1315, "&lt;=" &amp; FU$1, DataRegularSeason20242025!$D$3:$D$1315, $A5)+SUMIFS(DataRegularSeason20242025!$AB$3:$AB$1315,DataRegularSeason20242025!$B$3:$B$1315, "&lt;=" &amp; FU$1, DataRegularSeason20242025!$E$3:$E$1315, $A5)</f>
        <v>55</v>
      </c>
      <c r="FV5">
        <f>SUMIFS(DataRegularSeason20242025!$AA$3:$AA$1315,DataRegularSeason20242025!$B$3:$B$1315, "&lt;=" &amp; FV$1, DataRegularSeason20242025!$D$3:$D$1315, $A5)+SUMIFS(DataRegularSeason20242025!$AB$3:$AB$1315,DataRegularSeason20242025!$B$3:$B$1315, "&lt;=" &amp; FV$1, DataRegularSeason20242025!$E$3:$E$1315, $A5)</f>
        <v>55</v>
      </c>
      <c r="FW5">
        <f>SUMIFS(DataRegularSeason20242025!$AA$3:$AA$1315,DataRegularSeason20242025!$B$3:$B$1315, "&lt;=" &amp; FW$1, DataRegularSeason20242025!$D$3:$D$1315, $A5)+SUMIFS(DataRegularSeason20242025!$AB$3:$AB$1315,DataRegularSeason20242025!$B$3:$B$1315, "&lt;=" &amp; FW$1, DataRegularSeason20242025!$E$3:$E$1315, $A5)</f>
        <v>55</v>
      </c>
      <c r="FX5">
        <f>SUMIFS(DataRegularSeason20242025!$AA$3:$AA$1315,DataRegularSeason20242025!$B$3:$B$1315, "&lt;=" &amp; FX$1, DataRegularSeason20242025!$D$3:$D$1315, $A5)+SUMIFS(DataRegularSeason20242025!$AB$3:$AB$1315,DataRegularSeason20242025!$B$3:$B$1315, "&lt;=" &amp; FX$1, DataRegularSeason20242025!$E$3:$E$1315, $A5)</f>
        <v>55</v>
      </c>
      <c r="FY5">
        <f>SUMIFS(DataRegularSeason20242025!$AA$3:$AA$1315,DataRegularSeason20242025!$B$3:$B$1315, "&lt;=" &amp; FY$1, DataRegularSeason20242025!$D$3:$D$1315, $A5)+SUMIFS(DataRegularSeason20242025!$AB$3:$AB$1315,DataRegularSeason20242025!$B$3:$B$1315, "&lt;=" &amp; FY$1, DataRegularSeason20242025!$E$3:$E$1315, $A5)</f>
        <v>55</v>
      </c>
      <c r="FZ5">
        <f>SUMIFS(DataRegularSeason20242025!$AA$3:$AA$1315,DataRegularSeason20242025!$B$3:$B$1315, "&lt;=" &amp; FZ$1, DataRegularSeason20242025!$D$3:$D$1315, $A5)+SUMIFS(DataRegularSeason20242025!$AB$3:$AB$1315,DataRegularSeason20242025!$B$3:$B$1315, "&lt;=" &amp; FZ$1, DataRegularSeason20242025!$E$3:$E$1315, $A5)</f>
        <v>55</v>
      </c>
      <c r="GA5">
        <f>SUMIFS(DataRegularSeason20242025!$AA$3:$AA$1315,DataRegularSeason20242025!$B$3:$B$1315, "&lt;=" &amp; GA$1, DataRegularSeason20242025!$D$3:$D$1315, $A5)+SUMIFS(DataRegularSeason20242025!$AB$3:$AB$1315,DataRegularSeason20242025!$B$3:$B$1315, "&lt;=" &amp; GA$1, DataRegularSeason20242025!$E$3:$E$1315, $A5)</f>
        <v>55</v>
      </c>
      <c r="GB5">
        <f>SUMIFS(DataRegularSeason20242025!$AA$3:$AA$1315,DataRegularSeason20242025!$B$3:$B$1315, "&lt;=" &amp; GB$1, DataRegularSeason20242025!$D$3:$D$1315, $A5)+SUMIFS(DataRegularSeason20242025!$AB$3:$AB$1315,DataRegularSeason20242025!$B$3:$B$1315, "&lt;=" &amp; GB$1, DataRegularSeason20242025!$E$3:$E$1315, $A5)</f>
        <v>55</v>
      </c>
      <c r="GC5">
        <f>SUMIFS(DataRegularSeason20242025!$AA$3:$AA$1315,DataRegularSeason20242025!$B$3:$B$1315, "&lt;=" &amp; GC$1, DataRegularSeason20242025!$D$3:$D$1315, $A5)+SUMIFS(DataRegularSeason20242025!$AB$3:$AB$1315,DataRegularSeason20242025!$B$3:$B$1315, "&lt;=" &amp; GC$1, DataRegularSeason20242025!$E$3:$E$1315, $A5)</f>
        <v>55</v>
      </c>
      <c r="GD5">
        <f>SUMIFS(DataRegularSeason20242025!$AA$3:$AA$1315,DataRegularSeason20242025!$B$3:$B$1315, "&lt;=" &amp; GD$1, DataRegularSeason20242025!$D$3:$D$1315, $A5)+SUMIFS(DataRegularSeason20242025!$AB$3:$AB$1315,DataRegularSeason20242025!$B$3:$B$1315, "&lt;=" &amp; GD$1, DataRegularSeason20242025!$E$3:$E$1315, $A5)</f>
        <v>55</v>
      </c>
      <c r="GE5">
        <f>SUMIFS(DataRegularSeason20242025!$AA$3:$AA$1315,DataRegularSeason20242025!$B$3:$B$1315, "&lt;=" &amp; GE$1, DataRegularSeason20242025!$D$3:$D$1315, $A5)+SUMIFS(DataRegularSeason20242025!$AB$3:$AB$1315,DataRegularSeason20242025!$B$3:$B$1315, "&lt;=" &amp; GE$1, DataRegularSeason20242025!$E$3:$E$1315, $A5)</f>
        <v>55</v>
      </c>
      <c r="GF5">
        <f>SUMIFS(DataRegularSeason20242025!$AA$3:$AA$1315,DataRegularSeason20242025!$B$3:$B$1315, "&lt;=" &amp; GF$1, DataRegularSeason20242025!$D$3:$D$1315, $A5)+SUMIFS(DataRegularSeason20242025!$AB$3:$AB$1315,DataRegularSeason20242025!$B$3:$B$1315, "&lt;=" &amp; GF$1, DataRegularSeason20242025!$E$3:$E$1315, $A5)</f>
        <v>55</v>
      </c>
      <c r="GG5">
        <f>SUMIFS(DataRegularSeason20242025!$AA$3:$AA$1315,DataRegularSeason20242025!$B$3:$B$1315, "&lt;=" &amp; GG$1, DataRegularSeason20242025!$D$3:$D$1315, $A5)+SUMIFS(DataRegularSeason20242025!$AB$3:$AB$1315,DataRegularSeason20242025!$B$3:$B$1315, "&lt;=" &amp; GG$1, DataRegularSeason20242025!$E$3:$E$1315, $A5)</f>
        <v>55</v>
      </c>
      <c r="GH5">
        <f>SUMIFS(DataRegularSeason20242025!$AA$3:$AA$1315,DataRegularSeason20242025!$B$3:$B$1315, "&lt;=" &amp; GH$1, DataRegularSeason20242025!$D$3:$D$1315, $A5)+SUMIFS(DataRegularSeason20242025!$AB$3:$AB$1315,DataRegularSeason20242025!$B$3:$B$1315, "&lt;=" &amp; GH$1, DataRegularSeason20242025!$E$3:$E$1315, $A5)</f>
        <v>55</v>
      </c>
      <c r="GI5">
        <f>SUMIFS(DataRegularSeason20242025!$AA$3:$AA$1315,DataRegularSeason20242025!$B$3:$B$1315, "&lt;=" &amp; GI$1, DataRegularSeason20242025!$D$3:$D$1315, $A5)+SUMIFS(DataRegularSeason20242025!$AB$3:$AB$1315,DataRegularSeason20242025!$B$3:$B$1315, "&lt;=" &amp; GI$1, DataRegularSeason20242025!$E$3:$E$1315, $A5)</f>
        <v>55</v>
      </c>
      <c r="GJ5">
        <f>SUMIFS(DataRegularSeason20242025!$AA$3:$AA$1315,DataRegularSeason20242025!$B$3:$B$1315, "&lt;=" &amp; GJ$1, DataRegularSeason20242025!$D$3:$D$1315, $A5)+SUMIFS(DataRegularSeason20242025!$AB$3:$AB$1315,DataRegularSeason20242025!$B$3:$B$1315, "&lt;=" &amp; GJ$1, DataRegularSeason20242025!$E$3:$E$1315, $A5)</f>
        <v>55</v>
      </c>
      <c r="GK5">
        <f>SUMIFS(DataRegularSeason20242025!$AA$3:$AA$1315,DataRegularSeason20242025!$B$3:$B$1315, "&lt;=" &amp; GK$1, DataRegularSeason20242025!$D$3:$D$1315, $A5)+SUMIFS(DataRegularSeason20242025!$AB$3:$AB$1315,DataRegularSeason20242025!$B$3:$B$1315, "&lt;=" &amp; GK$1, DataRegularSeason20242025!$E$3:$E$1315, $A5)</f>
        <v>55</v>
      </c>
      <c r="GL5">
        <f>SUMIFS(DataRegularSeason20242025!$AA$3:$AA$1315,DataRegularSeason20242025!$B$3:$B$1315, "&lt;=" &amp; GL$1, DataRegularSeason20242025!$D$3:$D$1315, $A5)+SUMIFS(DataRegularSeason20242025!$AB$3:$AB$1315,DataRegularSeason20242025!$B$3:$B$1315, "&lt;=" &amp; GL$1, DataRegularSeason20242025!$E$3:$E$1315, $A5)</f>
        <v>55</v>
      </c>
      <c r="GM5">
        <f>SUMIFS(DataRegularSeason20242025!$AA$3:$AA$1315,DataRegularSeason20242025!$B$3:$B$1315, "&lt;=" &amp; GM$1, DataRegularSeason20242025!$D$3:$D$1315, $A5)+SUMIFS(DataRegularSeason20242025!$AB$3:$AB$1315,DataRegularSeason20242025!$B$3:$B$1315, "&lt;=" &amp; GM$1, DataRegularSeason20242025!$E$3:$E$1315, $A5)</f>
        <v>55</v>
      </c>
      <c r="GN5">
        <f>SUMIFS(DataRegularSeason20242025!$AA$3:$AA$1315,DataRegularSeason20242025!$B$3:$B$1315, "&lt;=" &amp; GN$1, DataRegularSeason20242025!$D$3:$D$1315, $A5)+SUMIFS(DataRegularSeason20242025!$AB$3:$AB$1315,DataRegularSeason20242025!$B$3:$B$1315, "&lt;=" &amp; GN$1, DataRegularSeason20242025!$E$3:$E$1315, $A5)</f>
        <v>55</v>
      </c>
      <c r="GO5">
        <f>SUMIFS(DataRegularSeason20242025!$AA$3:$AA$1315,DataRegularSeason20242025!$B$3:$B$1315, "&lt;=" &amp; GO$1, DataRegularSeason20242025!$D$3:$D$1315, $A5)+SUMIFS(DataRegularSeason20242025!$AB$3:$AB$1315,DataRegularSeason20242025!$B$3:$B$1315, "&lt;=" &amp; GO$1, DataRegularSeason20242025!$E$3:$E$1315, $A5)</f>
        <v>55</v>
      </c>
      <c r="GP5">
        <f>SUMIFS(DataRegularSeason20242025!$AA$3:$AA$1315,DataRegularSeason20242025!$B$3:$B$1315, "&lt;=" &amp; GP$1, DataRegularSeason20242025!$D$3:$D$1315, $A5)+SUMIFS(DataRegularSeason20242025!$AB$3:$AB$1315,DataRegularSeason20242025!$B$3:$B$1315, "&lt;=" &amp; GP$1, DataRegularSeason20242025!$E$3:$E$1315, $A5)</f>
        <v>55</v>
      </c>
      <c r="GQ5">
        <f>SUMIFS(DataRegularSeason20242025!$AA$3:$AA$1315,DataRegularSeason20242025!$B$3:$B$1315, "&lt;=" &amp; GQ$1, DataRegularSeason20242025!$D$3:$D$1315, $A5)+SUMIFS(DataRegularSeason20242025!$AB$3:$AB$1315,DataRegularSeason20242025!$B$3:$B$1315, "&lt;=" &amp; GQ$1, DataRegularSeason20242025!$E$3:$E$1315, $A5)</f>
        <v>55</v>
      </c>
      <c r="GR5">
        <f>SUMIFS(DataRegularSeason20242025!$AA$3:$AA$1315,DataRegularSeason20242025!$B$3:$B$1315, "&lt;=" &amp; GR$1, DataRegularSeason20242025!$D$3:$D$1315, $A5)+SUMIFS(DataRegularSeason20242025!$AB$3:$AB$1315,DataRegularSeason20242025!$B$3:$B$1315, "&lt;=" &amp; GR$1, DataRegularSeason20242025!$E$3:$E$1315, $A5)</f>
        <v>55</v>
      </c>
      <c r="GS5">
        <f>SUMIFS(DataRegularSeason20242025!$AA$3:$AA$1315,DataRegularSeason20242025!$B$3:$B$1315, "&lt;=" &amp; GS$1, DataRegularSeason20242025!$D$3:$D$1315, $A5)+SUMIFS(DataRegularSeason20242025!$AB$3:$AB$1315,DataRegularSeason20242025!$B$3:$B$1315, "&lt;=" &amp; GS$1, DataRegularSeason20242025!$E$3:$E$1315, $A5)</f>
        <v>55</v>
      </c>
      <c r="GT5">
        <f>SUMIFS(DataRegularSeason20242025!$AA$3:$AA$1315,DataRegularSeason20242025!$B$3:$B$1315, "&lt;=" &amp; GT$1, DataRegularSeason20242025!$D$3:$D$1315, $A5)+SUMIFS(DataRegularSeason20242025!$AB$3:$AB$1315,DataRegularSeason20242025!$B$3:$B$1315, "&lt;=" &amp; GT$1, DataRegularSeason20242025!$E$3:$E$1315, $A5)</f>
        <v>55</v>
      </c>
      <c r="GU5">
        <f>SUMIFS(DataRegularSeason20242025!$AA$3:$AA$1315,DataRegularSeason20242025!$B$3:$B$1315, "&lt;=" &amp; GU$1, DataRegularSeason20242025!$D$3:$D$1315, $A5)+SUMIFS(DataRegularSeason20242025!$AB$3:$AB$1315,DataRegularSeason20242025!$B$3:$B$1315, "&lt;=" &amp; GU$1, DataRegularSeason20242025!$E$3:$E$1315, $A5)</f>
        <v>55</v>
      </c>
    </row>
    <row r="6" spans="1:275" x14ac:dyDescent="0.25">
      <c r="A6" t="s">
        <v>30</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56</v>
      </c>
      <c r="DV6">
        <f>SUMIFS(DataRegularSeason20242025!$AA$3:$AA$1315,DataRegularSeason20242025!$B$3:$B$1315, "&lt;=" &amp; DV$1, DataRegularSeason20242025!$D$3:$D$1315, $A6)+SUMIFS(DataRegularSeason20242025!$AB$3:$AB$1315,DataRegularSeason20242025!$B$3:$B$1315, "&lt;=" &amp; DV$1, DataRegularSeason20242025!$E$3:$E$1315, $A6)</f>
        <v>56</v>
      </c>
      <c r="DW6">
        <f>SUMIFS(DataRegularSeason20242025!$AA$3:$AA$1315,DataRegularSeason20242025!$B$3:$B$1315, "&lt;=" &amp; DW$1, DataRegularSeason20242025!$D$3:$D$1315, $A6)+SUMIFS(DataRegularSeason20242025!$AB$3:$AB$1315,DataRegularSeason20242025!$B$3:$B$1315, "&lt;=" &amp; DW$1, DataRegularSeason20242025!$E$3:$E$1315, $A6)</f>
        <v>56</v>
      </c>
      <c r="DX6">
        <f>SUMIFS(DataRegularSeason20242025!$AA$3:$AA$1315,DataRegularSeason20242025!$B$3:$B$1315, "&lt;=" &amp; DX$1, DataRegularSeason20242025!$D$3:$D$1315, $A6)+SUMIFS(DataRegularSeason20242025!$AB$3:$AB$1315,DataRegularSeason20242025!$B$3:$B$1315, "&lt;=" &amp; DX$1, DataRegularSeason20242025!$E$3:$E$1315, $A6)</f>
        <v>56</v>
      </c>
      <c r="DY6">
        <f>SUMIFS(DataRegularSeason20242025!$AA$3:$AA$1315,DataRegularSeason20242025!$B$3:$B$1315, "&lt;=" &amp; DY$1, DataRegularSeason20242025!$D$3:$D$1315, $A6)+SUMIFS(DataRegularSeason20242025!$AB$3:$AB$1315,DataRegularSeason20242025!$B$3:$B$1315, "&lt;=" &amp; DY$1, DataRegularSeason20242025!$E$3:$E$1315, $A6)</f>
        <v>56</v>
      </c>
      <c r="DZ6">
        <f>SUMIFS(DataRegularSeason20242025!$AA$3:$AA$1315,DataRegularSeason20242025!$B$3:$B$1315, "&lt;=" &amp; DZ$1, DataRegularSeason20242025!$D$3:$D$1315, $A6)+SUMIFS(DataRegularSeason20242025!$AB$3:$AB$1315,DataRegularSeason20242025!$B$3:$B$1315, "&lt;=" &amp; DZ$1, DataRegularSeason20242025!$E$3:$E$1315, $A6)</f>
        <v>56</v>
      </c>
      <c r="EA6">
        <f>SUMIFS(DataRegularSeason20242025!$AA$3:$AA$1315,DataRegularSeason20242025!$B$3:$B$1315, "&lt;=" &amp; EA$1, DataRegularSeason20242025!$D$3:$D$1315, $A6)+SUMIFS(DataRegularSeason20242025!$AB$3:$AB$1315,DataRegularSeason20242025!$B$3:$B$1315, "&lt;=" &amp; EA$1, DataRegularSeason20242025!$E$3:$E$1315, $A6)</f>
        <v>56</v>
      </c>
      <c r="EB6">
        <f>SUMIFS(DataRegularSeason20242025!$AA$3:$AA$1315,DataRegularSeason20242025!$B$3:$B$1315, "&lt;=" &amp; EB$1, DataRegularSeason20242025!$D$3:$D$1315, $A6)+SUMIFS(DataRegularSeason20242025!$AB$3:$AB$1315,DataRegularSeason20242025!$B$3:$B$1315, "&lt;=" &amp; EB$1, DataRegularSeason20242025!$E$3:$E$1315, $A6)</f>
        <v>56</v>
      </c>
      <c r="EC6">
        <f>SUMIFS(DataRegularSeason20242025!$AA$3:$AA$1315,DataRegularSeason20242025!$B$3:$B$1315, "&lt;=" &amp; EC$1, DataRegularSeason20242025!$D$3:$D$1315, $A6)+SUMIFS(DataRegularSeason20242025!$AB$3:$AB$1315,DataRegularSeason20242025!$B$3:$B$1315, "&lt;=" &amp; EC$1, DataRegularSeason20242025!$E$3:$E$1315, $A6)</f>
        <v>56</v>
      </c>
      <c r="ED6">
        <f>SUMIFS(DataRegularSeason20242025!$AA$3:$AA$1315,DataRegularSeason20242025!$B$3:$B$1315, "&lt;=" &amp; ED$1, DataRegularSeason20242025!$D$3:$D$1315, $A6)+SUMIFS(DataRegularSeason20242025!$AB$3:$AB$1315,DataRegularSeason20242025!$B$3:$B$1315, "&lt;=" &amp; ED$1, DataRegularSeason20242025!$E$3:$E$1315, $A6)</f>
        <v>56</v>
      </c>
      <c r="EE6">
        <f>SUMIFS(DataRegularSeason20242025!$AA$3:$AA$1315,DataRegularSeason20242025!$B$3:$B$1315, "&lt;=" &amp; EE$1, DataRegularSeason20242025!$D$3:$D$1315, $A6)+SUMIFS(DataRegularSeason20242025!$AB$3:$AB$1315,DataRegularSeason20242025!$B$3:$B$1315, "&lt;=" &amp; EE$1, DataRegularSeason20242025!$E$3:$E$1315, $A6)</f>
        <v>56</v>
      </c>
      <c r="EF6">
        <f>SUMIFS(DataRegularSeason20242025!$AA$3:$AA$1315,DataRegularSeason20242025!$B$3:$B$1315, "&lt;=" &amp; EF$1, DataRegularSeason20242025!$D$3:$D$1315, $A6)+SUMIFS(DataRegularSeason20242025!$AB$3:$AB$1315,DataRegularSeason20242025!$B$3:$B$1315, "&lt;=" &amp; EF$1, DataRegularSeason20242025!$E$3:$E$1315, $A6)</f>
        <v>56</v>
      </c>
      <c r="EG6">
        <f>SUMIFS(DataRegularSeason20242025!$AA$3:$AA$1315,DataRegularSeason20242025!$B$3:$B$1315, "&lt;=" &amp; EG$1, DataRegularSeason20242025!$D$3:$D$1315, $A6)+SUMIFS(DataRegularSeason20242025!$AB$3:$AB$1315,DataRegularSeason20242025!$B$3:$B$1315, "&lt;=" &amp; EG$1, DataRegularSeason20242025!$E$3:$E$1315, $A6)</f>
        <v>56</v>
      </c>
      <c r="EH6">
        <f>SUMIFS(DataRegularSeason20242025!$AA$3:$AA$1315,DataRegularSeason20242025!$B$3:$B$1315, "&lt;=" &amp; EH$1, DataRegularSeason20242025!$D$3:$D$1315, $A6)+SUMIFS(DataRegularSeason20242025!$AB$3:$AB$1315,DataRegularSeason20242025!$B$3:$B$1315, "&lt;=" &amp; EH$1, DataRegularSeason20242025!$E$3:$E$1315, $A6)</f>
        <v>56</v>
      </c>
      <c r="EI6">
        <f>SUMIFS(DataRegularSeason20242025!$AA$3:$AA$1315,DataRegularSeason20242025!$B$3:$B$1315, "&lt;=" &amp; EI$1, DataRegularSeason20242025!$D$3:$D$1315, $A6)+SUMIFS(DataRegularSeason20242025!$AB$3:$AB$1315,DataRegularSeason20242025!$B$3:$B$1315, "&lt;=" &amp; EI$1, DataRegularSeason20242025!$E$3:$E$1315, $A6)</f>
        <v>56</v>
      </c>
      <c r="EJ6">
        <f>SUMIFS(DataRegularSeason20242025!$AA$3:$AA$1315,DataRegularSeason20242025!$B$3:$B$1315, "&lt;=" &amp; EJ$1, DataRegularSeason20242025!$D$3:$D$1315, $A6)+SUMIFS(DataRegularSeason20242025!$AB$3:$AB$1315,DataRegularSeason20242025!$B$3:$B$1315, "&lt;=" &amp; EJ$1, DataRegularSeason20242025!$E$3:$E$1315, $A6)</f>
        <v>56</v>
      </c>
      <c r="EK6">
        <f>SUMIFS(DataRegularSeason20242025!$AA$3:$AA$1315,DataRegularSeason20242025!$B$3:$B$1315, "&lt;=" &amp; EK$1, DataRegularSeason20242025!$D$3:$D$1315, $A6)+SUMIFS(DataRegularSeason20242025!$AB$3:$AB$1315,DataRegularSeason20242025!$B$3:$B$1315, "&lt;=" &amp; EK$1, DataRegularSeason20242025!$E$3:$E$1315, $A6)</f>
        <v>56</v>
      </c>
      <c r="EL6">
        <f>SUMIFS(DataRegularSeason20242025!$AA$3:$AA$1315,DataRegularSeason20242025!$B$3:$B$1315, "&lt;=" &amp; EL$1, DataRegularSeason20242025!$D$3:$D$1315, $A6)+SUMIFS(DataRegularSeason20242025!$AB$3:$AB$1315,DataRegularSeason20242025!$B$3:$B$1315, "&lt;=" &amp; EL$1, DataRegularSeason20242025!$E$3:$E$1315, $A6)</f>
        <v>56</v>
      </c>
      <c r="EM6">
        <f>SUMIFS(DataRegularSeason20242025!$AA$3:$AA$1315,DataRegularSeason20242025!$B$3:$B$1315, "&lt;=" &amp; EM$1, DataRegularSeason20242025!$D$3:$D$1315, $A6)+SUMIFS(DataRegularSeason20242025!$AB$3:$AB$1315,DataRegularSeason20242025!$B$3:$B$1315, "&lt;=" &amp; EM$1, DataRegularSeason20242025!$E$3:$E$1315, $A6)</f>
        <v>56</v>
      </c>
      <c r="EN6">
        <f>SUMIFS(DataRegularSeason20242025!$AA$3:$AA$1315,DataRegularSeason20242025!$B$3:$B$1315, "&lt;=" &amp; EN$1, DataRegularSeason20242025!$D$3:$D$1315, $A6)+SUMIFS(DataRegularSeason20242025!$AB$3:$AB$1315,DataRegularSeason20242025!$B$3:$B$1315, "&lt;=" &amp; EN$1, DataRegularSeason20242025!$E$3:$E$1315, $A6)</f>
        <v>56</v>
      </c>
      <c r="EO6">
        <f>SUMIFS(DataRegularSeason20242025!$AA$3:$AA$1315,DataRegularSeason20242025!$B$3:$B$1315, "&lt;=" &amp; EO$1, DataRegularSeason20242025!$D$3:$D$1315, $A6)+SUMIFS(DataRegularSeason20242025!$AB$3:$AB$1315,DataRegularSeason20242025!$B$3:$B$1315, "&lt;=" &amp; EO$1, DataRegularSeason20242025!$E$3:$E$1315, $A6)</f>
        <v>56</v>
      </c>
      <c r="EP6">
        <f>SUMIFS(DataRegularSeason20242025!$AA$3:$AA$1315,DataRegularSeason20242025!$B$3:$B$1315, "&lt;=" &amp; EP$1, DataRegularSeason20242025!$D$3:$D$1315, $A6)+SUMIFS(DataRegularSeason20242025!$AB$3:$AB$1315,DataRegularSeason20242025!$B$3:$B$1315, "&lt;=" &amp; EP$1, DataRegularSeason20242025!$E$3:$E$1315, $A6)</f>
        <v>56</v>
      </c>
      <c r="EQ6">
        <f>SUMIFS(DataRegularSeason20242025!$AA$3:$AA$1315,DataRegularSeason20242025!$B$3:$B$1315, "&lt;=" &amp; EQ$1, DataRegularSeason20242025!$D$3:$D$1315, $A6)+SUMIFS(DataRegularSeason20242025!$AB$3:$AB$1315,DataRegularSeason20242025!$B$3:$B$1315, "&lt;=" &amp; EQ$1, DataRegularSeason20242025!$E$3:$E$1315, $A6)</f>
        <v>56</v>
      </c>
      <c r="ER6">
        <f>SUMIFS(DataRegularSeason20242025!$AA$3:$AA$1315,DataRegularSeason20242025!$B$3:$B$1315, "&lt;=" &amp; ER$1, DataRegularSeason20242025!$D$3:$D$1315, $A6)+SUMIFS(DataRegularSeason20242025!$AB$3:$AB$1315,DataRegularSeason20242025!$B$3:$B$1315, "&lt;=" &amp; ER$1, DataRegularSeason20242025!$E$3:$E$1315, $A6)</f>
        <v>56</v>
      </c>
      <c r="ES6">
        <f>SUMIFS(DataRegularSeason20242025!$AA$3:$AA$1315,DataRegularSeason20242025!$B$3:$B$1315, "&lt;=" &amp; ES$1, DataRegularSeason20242025!$D$3:$D$1315, $A6)+SUMIFS(DataRegularSeason20242025!$AB$3:$AB$1315,DataRegularSeason20242025!$B$3:$B$1315, "&lt;=" &amp; ES$1, DataRegularSeason20242025!$E$3:$E$1315, $A6)</f>
        <v>56</v>
      </c>
      <c r="ET6">
        <f>SUMIFS(DataRegularSeason20242025!$AA$3:$AA$1315,DataRegularSeason20242025!$B$3:$B$1315, "&lt;=" &amp; ET$1, DataRegularSeason20242025!$D$3:$D$1315, $A6)+SUMIFS(DataRegularSeason20242025!$AB$3:$AB$1315,DataRegularSeason20242025!$B$3:$B$1315, "&lt;=" &amp; ET$1, DataRegularSeason20242025!$E$3:$E$1315, $A6)</f>
        <v>56</v>
      </c>
      <c r="EU6">
        <f>SUMIFS(DataRegularSeason20242025!$AA$3:$AA$1315,DataRegularSeason20242025!$B$3:$B$1315, "&lt;=" &amp; EU$1, DataRegularSeason20242025!$D$3:$D$1315, $A6)+SUMIFS(DataRegularSeason20242025!$AB$3:$AB$1315,DataRegularSeason20242025!$B$3:$B$1315, "&lt;=" &amp; EU$1, DataRegularSeason20242025!$E$3:$E$1315, $A6)</f>
        <v>56</v>
      </c>
      <c r="EV6">
        <f>SUMIFS(DataRegularSeason20242025!$AA$3:$AA$1315,DataRegularSeason20242025!$B$3:$B$1315, "&lt;=" &amp; EV$1, DataRegularSeason20242025!$D$3:$D$1315, $A6)+SUMIFS(DataRegularSeason20242025!$AB$3:$AB$1315,DataRegularSeason20242025!$B$3:$B$1315, "&lt;=" &amp; EV$1, DataRegularSeason20242025!$E$3:$E$1315, $A6)</f>
        <v>56</v>
      </c>
      <c r="EW6">
        <f>SUMIFS(DataRegularSeason20242025!$AA$3:$AA$1315,DataRegularSeason20242025!$B$3:$B$1315, "&lt;=" &amp; EW$1, DataRegularSeason20242025!$D$3:$D$1315, $A6)+SUMIFS(DataRegularSeason20242025!$AB$3:$AB$1315,DataRegularSeason20242025!$B$3:$B$1315, "&lt;=" &amp; EW$1, DataRegularSeason20242025!$E$3:$E$1315, $A6)</f>
        <v>56</v>
      </c>
      <c r="EX6">
        <f>SUMIFS(DataRegularSeason20242025!$AA$3:$AA$1315,DataRegularSeason20242025!$B$3:$B$1315, "&lt;=" &amp; EX$1, DataRegularSeason20242025!$D$3:$D$1315, $A6)+SUMIFS(DataRegularSeason20242025!$AB$3:$AB$1315,DataRegularSeason20242025!$B$3:$B$1315, "&lt;=" &amp; EX$1, DataRegularSeason20242025!$E$3:$E$1315, $A6)</f>
        <v>56</v>
      </c>
      <c r="EY6">
        <f>SUMIFS(DataRegularSeason20242025!$AA$3:$AA$1315,DataRegularSeason20242025!$B$3:$B$1315, "&lt;=" &amp; EY$1, DataRegularSeason20242025!$D$3:$D$1315, $A6)+SUMIFS(DataRegularSeason20242025!$AB$3:$AB$1315,DataRegularSeason20242025!$B$3:$B$1315, "&lt;=" &amp; EY$1, DataRegularSeason20242025!$E$3:$E$1315, $A6)</f>
        <v>56</v>
      </c>
      <c r="EZ6">
        <f>SUMIFS(DataRegularSeason20242025!$AA$3:$AA$1315,DataRegularSeason20242025!$B$3:$B$1315, "&lt;=" &amp; EZ$1, DataRegularSeason20242025!$D$3:$D$1315, $A6)+SUMIFS(DataRegularSeason20242025!$AB$3:$AB$1315,DataRegularSeason20242025!$B$3:$B$1315, "&lt;=" &amp; EZ$1, DataRegularSeason20242025!$E$3:$E$1315, $A6)</f>
        <v>56</v>
      </c>
      <c r="FA6">
        <f>SUMIFS(DataRegularSeason20242025!$AA$3:$AA$1315,DataRegularSeason20242025!$B$3:$B$1315, "&lt;=" &amp; FA$1, DataRegularSeason20242025!$D$3:$D$1315, $A6)+SUMIFS(DataRegularSeason20242025!$AB$3:$AB$1315,DataRegularSeason20242025!$B$3:$B$1315, "&lt;=" &amp; FA$1, DataRegularSeason20242025!$E$3:$E$1315, $A6)</f>
        <v>56</v>
      </c>
      <c r="FB6">
        <f>SUMIFS(DataRegularSeason20242025!$AA$3:$AA$1315,DataRegularSeason20242025!$B$3:$B$1315, "&lt;=" &amp; FB$1, DataRegularSeason20242025!$D$3:$D$1315, $A6)+SUMIFS(DataRegularSeason20242025!$AB$3:$AB$1315,DataRegularSeason20242025!$B$3:$B$1315, "&lt;=" &amp; FB$1, DataRegularSeason20242025!$E$3:$E$1315, $A6)</f>
        <v>56</v>
      </c>
      <c r="FC6">
        <f>SUMIFS(DataRegularSeason20242025!$AA$3:$AA$1315,DataRegularSeason20242025!$B$3:$B$1315, "&lt;=" &amp; FC$1, DataRegularSeason20242025!$D$3:$D$1315, $A6)+SUMIFS(DataRegularSeason20242025!$AB$3:$AB$1315,DataRegularSeason20242025!$B$3:$B$1315, "&lt;=" &amp; FC$1, DataRegularSeason20242025!$E$3:$E$1315, $A6)</f>
        <v>56</v>
      </c>
      <c r="FD6">
        <f>SUMIFS(DataRegularSeason20242025!$AA$3:$AA$1315,DataRegularSeason20242025!$B$3:$B$1315, "&lt;=" &amp; FD$1, DataRegularSeason20242025!$D$3:$D$1315, $A6)+SUMIFS(DataRegularSeason20242025!$AB$3:$AB$1315,DataRegularSeason20242025!$B$3:$B$1315, "&lt;=" &amp; FD$1, DataRegularSeason20242025!$E$3:$E$1315, $A6)</f>
        <v>56</v>
      </c>
      <c r="FE6">
        <f>SUMIFS(DataRegularSeason20242025!$AA$3:$AA$1315,DataRegularSeason20242025!$B$3:$B$1315, "&lt;=" &amp; FE$1, DataRegularSeason20242025!$D$3:$D$1315, $A6)+SUMIFS(DataRegularSeason20242025!$AB$3:$AB$1315,DataRegularSeason20242025!$B$3:$B$1315, "&lt;=" &amp; FE$1, DataRegularSeason20242025!$E$3:$E$1315, $A6)</f>
        <v>56</v>
      </c>
      <c r="FF6">
        <f>SUMIFS(DataRegularSeason20242025!$AA$3:$AA$1315,DataRegularSeason20242025!$B$3:$B$1315, "&lt;=" &amp; FF$1, DataRegularSeason20242025!$D$3:$D$1315, $A6)+SUMIFS(DataRegularSeason20242025!$AB$3:$AB$1315,DataRegularSeason20242025!$B$3:$B$1315, "&lt;=" &amp; FF$1, DataRegularSeason20242025!$E$3:$E$1315, $A6)</f>
        <v>56</v>
      </c>
      <c r="FG6">
        <f>SUMIFS(DataRegularSeason20242025!$AA$3:$AA$1315,DataRegularSeason20242025!$B$3:$B$1315, "&lt;=" &amp; FG$1, DataRegularSeason20242025!$D$3:$D$1315, $A6)+SUMIFS(DataRegularSeason20242025!$AB$3:$AB$1315,DataRegularSeason20242025!$B$3:$B$1315, "&lt;=" &amp; FG$1, DataRegularSeason20242025!$E$3:$E$1315, $A6)</f>
        <v>56</v>
      </c>
      <c r="FH6">
        <f>SUMIFS(DataRegularSeason20242025!$AA$3:$AA$1315,DataRegularSeason20242025!$B$3:$B$1315, "&lt;=" &amp; FH$1, DataRegularSeason20242025!$D$3:$D$1315, $A6)+SUMIFS(DataRegularSeason20242025!$AB$3:$AB$1315,DataRegularSeason20242025!$B$3:$B$1315, "&lt;=" &amp; FH$1, DataRegularSeason20242025!$E$3:$E$1315, $A6)</f>
        <v>56</v>
      </c>
      <c r="FI6">
        <f>SUMIFS(DataRegularSeason20242025!$AA$3:$AA$1315,DataRegularSeason20242025!$B$3:$B$1315, "&lt;=" &amp; FI$1, DataRegularSeason20242025!$D$3:$D$1315, $A6)+SUMIFS(DataRegularSeason20242025!$AB$3:$AB$1315,DataRegularSeason20242025!$B$3:$B$1315, "&lt;=" &amp; FI$1, DataRegularSeason20242025!$E$3:$E$1315, $A6)</f>
        <v>56</v>
      </c>
      <c r="FJ6">
        <f>SUMIFS(DataRegularSeason20242025!$AA$3:$AA$1315,DataRegularSeason20242025!$B$3:$B$1315, "&lt;=" &amp; FJ$1, DataRegularSeason20242025!$D$3:$D$1315, $A6)+SUMIFS(DataRegularSeason20242025!$AB$3:$AB$1315,DataRegularSeason20242025!$B$3:$B$1315, "&lt;=" &amp; FJ$1, DataRegularSeason20242025!$E$3:$E$1315, $A6)</f>
        <v>56</v>
      </c>
      <c r="FK6">
        <f>SUMIFS(DataRegularSeason20242025!$AA$3:$AA$1315,DataRegularSeason20242025!$B$3:$B$1315, "&lt;=" &amp; FK$1, DataRegularSeason20242025!$D$3:$D$1315, $A6)+SUMIFS(DataRegularSeason20242025!$AB$3:$AB$1315,DataRegularSeason20242025!$B$3:$B$1315, "&lt;=" &amp; FK$1, DataRegularSeason20242025!$E$3:$E$1315, $A6)</f>
        <v>56</v>
      </c>
      <c r="FL6">
        <f>SUMIFS(DataRegularSeason20242025!$AA$3:$AA$1315,DataRegularSeason20242025!$B$3:$B$1315, "&lt;=" &amp; FL$1, DataRegularSeason20242025!$D$3:$D$1315, $A6)+SUMIFS(DataRegularSeason20242025!$AB$3:$AB$1315,DataRegularSeason20242025!$B$3:$B$1315, "&lt;=" &amp; FL$1, DataRegularSeason20242025!$E$3:$E$1315, $A6)</f>
        <v>56</v>
      </c>
      <c r="FM6">
        <f>SUMIFS(DataRegularSeason20242025!$AA$3:$AA$1315,DataRegularSeason20242025!$B$3:$B$1315, "&lt;=" &amp; FM$1, DataRegularSeason20242025!$D$3:$D$1315, $A6)+SUMIFS(DataRegularSeason20242025!$AB$3:$AB$1315,DataRegularSeason20242025!$B$3:$B$1315, "&lt;=" &amp; FM$1, DataRegularSeason20242025!$E$3:$E$1315, $A6)</f>
        <v>56</v>
      </c>
      <c r="FN6">
        <f>SUMIFS(DataRegularSeason20242025!$AA$3:$AA$1315,DataRegularSeason20242025!$B$3:$B$1315, "&lt;=" &amp; FN$1, DataRegularSeason20242025!$D$3:$D$1315, $A6)+SUMIFS(DataRegularSeason20242025!$AB$3:$AB$1315,DataRegularSeason20242025!$B$3:$B$1315, "&lt;=" &amp; FN$1, DataRegularSeason20242025!$E$3:$E$1315, $A6)</f>
        <v>56</v>
      </c>
      <c r="FO6">
        <f>SUMIFS(DataRegularSeason20242025!$AA$3:$AA$1315,DataRegularSeason20242025!$B$3:$B$1315, "&lt;=" &amp; FO$1, DataRegularSeason20242025!$D$3:$D$1315, $A6)+SUMIFS(DataRegularSeason20242025!$AB$3:$AB$1315,DataRegularSeason20242025!$B$3:$B$1315, "&lt;=" &amp; FO$1, DataRegularSeason20242025!$E$3:$E$1315, $A6)</f>
        <v>56</v>
      </c>
      <c r="FP6">
        <f>SUMIFS(DataRegularSeason20242025!$AA$3:$AA$1315,DataRegularSeason20242025!$B$3:$B$1315, "&lt;=" &amp; FP$1, DataRegularSeason20242025!$D$3:$D$1315, $A6)+SUMIFS(DataRegularSeason20242025!$AB$3:$AB$1315,DataRegularSeason20242025!$B$3:$B$1315, "&lt;=" &amp; FP$1, DataRegularSeason20242025!$E$3:$E$1315, $A6)</f>
        <v>56</v>
      </c>
      <c r="FQ6">
        <f>SUMIFS(DataRegularSeason20242025!$AA$3:$AA$1315,DataRegularSeason20242025!$B$3:$B$1315, "&lt;=" &amp; FQ$1, DataRegularSeason20242025!$D$3:$D$1315, $A6)+SUMIFS(DataRegularSeason20242025!$AB$3:$AB$1315,DataRegularSeason20242025!$B$3:$B$1315, "&lt;=" &amp; FQ$1, DataRegularSeason20242025!$E$3:$E$1315, $A6)</f>
        <v>56</v>
      </c>
      <c r="FR6">
        <f>SUMIFS(DataRegularSeason20242025!$AA$3:$AA$1315,DataRegularSeason20242025!$B$3:$B$1315, "&lt;=" &amp; FR$1, DataRegularSeason20242025!$D$3:$D$1315, $A6)+SUMIFS(DataRegularSeason20242025!$AB$3:$AB$1315,DataRegularSeason20242025!$B$3:$B$1315, "&lt;=" &amp; FR$1, DataRegularSeason20242025!$E$3:$E$1315, $A6)</f>
        <v>56</v>
      </c>
      <c r="FS6">
        <f>SUMIFS(DataRegularSeason20242025!$AA$3:$AA$1315,DataRegularSeason20242025!$B$3:$B$1315, "&lt;=" &amp; FS$1, DataRegularSeason20242025!$D$3:$D$1315, $A6)+SUMIFS(DataRegularSeason20242025!$AB$3:$AB$1315,DataRegularSeason20242025!$B$3:$B$1315, "&lt;=" &amp; FS$1, DataRegularSeason20242025!$E$3:$E$1315, $A6)</f>
        <v>56</v>
      </c>
      <c r="FT6">
        <f>SUMIFS(DataRegularSeason20242025!$AA$3:$AA$1315,DataRegularSeason20242025!$B$3:$B$1315, "&lt;=" &amp; FT$1, DataRegularSeason20242025!$D$3:$D$1315, $A6)+SUMIFS(DataRegularSeason20242025!$AB$3:$AB$1315,DataRegularSeason20242025!$B$3:$B$1315, "&lt;=" &amp; FT$1, DataRegularSeason20242025!$E$3:$E$1315, $A6)</f>
        <v>56</v>
      </c>
      <c r="FU6">
        <f>SUMIFS(DataRegularSeason20242025!$AA$3:$AA$1315,DataRegularSeason20242025!$B$3:$B$1315, "&lt;=" &amp; FU$1, DataRegularSeason20242025!$D$3:$D$1315, $A6)+SUMIFS(DataRegularSeason20242025!$AB$3:$AB$1315,DataRegularSeason20242025!$B$3:$B$1315, "&lt;=" &amp; FU$1, DataRegularSeason20242025!$E$3:$E$1315, $A6)</f>
        <v>56</v>
      </c>
      <c r="FV6">
        <f>SUMIFS(DataRegularSeason20242025!$AA$3:$AA$1315,DataRegularSeason20242025!$B$3:$B$1315, "&lt;=" &amp; FV$1, DataRegularSeason20242025!$D$3:$D$1315, $A6)+SUMIFS(DataRegularSeason20242025!$AB$3:$AB$1315,DataRegularSeason20242025!$B$3:$B$1315, "&lt;=" &amp; FV$1, DataRegularSeason20242025!$E$3:$E$1315, $A6)</f>
        <v>56</v>
      </c>
      <c r="FW6">
        <f>SUMIFS(DataRegularSeason20242025!$AA$3:$AA$1315,DataRegularSeason20242025!$B$3:$B$1315, "&lt;=" &amp; FW$1, DataRegularSeason20242025!$D$3:$D$1315, $A6)+SUMIFS(DataRegularSeason20242025!$AB$3:$AB$1315,DataRegularSeason20242025!$B$3:$B$1315, "&lt;=" &amp; FW$1, DataRegularSeason20242025!$E$3:$E$1315, $A6)</f>
        <v>56</v>
      </c>
      <c r="FX6">
        <f>SUMIFS(DataRegularSeason20242025!$AA$3:$AA$1315,DataRegularSeason20242025!$B$3:$B$1315, "&lt;=" &amp; FX$1, DataRegularSeason20242025!$D$3:$D$1315, $A6)+SUMIFS(DataRegularSeason20242025!$AB$3:$AB$1315,DataRegularSeason20242025!$B$3:$B$1315, "&lt;=" &amp; FX$1, DataRegularSeason20242025!$E$3:$E$1315, $A6)</f>
        <v>56</v>
      </c>
      <c r="FY6">
        <f>SUMIFS(DataRegularSeason20242025!$AA$3:$AA$1315,DataRegularSeason20242025!$B$3:$B$1315, "&lt;=" &amp; FY$1, DataRegularSeason20242025!$D$3:$D$1315, $A6)+SUMIFS(DataRegularSeason20242025!$AB$3:$AB$1315,DataRegularSeason20242025!$B$3:$B$1315, "&lt;=" &amp; FY$1, DataRegularSeason20242025!$E$3:$E$1315, $A6)</f>
        <v>56</v>
      </c>
      <c r="FZ6">
        <f>SUMIFS(DataRegularSeason20242025!$AA$3:$AA$1315,DataRegularSeason20242025!$B$3:$B$1315, "&lt;=" &amp; FZ$1, DataRegularSeason20242025!$D$3:$D$1315, $A6)+SUMIFS(DataRegularSeason20242025!$AB$3:$AB$1315,DataRegularSeason20242025!$B$3:$B$1315, "&lt;=" &amp; FZ$1, DataRegularSeason20242025!$E$3:$E$1315, $A6)</f>
        <v>56</v>
      </c>
      <c r="GA6">
        <f>SUMIFS(DataRegularSeason20242025!$AA$3:$AA$1315,DataRegularSeason20242025!$B$3:$B$1315, "&lt;=" &amp; GA$1, DataRegularSeason20242025!$D$3:$D$1315, $A6)+SUMIFS(DataRegularSeason20242025!$AB$3:$AB$1315,DataRegularSeason20242025!$B$3:$B$1315, "&lt;=" &amp; GA$1, DataRegularSeason20242025!$E$3:$E$1315, $A6)</f>
        <v>56</v>
      </c>
      <c r="GB6">
        <f>SUMIFS(DataRegularSeason20242025!$AA$3:$AA$1315,DataRegularSeason20242025!$B$3:$B$1315, "&lt;=" &amp; GB$1, DataRegularSeason20242025!$D$3:$D$1315, $A6)+SUMIFS(DataRegularSeason20242025!$AB$3:$AB$1315,DataRegularSeason20242025!$B$3:$B$1315, "&lt;=" &amp; GB$1, DataRegularSeason20242025!$E$3:$E$1315, $A6)</f>
        <v>56</v>
      </c>
      <c r="GC6">
        <f>SUMIFS(DataRegularSeason20242025!$AA$3:$AA$1315,DataRegularSeason20242025!$B$3:$B$1315, "&lt;=" &amp; GC$1, DataRegularSeason20242025!$D$3:$D$1315, $A6)+SUMIFS(DataRegularSeason20242025!$AB$3:$AB$1315,DataRegularSeason20242025!$B$3:$B$1315, "&lt;=" &amp; GC$1, DataRegularSeason20242025!$E$3:$E$1315, $A6)</f>
        <v>56</v>
      </c>
      <c r="GD6">
        <f>SUMIFS(DataRegularSeason20242025!$AA$3:$AA$1315,DataRegularSeason20242025!$B$3:$B$1315, "&lt;=" &amp; GD$1, DataRegularSeason20242025!$D$3:$D$1315, $A6)+SUMIFS(DataRegularSeason20242025!$AB$3:$AB$1315,DataRegularSeason20242025!$B$3:$B$1315, "&lt;=" &amp; GD$1, DataRegularSeason20242025!$E$3:$E$1315, $A6)</f>
        <v>56</v>
      </c>
      <c r="GE6">
        <f>SUMIFS(DataRegularSeason20242025!$AA$3:$AA$1315,DataRegularSeason20242025!$B$3:$B$1315, "&lt;=" &amp; GE$1, DataRegularSeason20242025!$D$3:$D$1315, $A6)+SUMIFS(DataRegularSeason20242025!$AB$3:$AB$1315,DataRegularSeason20242025!$B$3:$B$1315, "&lt;=" &amp; GE$1, DataRegularSeason20242025!$E$3:$E$1315, $A6)</f>
        <v>56</v>
      </c>
      <c r="GF6">
        <f>SUMIFS(DataRegularSeason20242025!$AA$3:$AA$1315,DataRegularSeason20242025!$B$3:$B$1315, "&lt;=" &amp; GF$1, DataRegularSeason20242025!$D$3:$D$1315, $A6)+SUMIFS(DataRegularSeason20242025!$AB$3:$AB$1315,DataRegularSeason20242025!$B$3:$B$1315, "&lt;=" &amp; GF$1, DataRegularSeason20242025!$E$3:$E$1315, $A6)</f>
        <v>56</v>
      </c>
      <c r="GG6">
        <f>SUMIFS(DataRegularSeason20242025!$AA$3:$AA$1315,DataRegularSeason20242025!$B$3:$B$1315, "&lt;=" &amp; GG$1, DataRegularSeason20242025!$D$3:$D$1315, $A6)+SUMIFS(DataRegularSeason20242025!$AB$3:$AB$1315,DataRegularSeason20242025!$B$3:$B$1315, "&lt;=" &amp; GG$1, DataRegularSeason20242025!$E$3:$E$1315, $A6)</f>
        <v>56</v>
      </c>
      <c r="GH6">
        <f>SUMIFS(DataRegularSeason20242025!$AA$3:$AA$1315,DataRegularSeason20242025!$B$3:$B$1315, "&lt;=" &amp; GH$1, DataRegularSeason20242025!$D$3:$D$1315, $A6)+SUMIFS(DataRegularSeason20242025!$AB$3:$AB$1315,DataRegularSeason20242025!$B$3:$B$1315, "&lt;=" &amp; GH$1, DataRegularSeason20242025!$E$3:$E$1315, $A6)</f>
        <v>56</v>
      </c>
      <c r="GI6">
        <f>SUMIFS(DataRegularSeason20242025!$AA$3:$AA$1315,DataRegularSeason20242025!$B$3:$B$1315, "&lt;=" &amp; GI$1, DataRegularSeason20242025!$D$3:$D$1315, $A6)+SUMIFS(DataRegularSeason20242025!$AB$3:$AB$1315,DataRegularSeason20242025!$B$3:$B$1315, "&lt;=" &amp; GI$1, DataRegularSeason20242025!$E$3:$E$1315, $A6)</f>
        <v>56</v>
      </c>
      <c r="GJ6">
        <f>SUMIFS(DataRegularSeason20242025!$AA$3:$AA$1315,DataRegularSeason20242025!$B$3:$B$1315, "&lt;=" &amp; GJ$1, DataRegularSeason20242025!$D$3:$D$1315, $A6)+SUMIFS(DataRegularSeason20242025!$AB$3:$AB$1315,DataRegularSeason20242025!$B$3:$B$1315, "&lt;=" &amp; GJ$1, DataRegularSeason20242025!$E$3:$E$1315, $A6)</f>
        <v>56</v>
      </c>
      <c r="GK6">
        <f>SUMIFS(DataRegularSeason20242025!$AA$3:$AA$1315,DataRegularSeason20242025!$B$3:$B$1315, "&lt;=" &amp; GK$1, DataRegularSeason20242025!$D$3:$D$1315, $A6)+SUMIFS(DataRegularSeason20242025!$AB$3:$AB$1315,DataRegularSeason20242025!$B$3:$B$1315, "&lt;=" &amp; GK$1, DataRegularSeason20242025!$E$3:$E$1315, $A6)</f>
        <v>56</v>
      </c>
      <c r="GL6">
        <f>SUMIFS(DataRegularSeason20242025!$AA$3:$AA$1315,DataRegularSeason20242025!$B$3:$B$1315, "&lt;=" &amp; GL$1, DataRegularSeason20242025!$D$3:$D$1315, $A6)+SUMIFS(DataRegularSeason20242025!$AB$3:$AB$1315,DataRegularSeason20242025!$B$3:$B$1315, "&lt;=" &amp; GL$1, DataRegularSeason20242025!$E$3:$E$1315, $A6)</f>
        <v>56</v>
      </c>
      <c r="GM6">
        <f>SUMIFS(DataRegularSeason20242025!$AA$3:$AA$1315,DataRegularSeason20242025!$B$3:$B$1315, "&lt;=" &amp; GM$1, DataRegularSeason20242025!$D$3:$D$1315, $A6)+SUMIFS(DataRegularSeason20242025!$AB$3:$AB$1315,DataRegularSeason20242025!$B$3:$B$1315, "&lt;=" &amp; GM$1, DataRegularSeason20242025!$E$3:$E$1315, $A6)</f>
        <v>56</v>
      </c>
      <c r="GN6">
        <f>SUMIFS(DataRegularSeason20242025!$AA$3:$AA$1315,DataRegularSeason20242025!$B$3:$B$1315, "&lt;=" &amp; GN$1, DataRegularSeason20242025!$D$3:$D$1315, $A6)+SUMIFS(DataRegularSeason20242025!$AB$3:$AB$1315,DataRegularSeason20242025!$B$3:$B$1315, "&lt;=" &amp; GN$1, DataRegularSeason20242025!$E$3:$E$1315, $A6)</f>
        <v>56</v>
      </c>
      <c r="GO6">
        <f>SUMIFS(DataRegularSeason20242025!$AA$3:$AA$1315,DataRegularSeason20242025!$B$3:$B$1315, "&lt;=" &amp; GO$1, DataRegularSeason20242025!$D$3:$D$1315, $A6)+SUMIFS(DataRegularSeason20242025!$AB$3:$AB$1315,DataRegularSeason20242025!$B$3:$B$1315, "&lt;=" &amp; GO$1, DataRegularSeason20242025!$E$3:$E$1315, $A6)</f>
        <v>56</v>
      </c>
      <c r="GP6">
        <f>SUMIFS(DataRegularSeason20242025!$AA$3:$AA$1315,DataRegularSeason20242025!$B$3:$B$1315, "&lt;=" &amp; GP$1, DataRegularSeason20242025!$D$3:$D$1315, $A6)+SUMIFS(DataRegularSeason20242025!$AB$3:$AB$1315,DataRegularSeason20242025!$B$3:$B$1315, "&lt;=" &amp; GP$1, DataRegularSeason20242025!$E$3:$E$1315, $A6)</f>
        <v>56</v>
      </c>
      <c r="GQ6">
        <f>SUMIFS(DataRegularSeason20242025!$AA$3:$AA$1315,DataRegularSeason20242025!$B$3:$B$1315, "&lt;=" &amp; GQ$1, DataRegularSeason20242025!$D$3:$D$1315, $A6)+SUMIFS(DataRegularSeason20242025!$AB$3:$AB$1315,DataRegularSeason20242025!$B$3:$B$1315, "&lt;=" &amp; GQ$1, DataRegularSeason20242025!$E$3:$E$1315, $A6)</f>
        <v>56</v>
      </c>
      <c r="GR6">
        <f>SUMIFS(DataRegularSeason20242025!$AA$3:$AA$1315,DataRegularSeason20242025!$B$3:$B$1315, "&lt;=" &amp; GR$1, DataRegularSeason20242025!$D$3:$D$1315, $A6)+SUMIFS(DataRegularSeason20242025!$AB$3:$AB$1315,DataRegularSeason20242025!$B$3:$B$1315, "&lt;=" &amp; GR$1, DataRegularSeason20242025!$E$3:$E$1315, $A6)</f>
        <v>56</v>
      </c>
      <c r="GS6">
        <f>SUMIFS(DataRegularSeason20242025!$AA$3:$AA$1315,DataRegularSeason20242025!$B$3:$B$1315, "&lt;=" &amp; GS$1, DataRegularSeason20242025!$D$3:$D$1315, $A6)+SUMIFS(DataRegularSeason20242025!$AB$3:$AB$1315,DataRegularSeason20242025!$B$3:$B$1315, "&lt;=" &amp; GS$1, DataRegularSeason20242025!$E$3:$E$1315, $A6)</f>
        <v>56</v>
      </c>
      <c r="GT6">
        <f>SUMIFS(DataRegularSeason20242025!$AA$3:$AA$1315,DataRegularSeason20242025!$B$3:$B$1315, "&lt;=" &amp; GT$1, DataRegularSeason20242025!$D$3:$D$1315, $A6)+SUMIFS(DataRegularSeason20242025!$AB$3:$AB$1315,DataRegularSeason20242025!$B$3:$B$1315, "&lt;=" &amp; GT$1, DataRegularSeason20242025!$E$3:$E$1315, $A6)</f>
        <v>56</v>
      </c>
      <c r="GU6">
        <f>SUMIFS(DataRegularSeason20242025!$AA$3:$AA$1315,DataRegularSeason20242025!$B$3:$B$1315, "&lt;=" &amp; GU$1, DataRegularSeason20242025!$D$3:$D$1315, $A6)+SUMIFS(DataRegularSeason20242025!$AB$3:$AB$1315,DataRegularSeason20242025!$B$3:$B$1315, "&lt;=" &amp; GU$1, DataRegularSeason20242025!$E$3:$E$1315, $A6)</f>
        <v>56</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51</v>
      </c>
      <c r="DQ8">
        <f>SUMIFS(DataRegularSeason20242025!$AA$3:$AA$1315,DataRegularSeason20242025!$B$3:$B$1315, "&lt;=" &amp; DQ$1, DataRegularSeason20242025!$D$3:$D$1315, $A8)+SUMIFS(DataRegularSeason20242025!$AB$3:$AB$1315,DataRegularSeason20242025!$B$3:$B$1315, "&lt;=" &amp; DQ$1, DataRegularSeason20242025!$E$3:$E$1315, $A8)</f>
        <v>51</v>
      </c>
      <c r="DR8">
        <f>SUMIFS(DataRegularSeason20242025!$AA$3:$AA$1315,DataRegularSeason20242025!$B$3:$B$1315, "&lt;=" &amp; DR$1, DataRegularSeason20242025!$D$3:$D$1315, $A8)+SUMIFS(DataRegularSeason20242025!$AB$3:$AB$1315,DataRegularSeason20242025!$B$3:$B$1315, "&lt;=" &amp; DR$1, DataRegularSeason20242025!$E$3:$E$1315, $A8)</f>
        <v>51</v>
      </c>
      <c r="DS8">
        <f>SUMIFS(DataRegularSeason20242025!$AA$3:$AA$1315,DataRegularSeason20242025!$B$3:$B$1315, "&lt;=" &amp; DS$1, DataRegularSeason20242025!$D$3:$D$1315, $A8)+SUMIFS(DataRegularSeason20242025!$AB$3:$AB$1315,DataRegularSeason20242025!$B$3:$B$1315, "&lt;=" &amp; DS$1, DataRegularSeason20242025!$E$3:$E$1315, $A8)</f>
        <v>51</v>
      </c>
      <c r="DT8">
        <f>SUMIFS(DataRegularSeason20242025!$AA$3:$AA$1315,DataRegularSeason20242025!$B$3:$B$1315, "&lt;=" &amp; DT$1, DataRegularSeason20242025!$D$3:$D$1315, $A8)+SUMIFS(DataRegularSeason20242025!$AB$3:$AB$1315,DataRegularSeason20242025!$B$3:$B$1315, "&lt;=" &amp; DT$1, DataRegularSeason20242025!$E$3:$E$1315, $A8)</f>
        <v>51</v>
      </c>
      <c r="DU8">
        <f>SUMIFS(DataRegularSeason20242025!$AA$3:$AA$1315,DataRegularSeason20242025!$B$3:$B$1315, "&lt;=" &amp; DU$1, DataRegularSeason20242025!$D$3:$D$1315, $A8)+SUMIFS(DataRegularSeason20242025!$AB$3:$AB$1315,DataRegularSeason20242025!$B$3:$B$1315, "&lt;=" &amp; DU$1, DataRegularSeason20242025!$E$3:$E$1315, $A8)</f>
        <v>51</v>
      </c>
      <c r="DV8">
        <f>SUMIFS(DataRegularSeason20242025!$AA$3:$AA$1315,DataRegularSeason20242025!$B$3:$B$1315, "&lt;=" &amp; DV$1, DataRegularSeason20242025!$D$3:$D$1315, $A8)+SUMIFS(DataRegularSeason20242025!$AB$3:$AB$1315,DataRegularSeason20242025!$B$3:$B$1315, "&lt;=" &amp; DV$1, DataRegularSeason20242025!$E$3:$E$1315, $A8)</f>
        <v>51</v>
      </c>
      <c r="DW8">
        <f>SUMIFS(DataRegularSeason20242025!$AA$3:$AA$1315,DataRegularSeason20242025!$B$3:$B$1315, "&lt;=" &amp; DW$1, DataRegularSeason20242025!$D$3:$D$1315, $A8)+SUMIFS(DataRegularSeason20242025!$AB$3:$AB$1315,DataRegularSeason20242025!$B$3:$B$1315, "&lt;=" &amp; DW$1, DataRegularSeason20242025!$E$3:$E$1315, $A8)</f>
        <v>51</v>
      </c>
      <c r="DX8">
        <f>SUMIFS(DataRegularSeason20242025!$AA$3:$AA$1315,DataRegularSeason20242025!$B$3:$B$1315, "&lt;=" &amp; DX$1, DataRegularSeason20242025!$D$3:$D$1315, $A8)+SUMIFS(DataRegularSeason20242025!$AB$3:$AB$1315,DataRegularSeason20242025!$B$3:$B$1315, "&lt;=" &amp; DX$1, DataRegularSeason20242025!$E$3:$E$1315, $A8)</f>
        <v>51</v>
      </c>
      <c r="DY8">
        <f>SUMIFS(DataRegularSeason20242025!$AA$3:$AA$1315,DataRegularSeason20242025!$B$3:$B$1315, "&lt;=" &amp; DY$1, DataRegularSeason20242025!$D$3:$D$1315, $A8)+SUMIFS(DataRegularSeason20242025!$AB$3:$AB$1315,DataRegularSeason20242025!$B$3:$B$1315, "&lt;=" &amp; DY$1, DataRegularSeason20242025!$E$3:$E$1315, $A8)</f>
        <v>51</v>
      </c>
      <c r="DZ8">
        <f>SUMIFS(DataRegularSeason20242025!$AA$3:$AA$1315,DataRegularSeason20242025!$B$3:$B$1315, "&lt;=" &amp; DZ$1, DataRegularSeason20242025!$D$3:$D$1315, $A8)+SUMIFS(DataRegularSeason20242025!$AB$3:$AB$1315,DataRegularSeason20242025!$B$3:$B$1315, "&lt;=" &amp; DZ$1, DataRegularSeason20242025!$E$3:$E$1315, $A8)</f>
        <v>51</v>
      </c>
      <c r="EA8">
        <f>SUMIFS(DataRegularSeason20242025!$AA$3:$AA$1315,DataRegularSeason20242025!$B$3:$B$1315, "&lt;=" &amp; EA$1, DataRegularSeason20242025!$D$3:$D$1315, $A8)+SUMIFS(DataRegularSeason20242025!$AB$3:$AB$1315,DataRegularSeason20242025!$B$3:$B$1315, "&lt;=" &amp; EA$1, DataRegularSeason20242025!$E$3:$E$1315, $A8)</f>
        <v>51</v>
      </c>
      <c r="EB8">
        <f>SUMIFS(DataRegularSeason20242025!$AA$3:$AA$1315,DataRegularSeason20242025!$B$3:$B$1315, "&lt;=" &amp; EB$1, DataRegularSeason20242025!$D$3:$D$1315, $A8)+SUMIFS(DataRegularSeason20242025!$AB$3:$AB$1315,DataRegularSeason20242025!$B$3:$B$1315, "&lt;=" &amp; EB$1, DataRegularSeason20242025!$E$3:$E$1315, $A8)</f>
        <v>51</v>
      </c>
      <c r="EC8">
        <f>SUMIFS(DataRegularSeason20242025!$AA$3:$AA$1315,DataRegularSeason20242025!$B$3:$B$1315, "&lt;=" &amp; EC$1, DataRegularSeason20242025!$D$3:$D$1315, $A8)+SUMIFS(DataRegularSeason20242025!$AB$3:$AB$1315,DataRegularSeason20242025!$B$3:$B$1315, "&lt;=" &amp; EC$1, DataRegularSeason20242025!$E$3:$E$1315, $A8)</f>
        <v>51</v>
      </c>
      <c r="ED8">
        <f>SUMIFS(DataRegularSeason20242025!$AA$3:$AA$1315,DataRegularSeason20242025!$B$3:$B$1315, "&lt;=" &amp; ED$1, DataRegularSeason20242025!$D$3:$D$1315, $A8)+SUMIFS(DataRegularSeason20242025!$AB$3:$AB$1315,DataRegularSeason20242025!$B$3:$B$1315, "&lt;=" &amp; ED$1, DataRegularSeason20242025!$E$3:$E$1315, $A8)</f>
        <v>51</v>
      </c>
      <c r="EE8">
        <f>SUMIFS(DataRegularSeason20242025!$AA$3:$AA$1315,DataRegularSeason20242025!$B$3:$B$1315, "&lt;=" &amp; EE$1, DataRegularSeason20242025!$D$3:$D$1315, $A8)+SUMIFS(DataRegularSeason20242025!$AB$3:$AB$1315,DataRegularSeason20242025!$B$3:$B$1315, "&lt;=" &amp; EE$1, DataRegularSeason20242025!$E$3:$E$1315, $A8)</f>
        <v>51</v>
      </c>
      <c r="EF8">
        <f>SUMIFS(DataRegularSeason20242025!$AA$3:$AA$1315,DataRegularSeason20242025!$B$3:$B$1315, "&lt;=" &amp; EF$1, DataRegularSeason20242025!$D$3:$D$1315, $A8)+SUMIFS(DataRegularSeason20242025!$AB$3:$AB$1315,DataRegularSeason20242025!$B$3:$B$1315, "&lt;=" &amp; EF$1, DataRegularSeason20242025!$E$3:$E$1315, $A8)</f>
        <v>51</v>
      </c>
      <c r="EG8">
        <f>SUMIFS(DataRegularSeason20242025!$AA$3:$AA$1315,DataRegularSeason20242025!$B$3:$B$1315, "&lt;=" &amp; EG$1, DataRegularSeason20242025!$D$3:$D$1315, $A8)+SUMIFS(DataRegularSeason20242025!$AB$3:$AB$1315,DataRegularSeason20242025!$B$3:$B$1315, "&lt;=" &amp; EG$1, DataRegularSeason20242025!$E$3:$E$1315, $A8)</f>
        <v>51</v>
      </c>
      <c r="EH8">
        <f>SUMIFS(DataRegularSeason20242025!$AA$3:$AA$1315,DataRegularSeason20242025!$B$3:$B$1315, "&lt;=" &amp; EH$1, DataRegularSeason20242025!$D$3:$D$1315, $A8)+SUMIFS(DataRegularSeason20242025!$AB$3:$AB$1315,DataRegularSeason20242025!$B$3:$B$1315, "&lt;=" &amp; EH$1, DataRegularSeason20242025!$E$3:$E$1315, $A8)</f>
        <v>51</v>
      </c>
      <c r="EI8">
        <f>SUMIFS(DataRegularSeason20242025!$AA$3:$AA$1315,DataRegularSeason20242025!$B$3:$B$1315, "&lt;=" &amp; EI$1, DataRegularSeason20242025!$D$3:$D$1315, $A8)+SUMIFS(DataRegularSeason20242025!$AB$3:$AB$1315,DataRegularSeason20242025!$B$3:$B$1315, "&lt;=" &amp; EI$1, DataRegularSeason20242025!$E$3:$E$1315, $A8)</f>
        <v>51</v>
      </c>
      <c r="EJ8">
        <f>SUMIFS(DataRegularSeason20242025!$AA$3:$AA$1315,DataRegularSeason20242025!$B$3:$B$1315, "&lt;=" &amp; EJ$1, DataRegularSeason20242025!$D$3:$D$1315, $A8)+SUMIFS(DataRegularSeason20242025!$AB$3:$AB$1315,DataRegularSeason20242025!$B$3:$B$1315, "&lt;=" &amp; EJ$1, DataRegularSeason20242025!$E$3:$E$1315, $A8)</f>
        <v>51</v>
      </c>
      <c r="EK8">
        <f>SUMIFS(DataRegularSeason20242025!$AA$3:$AA$1315,DataRegularSeason20242025!$B$3:$B$1315, "&lt;=" &amp; EK$1, DataRegularSeason20242025!$D$3:$D$1315, $A8)+SUMIFS(DataRegularSeason20242025!$AB$3:$AB$1315,DataRegularSeason20242025!$B$3:$B$1315, "&lt;=" &amp; EK$1, DataRegularSeason20242025!$E$3:$E$1315, $A8)</f>
        <v>51</v>
      </c>
      <c r="EL8">
        <f>SUMIFS(DataRegularSeason20242025!$AA$3:$AA$1315,DataRegularSeason20242025!$B$3:$B$1315, "&lt;=" &amp; EL$1, DataRegularSeason20242025!$D$3:$D$1315, $A8)+SUMIFS(DataRegularSeason20242025!$AB$3:$AB$1315,DataRegularSeason20242025!$B$3:$B$1315, "&lt;=" &amp; EL$1, DataRegularSeason20242025!$E$3:$E$1315, $A8)</f>
        <v>51</v>
      </c>
      <c r="EM8">
        <f>SUMIFS(DataRegularSeason20242025!$AA$3:$AA$1315,DataRegularSeason20242025!$B$3:$B$1315, "&lt;=" &amp; EM$1, DataRegularSeason20242025!$D$3:$D$1315, $A8)+SUMIFS(DataRegularSeason20242025!$AB$3:$AB$1315,DataRegularSeason20242025!$B$3:$B$1315, "&lt;=" &amp; EM$1, DataRegularSeason20242025!$E$3:$E$1315, $A8)</f>
        <v>51</v>
      </c>
      <c r="EN8">
        <f>SUMIFS(DataRegularSeason20242025!$AA$3:$AA$1315,DataRegularSeason20242025!$B$3:$B$1315, "&lt;=" &amp; EN$1, DataRegularSeason20242025!$D$3:$D$1315, $A8)+SUMIFS(DataRegularSeason20242025!$AB$3:$AB$1315,DataRegularSeason20242025!$B$3:$B$1315, "&lt;=" &amp; EN$1, DataRegularSeason20242025!$E$3:$E$1315, $A8)</f>
        <v>51</v>
      </c>
      <c r="EO8">
        <f>SUMIFS(DataRegularSeason20242025!$AA$3:$AA$1315,DataRegularSeason20242025!$B$3:$B$1315, "&lt;=" &amp; EO$1, DataRegularSeason20242025!$D$3:$D$1315, $A8)+SUMIFS(DataRegularSeason20242025!$AB$3:$AB$1315,DataRegularSeason20242025!$B$3:$B$1315, "&lt;=" &amp; EO$1, DataRegularSeason20242025!$E$3:$E$1315, $A8)</f>
        <v>51</v>
      </c>
      <c r="EP8">
        <f>SUMIFS(DataRegularSeason20242025!$AA$3:$AA$1315,DataRegularSeason20242025!$B$3:$B$1315, "&lt;=" &amp; EP$1, DataRegularSeason20242025!$D$3:$D$1315, $A8)+SUMIFS(DataRegularSeason20242025!$AB$3:$AB$1315,DataRegularSeason20242025!$B$3:$B$1315, "&lt;=" &amp; EP$1, DataRegularSeason20242025!$E$3:$E$1315, $A8)</f>
        <v>51</v>
      </c>
      <c r="EQ8">
        <f>SUMIFS(DataRegularSeason20242025!$AA$3:$AA$1315,DataRegularSeason20242025!$B$3:$B$1315, "&lt;=" &amp; EQ$1, DataRegularSeason20242025!$D$3:$D$1315, $A8)+SUMIFS(DataRegularSeason20242025!$AB$3:$AB$1315,DataRegularSeason20242025!$B$3:$B$1315, "&lt;=" &amp; EQ$1, DataRegularSeason20242025!$E$3:$E$1315, $A8)</f>
        <v>51</v>
      </c>
      <c r="ER8">
        <f>SUMIFS(DataRegularSeason20242025!$AA$3:$AA$1315,DataRegularSeason20242025!$B$3:$B$1315, "&lt;=" &amp; ER$1, DataRegularSeason20242025!$D$3:$D$1315, $A8)+SUMIFS(DataRegularSeason20242025!$AB$3:$AB$1315,DataRegularSeason20242025!$B$3:$B$1315, "&lt;=" &amp; ER$1, DataRegularSeason20242025!$E$3:$E$1315, $A8)</f>
        <v>51</v>
      </c>
      <c r="ES8">
        <f>SUMIFS(DataRegularSeason20242025!$AA$3:$AA$1315,DataRegularSeason20242025!$B$3:$B$1315, "&lt;=" &amp; ES$1, DataRegularSeason20242025!$D$3:$D$1315, $A8)+SUMIFS(DataRegularSeason20242025!$AB$3:$AB$1315,DataRegularSeason20242025!$B$3:$B$1315, "&lt;=" &amp; ES$1, DataRegularSeason20242025!$E$3:$E$1315, $A8)</f>
        <v>51</v>
      </c>
      <c r="ET8">
        <f>SUMIFS(DataRegularSeason20242025!$AA$3:$AA$1315,DataRegularSeason20242025!$B$3:$B$1315, "&lt;=" &amp; ET$1, DataRegularSeason20242025!$D$3:$D$1315, $A8)+SUMIFS(DataRegularSeason20242025!$AB$3:$AB$1315,DataRegularSeason20242025!$B$3:$B$1315, "&lt;=" &amp; ET$1, DataRegularSeason20242025!$E$3:$E$1315, $A8)</f>
        <v>51</v>
      </c>
      <c r="EU8">
        <f>SUMIFS(DataRegularSeason20242025!$AA$3:$AA$1315,DataRegularSeason20242025!$B$3:$B$1315, "&lt;=" &amp; EU$1, DataRegularSeason20242025!$D$3:$D$1315, $A8)+SUMIFS(DataRegularSeason20242025!$AB$3:$AB$1315,DataRegularSeason20242025!$B$3:$B$1315, "&lt;=" &amp; EU$1, DataRegularSeason20242025!$E$3:$E$1315, $A8)</f>
        <v>51</v>
      </c>
      <c r="EV8">
        <f>SUMIFS(DataRegularSeason20242025!$AA$3:$AA$1315,DataRegularSeason20242025!$B$3:$B$1315, "&lt;=" &amp; EV$1, DataRegularSeason20242025!$D$3:$D$1315, $A8)+SUMIFS(DataRegularSeason20242025!$AB$3:$AB$1315,DataRegularSeason20242025!$B$3:$B$1315, "&lt;=" &amp; EV$1, DataRegularSeason20242025!$E$3:$E$1315, $A8)</f>
        <v>51</v>
      </c>
      <c r="EW8">
        <f>SUMIFS(DataRegularSeason20242025!$AA$3:$AA$1315,DataRegularSeason20242025!$B$3:$B$1315, "&lt;=" &amp; EW$1, DataRegularSeason20242025!$D$3:$D$1315, $A8)+SUMIFS(DataRegularSeason20242025!$AB$3:$AB$1315,DataRegularSeason20242025!$B$3:$B$1315, "&lt;=" &amp; EW$1, DataRegularSeason20242025!$E$3:$E$1315, $A8)</f>
        <v>51</v>
      </c>
      <c r="EX8">
        <f>SUMIFS(DataRegularSeason20242025!$AA$3:$AA$1315,DataRegularSeason20242025!$B$3:$B$1315, "&lt;=" &amp; EX$1, DataRegularSeason20242025!$D$3:$D$1315, $A8)+SUMIFS(DataRegularSeason20242025!$AB$3:$AB$1315,DataRegularSeason20242025!$B$3:$B$1315, "&lt;=" &amp; EX$1, DataRegularSeason20242025!$E$3:$E$1315, $A8)</f>
        <v>51</v>
      </c>
      <c r="EY8">
        <f>SUMIFS(DataRegularSeason20242025!$AA$3:$AA$1315,DataRegularSeason20242025!$B$3:$B$1315, "&lt;=" &amp; EY$1, DataRegularSeason20242025!$D$3:$D$1315, $A8)+SUMIFS(DataRegularSeason20242025!$AB$3:$AB$1315,DataRegularSeason20242025!$B$3:$B$1315, "&lt;=" &amp; EY$1, DataRegularSeason20242025!$E$3:$E$1315, $A8)</f>
        <v>51</v>
      </c>
      <c r="EZ8">
        <f>SUMIFS(DataRegularSeason20242025!$AA$3:$AA$1315,DataRegularSeason20242025!$B$3:$B$1315, "&lt;=" &amp; EZ$1, DataRegularSeason20242025!$D$3:$D$1315, $A8)+SUMIFS(DataRegularSeason20242025!$AB$3:$AB$1315,DataRegularSeason20242025!$B$3:$B$1315, "&lt;=" &amp; EZ$1, DataRegularSeason20242025!$E$3:$E$1315, $A8)</f>
        <v>51</v>
      </c>
      <c r="FA8">
        <f>SUMIFS(DataRegularSeason20242025!$AA$3:$AA$1315,DataRegularSeason20242025!$B$3:$B$1315, "&lt;=" &amp; FA$1, DataRegularSeason20242025!$D$3:$D$1315, $A8)+SUMIFS(DataRegularSeason20242025!$AB$3:$AB$1315,DataRegularSeason20242025!$B$3:$B$1315, "&lt;=" &amp; FA$1, DataRegularSeason20242025!$E$3:$E$1315, $A8)</f>
        <v>51</v>
      </c>
      <c r="FB8">
        <f>SUMIFS(DataRegularSeason20242025!$AA$3:$AA$1315,DataRegularSeason20242025!$B$3:$B$1315, "&lt;=" &amp; FB$1, DataRegularSeason20242025!$D$3:$D$1315, $A8)+SUMIFS(DataRegularSeason20242025!$AB$3:$AB$1315,DataRegularSeason20242025!$B$3:$B$1315, "&lt;=" &amp; FB$1, DataRegularSeason20242025!$E$3:$E$1315, $A8)</f>
        <v>51</v>
      </c>
      <c r="FC8">
        <f>SUMIFS(DataRegularSeason20242025!$AA$3:$AA$1315,DataRegularSeason20242025!$B$3:$B$1315, "&lt;=" &amp; FC$1, DataRegularSeason20242025!$D$3:$D$1315, $A8)+SUMIFS(DataRegularSeason20242025!$AB$3:$AB$1315,DataRegularSeason20242025!$B$3:$B$1315, "&lt;=" &amp; FC$1, DataRegularSeason20242025!$E$3:$E$1315, $A8)</f>
        <v>51</v>
      </c>
      <c r="FD8">
        <f>SUMIFS(DataRegularSeason20242025!$AA$3:$AA$1315,DataRegularSeason20242025!$B$3:$B$1315, "&lt;=" &amp; FD$1, DataRegularSeason20242025!$D$3:$D$1315, $A8)+SUMIFS(DataRegularSeason20242025!$AB$3:$AB$1315,DataRegularSeason20242025!$B$3:$B$1315, "&lt;=" &amp; FD$1, DataRegularSeason20242025!$E$3:$E$1315, $A8)</f>
        <v>51</v>
      </c>
      <c r="FE8">
        <f>SUMIFS(DataRegularSeason20242025!$AA$3:$AA$1315,DataRegularSeason20242025!$B$3:$B$1315, "&lt;=" &amp; FE$1, DataRegularSeason20242025!$D$3:$D$1315, $A8)+SUMIFS(DataRegularSeason20242025!$AB$3:$AB$1315,DataRegularSeason20242025!$B$3:$B$1315, "&lt;=" &amp; FE$1, DataRegularSeason20242025!$E$3:$E$1315, $A8)</f>
        <v>51</v>
      </c>
      <c r="FF8">
        <f>SUMIFS(DataRegularSeason20242025!$AA$3:$AA$1315,DataRegularSeason20242025!$B$3:$B$1315, "&lt;=" &amp; FF$1, DataRegularSeason20242025!$D$3:$D$1315, $A8)+SUMIFS(DataRegularSeason20242025!$AB$3:$AB$1315,DataRegularSeason20242025!$B$3:$B$1315, "&lt;=" &amp; FF$1, DataRegularSeason20242025!$E$3:$E$1315, $A8)</f>
        <v>51</v>
      </c>
      <c r="FG8">
        <f>SUMIFS(DataRegularSeason20242025!$AA$3:$AA$1315,DataRegularSeason20242025!$B$3:$B$1315, "&lt;=" &amp; FG$1, DataRegularSeason20242025!$D$3:$D$1315, $A8)+SUMIFS(DataRegularSeason20242025!$AB$3:$AB$1315,DataRegularSeason20242025!$B$3:$B$1315, "&lt;=" &amp; FG$1, DataRegularSeason20242025!$E$3:$E$1315, $A8)</f>
        <v>51</v>
      </c>
      <c r="FH8">
        <f>SUMIFS(DataRegularSeason20242025!$AA$3:$AA$1315,DataRegularSeason20242025!$B$3:$B$1315, "&lt;=" &amp; FH$1, DataRegularSeason20242025!$D$3:$D$1315, $A8)+SUMIFS(DataRegularSeason20242025!$AB$3:$AB$1315,DataRegularSeason20242025!$B$3:$B$1315, "&lt;=" &amp; FH$1, DataRegularSeason20242025!$E$3:$E$1315, $A8)</f>
        <v>51</v>
      </c>
      <c r="FI8">
        <f>SUMIFS(DataRegularSeason20242025!$AA$3:$AA$1315,DataRegularSeason20242025!$B$3:$B$1315, "&lt;=" &amp; FI$1, DataRegularSeason20242025!$D$3:$D$1315, $A8)+SUMIFS(DataRegularSeason20242025!$AB$3:$AB$1315,DataRegularSeason20242025!$B$3:$B$1315, "&lt;=" &amp; FI$1, DataRegularSeason20242025!$E$3:$E$1315, $A8)</f>
        <v>51</v>
      </c>
      <c r="FJ8">
        <f>SUMIFS(DataRegularSeason20242025!$AA$3:$AA$1315,DataRegularSeason20242025!$B$3:$B$1315, "&lt;=" &amp; FJ$1, DataRegularSeason20242025!$D$3:$D$1315, $A8)+SUMIFS(DataRegularSeason20242025!$AB$3:$AB$1315,DataRegularSeason20242025!$B$3:$B$1315, "&lt;=" &amp; FJ$1, DataRegularSeason20242025!$E$3:$E$1315, $A8)</f>
        <v>51</v>
      </c>
      <c r="FK8">
        <f>SUMIFS(DataRegularSeason20242025!$AA$3:$AA$1315,DataRegularSeason20242025!$B$3:$B$1315, "&lt;=" &amp; FK$1, DataRegularSeason20242025!$D$3:$D$1315, $A8)+SUMIFS(DataRegularSeason20242025!$AB$3:$AB$1315,DataRegularSeason20242025!$B$3:$B$1315, "&lt;=" &amp; FK$1, DataRegularSeason20242025!$E$3:$E$1315, $A8)</f>
        <v>51</v>
      </c>
      <c r="FL8">
        <f>SUMIFS(DataRegularSeason20242025!$AA$3:$AA$1315,DataRegularSeason20242025!$B$3:$B$1315, "&lt;=" &amp; FL$1, DataRegularSeason20242025!$D$3:$D$1315, $A8)+SUMIFS(DataRegularSeason20242025!$AB$3:$AB$1315,DataRegularSeason20242025!$B$3:$B$1315, "&lt;=" &amp; FL$1, DataRegularSeason20242025!$E$3:$E$1315, $A8)</f>
        <v>51</v>
      </c>
      <c r="FM8">
        <f>SUMIFS(DataRegularSeason20242025!$AA$3:$AA$1315,DataRegularSeason20242025!$B$3:$B$1315, "&lt;=" &amp; FM$1, DataRegularSeason20242025!$D$3:$D$1315, $A8)+SUMIFS(DataRegularSeason20242025!$AB$3:$AB$1315,DataRegularSeason20242025!$B$3:$B$1315, "&lt;=" &amp; FM$1, DataRegularSeason20242025!$E$3:$E$1315, $A8)</f>
        <v>51</v>
      </c>
      <c r="FN8">
        <f>SUMIFS(DataRegularSeason20242025!$AA$3:$AA$1315,DataRegularSeason20242025!$B$3:$B$1315, "&lt;=" &amp; FN$1, DataRegularSeason20242025!$D$3:$D$1315, $A8)+SUMIFS(DataRegularSeason20242025!$AB$3:$AB$1315,DataRegularSeason20242025!$B$3:$B$1315, "&lt;=" &amp; FN$1, DataRegularSeason20242025!$E$3:$E$1315, $A8)</f>
        <v>51</v>
      </c>
      <c r="FO8">
        <f>SUMIFS(DataRegularSeason20242025!$AA$3:$AA$1315,DataRegularSeason20242025!$B$3:$B$1315, "&lt;=" &amp; FO$1, DataRegularSeason20242025!$D$3:$D$1315, $A8)+SUMIFS(DataRegularSeason20242025!$AB$3:$AB$1315,DataRegularSeason20242025!$B$3:$B$1315, "&lt;=" &amp; FO$1, DataRegularSeason20242025!$E$3:$E$1315, $A8)</f>
        <v>51</v>
      </c>
      <c r="FP8">
        <f>SUMIFS(DataRegularSeason20242025!$AA$3:$AA$1315,DataRegularSeason20242025!$B$3:$B$1315, "&lt;=" &amp; FP$1, DataRegularSeason20242025!$D$3:$D$1315, $A8)+SUMIFS(DataRegularSeason20242025!$AB$3:$AB$1315,DataRegularSeason20242025!$B$3:$B$1315, "&lt;=" &amp; FP$1, DataRegularSeason20242025!$E$3:$E$1315, $A8)</f>
        <v>51</v>
      </c>
      <c r="FQ8">
        <f>SUMIFS(DataRegularSeason20242025!$AA$3:$AA$1315,DataRegularSeason20242025!$B$3:$B$1315, "&lt;=" &amp; FQ$1, DataRegularSeason20242025!$D$3:$D$1315, $A8)+SUMIFS(DataRegularSeason20242025!$AB$3:$AB$1315,DataRegularSeason20242025!$B$3:$B$1315, "&lt;=" &amp; FQ$1, DataRegularSeason20242025!$E$3:$E$1315, $A8)</f>
        <v>51</v>
      </c>
      <c r="FR8">
        <f>SUMIFS(DataRegularSeason20242025!$AA$3:$AA$1315,DataRegularSeason20242025!$B$3:$B$1315, "&lt;=" &amp; FR$1, DataRegularSeason20242025!$D$3:$D$1315, $A8)+SUMIFS(DataRegularSeason20242025!$AB$3:$AB$1315,DataRegularSeason20242025!$B$3:$B$1315, "&lt;=" &amp; FR$1, DataRegularSeason20242025!$E$3:$E$1315, $A8)</f>
        <v>51</v>
      </c>
      <c r="FS8">
        <f>SUMIFS(DataRegularSeason20242025!$AA$3:$AA$1315,DataRegularSeason20242025!$B$3:$B$1315, "&lt;=" &amp; FS$1, DataRegularSeason20242025!$D$3:$D$1315, $A8)+SUMIFS(DataRegularSeason20242025!$AB$3:$AB$1315,DataRegularSeason20242025!$B$3:$B$1315, "&lt;=" &amp; FS$1, DataRegularSeason20242025!$E$3:$E$1315, $A8)</f>
        <v>51</v>
      </c>
      <c r="FT8">
        <f>SUMIFS(DataRegularSeason20242025!$AA$3:$AA$1315,DataRegularSeason20242025!$B$3:$B$1315, "&lt;=" &amp; FT$1, DataRegularSeason20242025!$D$3:$D$1315, $A8)+SUMIFS(DataRegularSeason20242025!$AB$3:$AB$1315,DataRegularSeason20242025!$B$3:$B$1315, "&lt;=" &amp; FT$1, DataRegularSeason20242025!$E$3:$E$1315, $A8)</f>
        <v>51</v>
      </c>
      <c r="FU8">
        <f>SUMIFS(DataRegularSeason20242025!$AA$3:$AA$1315,DataRegularSeason20242025!$B$3:$B$1315, "&lt;=" &amp; FU$1, DataRegularSeason20242025!$D$3:$D$1315, $A8)+SUMIFS(DataRegularSeason20242025!$AB$3:$AB$1315,DataRegularSeason20242025!$B$3:$B$1315, "&lt;=" &amp; FU$1, DataRegularSeason20242025!$E$3:$E$1315, $A8)</f>
        <v>51</v>
      </c>
      <c r="FV8">
        <f>SUMIFS(DataRegularSeason20242025!$AA$3:$AA$1315,DataRegularSeason20242025!$B$3:$B$1315, "&lt;=" &amp; FV$1, DataRegularSeason20242025!$D$3:$D$1315, $A8)+SUMIFS(DataRegularSeason20242025!$AB$3:$AB$1315,DataRegularSeason20242025!$B$3:$B$1315, "&lt;=" &amp; FV$1, DataRegularSeason20242025!$E$3:$E$1315, $A8)</f>
        <v>51</v>
      </c>
      <c r="FW8">
        <f>SUMIFS(DataRegularSeason20242025!$AA$3:$AA$1315,DataRegularSeason20242025!$B$3:$B$1315, "&lt;=" &amp; FW$1, DataRegularSeason20242025!$D$3:$D$1315, $A8)+SUMIFS(DataRegularSeason20242025!$AB$3:$AB$1315,DataRegularSeason20242025!$B$3:$B$1315, "&lt;=" &amp; FW$1, DataRegularSeason20242025!$E$3:$E$1315, $A8)</f>
        <v>51</v>
      </c>
      <c r="FX8">
        <f>SUMIFS(DataRegularSeason20242025!$AA$3:$AA$1315,DataRegularSeason20242025!$B$3:$B$1315, "&lt;=" &amp; FX$1, DataRegularSeason20242025!$D$3:$D$1315, $A8)+SUMIFS(DataRegularSeason20242025!$AB$3:$AB$1315,DataRegularSeason20242025!$B$3:$B$1315, "&lt;=" &amp; FX$1, DataRegularSeason20242025!$E$3:$E$1315, $A8)</f>
        <v>51</v>
      </c>
      <c r="FY8">
        <f>SUMIFS(DataRegularSeason20242025!$AA$3:$AA$1315,DataRegularSeason20242025!$B$3:$B$1315, "&lt;=" &amp; FY$1, DataRegularSeason20242025!$D$3:$D$1315, $A8)+SUMIFS(DataRegularSeason20242025!$AB$3:$AB$1315,DataRegularSeason20242025!$B$3:$B$1315, "&lt;=" &amp; FY$1, DataRegularSeason20242025!$E$3:$E$1315, $A8)</f>
        <v>51</v>
      </c>
      <c r="FZ8">
        <f>SUMIFS(DataRegularSeason20242025!$AA$3:$AA$1315,DataRegularSeason20242025!$B$3:$B$1315, "&lt;=" &amp; FZ$1, DataRegularSeason20242025!$D$3:$D$1315, $A8)+SUMIFS(DataRegularSeason20242025!$AB$3:$AB$1315,DataRegularSeason20242025!$B$3:$B$1315, "&lt;=" &amp; FZ$1, DataRegularSeason20242025!$E$3:$E$1315, $A8)</f>
        <v>51</v>
      </c>
      <c r="GA8">
        <f>SUMIFS(DataRegularSeason20242025!$AA$3:$AA$1315,DataRegularSeason20242025!$B$3:$B$1315, "&lt;=" &amp; GA$1, DataRegularSeason20242025!$D$3:$D$1315, $A8)+SUMIFS(DataRegularSeason20242025!$AB$3:$AB$1315,DataRegularSeason20242025!$B$3:$B$1315, "&lt;=" &amp; GA$1, DataRegularSeason20242025!$E$3:$E$1315, $A8)</f>
        <v>51</v>
      </c>
      <c r="GB8">
        <f>SUMIFS(DataRegularSeason20242025!$AA$3:$AA$1315,DataRegularSeason20242025!$B$3:$B$1315, "&lt;=" &amp; GB$1, DataRegularSeason20242025!$D$3:$D$1315, $A8)+SUMIFS(DataRegularSeason20242025!$AB$3:$AB$1315,DataRegularSeason20242025!$B$3:$B$1315, "&lt;=" &amp; GB$1, DataRegularSeason20242025!$E$3:$E$1315, $A8)</f>
        <v>51</v>
      </c>
      <c r="GC8">
        <f>SUMIFS(DataRegularSeason20242025!$AA$3:$AA$1315,DataRegularSeason20242025!$B$3:$B$1315, "&lt;=" &amp; GC$1, DataRegularSeason20242025!$D$3:$D$1315, $A8)+SUMIFS(DataRegularSeason20242025!$AB$3:$AB$1315,DataRegularSeason20242025!$B$3:$B$1315, "&lt;=" &amp; GC$1, DataRegularSeason20242025!$E$3:$E$1315, $A8)</f>
        <v>51</v>
      </c>
      <c r="GD8">
        <f>SUMIFS(DataRegularSeason20242025!$AA$3:$AA$1315,DataRegularSeason20242025!$B$3:$B$1315, "&lt;=" &amp; GD$1, DataRegularSeason20242025!$D$3:$D$1315, $A8)+SUMIFS(DataRegularSeason20242025!$AB$3:$AB$1315,DataRegularSeason20242025!$B$3:$B$1315, "&lt;=" &amp; GD$1, DataRegularSeason20242025!$E$3:$E$1315, $A8)</f>
        <v>51</v>
      </c>
      <c r="GE8">
        <f>SUMIFS(DataRegularSeason20242025!$AA$3:$AA$1315,DataRegularSeason20242025!$B$3:$B$1315, "&lt;=" &amp; GE$1, DataRegularSeason20242025!$D$3:$D$1315, $A8)+SUMIFS(DataRegularSeason20242025!$AB$3:$AB$1315,DataRegularSeason20242025!$B$3:$B$1315, "&lt;=" &amp; GE$1, DataRegularSeason20242025!$E$3:$E$1315, $A8)</f>
        <v>51</v>
      </c>
      <c r="GF8">
        <f>SUMIFS(DataRegularSeason20242025!$AA$3:$AA$1315,DataRegularSeason20242025!$B$3:$B$1315, "&lt;=" &amp; GF$1, DataRegularSeason20242025!$D$3:$D$1315, $A8)+SUMIFS(DataRegularSeason20242025!$AB$3:$AB$1315,DataRegularSeason20242025!$B$3:$B$1315, "&lt;=" &amp; GF$1, DataRegularSeason20242025!$E$3:$E$1315, $A8)</f>
        <v>51</v>
      </c>
      <c r="GG8">
        <f>SUMIFS(DataRegularSeason20242025!$AA$3:$AA$1315,DataRegularSeason20242025!$B$3:$B$1315, "&lt;=" &amp; GG$1, DataRegularSeason20242025!$D$3:$D$1315, $A8)+SUMIFS(DataRegularSeason20242025!$AB$3:$AB$1315,DataRegularSeason20242025!$B$3:$B$1315, "&lt;=" &amp; GG$1, DataRegularSeason20242025!$E$3:$E$1315, $A8)</f>
        <v>51</v>
      </c>
      <c r="GH8">
        <f>SUMIFS(DataRegularSeason20242025!$AA$3:$AA$1315,DataRegularSeason20242025!$B$3:$B$1315, "&lt;=" &amp; GH$1, DataRegularSeason20242025!$D$3:$D$1315, $A8)+SUMIFS(DataRegularSeason20242025!$AB$3:$AB$1315,DataRegularSeason20242025!$B$3:$B$1315, "&lt;=" &amp; GH$1, DataRegularSeason20242025!$E$3:$E$1315, $A8)</f>
        <v>51</v>
      </c>
      <c r="GI8">
        <f>SUMIFS(DataRegularSeason20242025!$AA$3:$AA$1315,DataRegularSeason20242025!$B$3:$B$1315, "&lt;=" &amp; GI$1, DataRegularSeason20242025!$D$3:$D$1315, $A8)+SUMIFS(DataRegularSeason20242025!$AB$3:$AB$1315,DataRegularSeason20242025!$B$3:$B$1315, "&lt;=" &amp; GI$1, DataRegularSeason20242025!$E$3:$E$1315, $A8)</f>
        <v>51</v>
      </c>
      <c r="GJ8">
        <f>SUMIFS(DataRegularSeason20242025!$AA$3:$AA$1315,DataRegularSeason20242025!$B$3:$B$1315, "&lt;=" &amp; GJ$1, DataRegularSeason20242025!$D$3:$D$1315, $A8)+SUMIFS(DataRegularSeason20242025!$AB$3:$AB$1315,DataRegularSeason20242025!$B$3:$B$1315, "&lt;=" &amp; GJ$1, DataRegularSeason20242025!$E$3:$E$1315, $A8)</f>
        <v>51</v>
      </c>
      <c r="GK8">
        <f>SUMIFS(DataRegularSeason20242025!$AA$3:$AA$1315,DataRegularSeason20242025!$B$3:$B$1315, "&lt;=" &amp; GK$1, DataRegularSeason20242025!$D$3:$D$1315, $A8)+SUMIFS(DataRegularSeason20242025!$AB$3:$AB$1315,DataRegularSeason20242025!$B$3:$B$1315, "&lt;=" &amp; GK$1, DataRegularSeason20242025!$E$3:$E$1315, $A8)</f>
        <v>51</v>
      </c>
      <c r="GL8">
        <f>SUMIFS(DataRegularSeason20242025!$AA$3:$AA$1315,DataRegularSeason20242025!$B$3:$B$1315, "&lt;=" &amp; GL$1, DataRegularSeason20242025!$D$3:$D$1315, $A8)+SUMIFS(DataRegularSeason20242025!$AB$3:$AB$1315,DataRegularSeason20242025!$B$3:$B$1315, "&lt;=" &amp; GL$1, DataRegularSeason20242025!$E$3:$E$1315, $A8)</f>
        <v>51</v>
      </c>
      <c r="GM8">
        <f>SUMIFS(DataRegularSeason20242025!$AA$3:$AA$1315,DataRegularSeason20242025!$B$3:$B$1315, "&lt;=" &amp; GM$1, DataRegularSeason20242025!$D$3:$D$1315, $A8)+SUMIFS(DataRegularSeason20242025!$AB$3:$AB$1315,DataRegularSeason20242025!$B$3:$B$1315, "&lt;=" &amp; GM$1, DataRegularSeason20242025!$E$3:$E$1315, $A8)</f>
        <v>51</v>
      </c>
      <c r="GN8">
        <f>SUMIFS(DataRegularSeason20242025!$AA$3:$AA$1315,DataRegularSeason20242025!$B$3:$B$1315, "&lt;=" &amp; GN$1, DataRegularSeason20242025!$D$3:$D$1315, $A8)+SUMIFS(DataRegularSeason20242025!$AB$3:$AB$1315,DataRegularSeason20242025!$B$3:$B$1315, "&lt;=" &amp; GN$1, DataRegularSeason20242025!$E$3:$E$1315, $A8)</f>
        <v>51</v>
      </c>
      <c r="GO8">
        <f>SUMIFS(DataRegularSeason20242025!$AA$3:$AA$1315,DataRegularSeason20242025!$B$3:$B$1315, "&lt;=" &amp; GO$1, DataRegularSeason20242025!$D$3:$D$1315, $A8)+SUMIFS(DataRegularSeason20242025!$AB$3:$AB$1315,DataRegularSeason20242025!$B$3:$B$1315, "&lt;=" &amp; GO$1, DataRegularSeason20242025!$E$3:$E$1315, $A8)</f>
        <v>51</v>
      </c>
      <c r="GP8">
        <f>SUMIFS(DataRegularSeason20242025!$AA$3:$AA$1315,DataRegularSeason20242025!$B$3:$B$1315, "&lt;=" &amp; GP$1, DataRegularSeason20242025!$D$3:$D$1315, $A8)+SUMIFS(DataRegularSeason20242025!$AB$3:$AB$1315,DataRegularSeason20242025!$B$3:$B$1315, "&lt;=" &amp; GP$1, DataRegularSeason20242025!$E$3:$E$1315, $A8)</f>
        <v>51</v>
      </c>
      <c r="GQ8">
        <f>SUMIFS(DataRegularSeason20242025!$AA$3:$AA$1315,DataRegularSeason20242025!$B$3:$B$1315, "&lt;=" &amp; GQ$1, DataRegularSeason20242025!$D$3:$D$1315, $A8)+SUMIFS(DataRegularSeason20242025!$AB$3:$AB$1315,DataRegularSeason20242025!$B$3:$B$1315, "&lt;=" &amp; GQ$1, DataRegularSeason20242025!$E$3:$E$1315, $A8)</f>
        <v>51</v>
      </c>
      <c r="GR8">
        <f>SUMIFS(DataRegularSeason20242025!$AA$3:$AA$1315,DataRegularSeason20242025!$B$3:$B$1315, "&lt;=" &amp; GR$1, DataRegularSeason20242025!$D$3:$D$1315, $A8)+SUMIFS(DataRegularSeason20242025!$AB$3:$AB$1315,DataRegularSeason20242025!$B$3:$B$1315, "&lt;=" &amp; GR$1, DataRegularSeason20242025!$E$3:$E$1315, $A8)</f>
        <v>51</v>
      </c>
      <c r="GS8">
        <f>SUMIFS(DataRegularSeason20242025!$AA$3:$AA$1315,DataRegularSeason20242025!$B$3:$B$1315, "&lt;=" &amp; GS$1, DataRegularSeason20242025!$D$3:$D$1315, $A8)+SUMIFS(DataRegularSeason20242025!$AB$3:$AB$1315,DataRegularSeason20242025!$B$3:$B$1315, "&lt;=" &amp; GS$1, DataRegularSeason20242025!$E$3:$E$1315, $A8)</f>
        <v>51</v>
      </c>
      <c r="GT8">
        <f>SUMIFS(DataRegularSeason20242025!$AA$3:$AA$1315,DataRegularSeason20242025!$B$3:$B$1315, "&lt;=" &amp; GT$1, DataRegularSeason20242025!$D$3:$D$1315, $A8)+SUMIFS(DataRegularSeason20242025!$AB$3:$AB$1315,DataRegularSeason20242025!$B$3:$B$1315, "&lt;=" &amp; GT$1, DataRegularSeason20242025!$E$3:$E$1315, $A8)</f>
        <v>51</v>
      </c>
      <c r="GU8">
        <f>SUMIFS(DataRegularSeason20242025!$AA$3:$AA$1315,DataRegularSeason20242025!$B$3:$B$1315, "&lt;=" &amp; GU$1, DataRegularSeason20242025!$D$3:$D$1315, $A8)+SUMIFS(DataRegularSeason20242025!$AB$3:$AB$1315,DataRegularSeason20242025!$B$3:$B$1315, "&lt;=" &amp; GU$1, DataRegularSeason20242025!$E$3:$E$1315, $A8)</f>
        <v>51</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50</v>
      </c>
      <c r="DQ15">
        <f>SUMIFS(DataRegularSeason20242025!$AA$3:$AA$1315,DataRegularSeason20242025!$B$3:$B$1315, "&lt;=" &amp; DQ$1, DataRegularSeason20242025!$D$3:$D$1315, $A15)+SUMIFS(DataRegularSeason20242025!$AB$3:$AB$1315,DataRegularSeason20242025!$B$3:$B$1315, "&lt;=" &amp; DQ$1, DataRegularSeason20242025!$E$3:$E$1315, $A15)</f>
        <v>50</v>
      </c>
      <c r="DR15">
        <f>SUMIFS(DataRegularSeason20242025!$AA$3:$AA$1315,DataRegularSeason20242025!$B$3:$B$1315, "&lt;=" &amp; DR$1, DataRegularSeason20242025!$D$3:$D$1315, $A15)+SUMIFS(DataRegularSeason20242025!$AB$3:$AB$1315,DataRegularSeason20242025!$B$3:$B$1315, "&lt;=" &amp; DR$1, DataRegularSeason20242025!$E$3:$E$1315, $A15)</f>
        <v>50</v>
      </c>
      <c r="DS15">
        <f>SUMIFS(DataRegularSeason20242025!$AA$3:$AA$1315,DataRegularSeason20242025!$B$3:$B$1315, "&lt;=" &amp; DS$1, DataRegularSeason20242025!$D$3:$D$1315, $A15)+SUMIFS(DataRegularSeason20242025!$AB$3:$AB$1315,DataRegularSeason20242025!$B$3:$B$1315, "&lt;=" &amp; DS$1, DataRegularSeason20242025!$E$3:$E$1315, $A15)</f>
        <v>50</v>
      </c>
      <c r="DT15">
        <f>SUMIFS(DataRegularSeason20242025!$AA$3:$AA$1315,DataRegularSeason20242025!$B$3:$B$1315, "&lt;=" &amp; DT$1, DataRegularSeason20242025!$D$3:$D$1315, $A15)+SUMIFS(DataRegularSeason20242025!$AB$3:$AB$1315,DataRegularSeason20242025!$B$3:$B$1315, "&lt;=" &amp; DT$1, DataRegularSeason20242025!$E$3:$E$1315, $A15)</f>
        <v>50</v>
      </c>
      <c r="DU15">
        <f>SUMIFS(DataRegularSeason20242025!$AA$3:$AA$1315,DataRegularSeason20242025!$B$3:$B$1315, "&lt;=" &amp; DU$1, DataRegularSeason20242025!$D$3:$D$1315, $A15)+SUMIFS(DataRegularSeason20242025!$AB$3:$AB$1315,DataRegularSeason20242025!$B$3:$B$1315, "&lt;=" &amp; DU$1, DataRegularSeason20242025!$E$3:$E$1315, $A15)</f>
        <v>50</v>
      </c>
      <c r="DV15">
        <f>SUMIFS(DataRegularSeason20242025!$AA$3:$AA$1315,DataRegularSeason20242025!$B$3:$B$1315, "&lt;=" &amp; DV$1, DataRegularSeason20242025!$D$3:$D$1315, $A15)+SUMIFS(DataRegularSeason20242025!$AB$3:$AB$1315,DataRegularSeason20242025!$B$3:$B$1315, "&lt;=" &amp; DV$1, DataRegularSeason20242025!$E$3:$E$1315, $A15)</f>
        <v>50</v>
      </c>
      <c r="DW15">
        <f>SUMIFS(DataRegularSeason20242025!$AA$3:$AA$1315,DataRegularSeason20242025!$B$3:$B$1315, "&lt;=" &amp; DW$1, DataRegularSeason20242025!$D$3:$D$1315, $A15)+SUMIFS(DataRegularSeason20242025!$AB$3:$AB$1315,DataRegularSeason20242025!$B$3:$B$1315, "&lt;=" &amp; DW$1, DataRegularSeason20242025!$E$3:$E$1315, $A15)</f>
        <v>50</v>
      </c>
      <c r="DX15">
        <f>SUMIFS(DataRegularSeason20242025!$AA$3:$AA$1315,DataRegularSeason20242025!$B$3:$B$1315, "&lt;=" &amp; DX$1, DataRegularSeason20242025!$D$3:$D$1315, $A15)+SUMIFS(DataRegularSeason20242025!$AB$3:$AB$1315,DataRegularSeason20242025!$B$3:$B$1315, "&lt;=" &amp; DX$1, DataRegularSeason20242025!$E$3:$E$1315, $A15)</f>
        <v>50</v>
      </c>
      <c r="DY15">
        <f>SUMIFS(DataRegularSeason20242025!$AA$3:$AA$1315,DataRegularSeason20242025!$B$3:$B$1315, "&lt;=" &amp; DY$1, DataRegularSeason20242025!$D$3:$D$1315, $A15)+SUMIFS(DataRegularSeason20242025!$AB$3:$AB$1315,DataRegularSeason20242025!$B$3:$B$1315, "&lt;=" &amp; DY$1, DataRegularSeason20242025!$E$3:$E$1315, $A15)</f>
        <v>50</v>
      </c>
      <c r="DZ15">
        <f>SUMIFS(DataRegularSeason20242025!$AA$3:$AA$1315,DataRegularSeason20242025!$B$3:$B$1315, "&lt;=" &amp; DZ$1, DataRegularSeason20242025!$D$3:$D$1315, $A15)+SUMIFS(DataRegularSeason20242025!$AB$3:$AB$1315,DataRegularSeason20242025!$B$3:$B$1315, "&lt;=" &amp; DZ$1, DataRegularSeason20242025!$E$3:$E$1315, $A15)</f>
        <v>50</v>
      </c>
      <c r="EA15">
        <f>SUMIFS(DataRegularSeason20242025!$AA$3:$AA$1315,DataRegularSeason20242025!$B$3:$B$1315, "&lt;=" &amp; EA$1, DataRegularSeason20242025!$D$3:$D$1315, $A15)+SUMIFS(DataRegularSeason20242025!$AB$3:$AB$1315,DataRegularSeason20242025!$B$3:$B$1315, "&lt;=" &amp; EA$1, DataRegularSeason20242025!$E$3:$E$1315, $A15)</f>
        <v>50</v>
      </c>
      <c r="EB15">
        <f>SUMIFS(DataRegularSeason20242025!$AA$3:$AA$1315,DataRegularSeason20242025!$B$3:$B$1315, "&lt;=" &amp; EB$1, DataRegularSeason20242025!$D$3:$D$1315, $A15)+SUMIFS(DataRegularSeason20242025!$AB$3:$AB$1315,DataRegularSeason20242025!$B$3:$B$1315, "&lt;=" &amp; EB$1, DataRegularSeason20242025!$E$3:$E$1315, $A15)</f>
        <v>50</v>
      </c>
      <c r="EC15">
        <f>SUMIFS(DataRegularSeason20242025!$AA$3:$AA$1315,DataRegularSeason20242025!$B$3:$B$1315, "&lt;=" &amp; EC$1, DataRegularSeason20242025!$D$3:$D$1315, $A15)+SUMIFS(DataRegularSeason20242025!$AB$3:$AB$1315,DataRegularSeason20242025!$B$3:$B$1315, "&lt;=" &amp; EC$1, DataRegularSeason20242025!$E$3:$E$1315, $A15)</f>
        <v>50</v>
      </c>
      <c r="ED15">
        <f>SUMIFS(DataRegularSeason20242025!$AA$3:$AA$1315,DataRegularSeason20242025!$B$3:$B$1315, "&lt;=" &amp; ED$1, DataRegularSeason20242025!$D$3:$D$1315, $A15)+SUMIFS(DataRegularSeason20242025!$AB$3:$AB$1315,DataRegularSeason20242025!$B$3:$B$1315, "&lt;=" &amp; ED$1, DataRegularSeason20242025!$E$3:$E$1315, $A15)</f>
        <v>50</v>
      </c>
      <c r="EE15">
        <f>SUMIFS(DataRegularSeason20242025!$AA$3:$AA$1315,DataRegularSeason20242025!$B$3:$B$1315, "&lt;=" &amp; EE$1, DataRegularSeason20242025!$D$3:$D$1315, $A15)+SUMIFS(DataRegularSeason20242025!$AB$3:$AB$1315,DataRegularSeason20242025!$B$3:$B$1315, "&lt;=" &amp; EE$1, DataRegularSeason20242025!$E$3:$E$1315, $A15)</f>
        <v>50</v>
      </c>
      <c r="EF15">
        <f>SUMIFS(DataRegularSeason20242025!$AA$3:$AA$1315,DataRegularSeason20242025!$B$3:$B$1315, "&lt;=" &amp; EF$1, DataRegularSeason20242025!$D$3:$D$1315, $A15)+SUMIFS(DataRegularSeason20242025!$AB$3:$AB$1315,DataRegularSeason20242025!$B$3:$B$1315, "&lt;=" &amp; EF$1, DataRegularSeason20242025!$E$3:$E$1315, $A15)</f>
        <v>50</v>
      </c>
      <c r="EG15">
        <f>SUMIFS(DataRegularSeason20242025!$AA$3:$AA$1315,DataRegularSeason20242025!$B$3:$B$1315, "&lt;=" &amp; EG$1, DataRegularSeason20242025!$D$3:$D$1315, $A15)+SUMIFS(DataRegularSeason20242025!$AB$3:$AB$1315,DataRegularSeason20242025!$B$3:$B$1315, "&lt;=" &amp; EG$1, DataRegularSeason20242025!$E$3:$E$1315, $A15)</f>
        <v>50</v>
      </c>
      <c r="EH15">
        <f>SUMIFS(DataRegularSeason20242025!$AA$3:$AA$1315,DataRegularSeason20242025!$B$3:$B$1315, "&lt;=" &amp; EH$1, DataRegularSeason20242025!$D$3:$D$1315, $A15)+SUMIFS(DataRegularSeason20242025!$AB$3:$AB$1315,DataRegularSeason20242025!$B$3:$B$1315, "&lt;=" &amp; EH$1, DataRegularSeason20242025!$E$3:$E$1315, $A15)</f>
        <v>50</v>
      </c>
      <c r="EI15">
        <f>SUMIFS(DataRegularSeason20242025!$AA$3:$AA$1315,DataRegularSeason20242025!$B$3:$B$1315, "&lt;=" &amp; EI$1, DataRegularSeason20242025!$D$3:$D$1315, $A15)+SUMIFS(DataRegularSeason20242025!$AB$3:$AB$1315,DataRegularSeason20242025!$B$3:$B$1315, "&lt;=" &amp; EI$1, DataRegularSeason20242025!$E$3:$E$1315, $A15)</f>
        <v>50</v>
      </c>
      <c r="EJ15">
        <f>SUMIFS(DataRegularSeason20242025!$AA$3:$AA$1315,DataRegularSeason20242025!$B$3:$B$1315, "&lt;=" &amp; EJ$1, DataRegularSeason20242025!$D$3:$D$1315, $A15)+SUMIFS(DataRegularSeason20242025!$AB$3:$AB$1315,DataRegularSeason20242025!$B$3:$B$1315, "&lt;=" &amp; EJ$1, DataRegularSeason20242025!$E$3:$E$1315, $A15)</f>
        <v>50</v>
      </c>
      <c r="EK15">
        <f>SUMIFS(DataRegularSeason20242025!$AA$3:$AA$1315,DataRegularSeason20242025!$B$3:$B$1315, "&lt;=" &amp; EK$1, DataRegularSeason20242025!$D$3:$D$1315, $A15)+SUMIFS(DataRegularSeason20242025!$AB$3:$AB$1315,DataRegularSeason20242025!$B$3:$B$1315, "&lt;=" &amp; EK$1, DataRegularSeason20242025!$E$3:$E$1315, $A15)</f>
        <v>50</v>
      </c>
      <c r="EL15">
        <f>SUMIFS(DataRegularSeason20242025!$AA$3:$AA$1315,DataRegularSeason20242025!$B$3:$B$1315, "&lt;=" &amp; EL$1, DataRegularSeason20242025!$D$3:$D$1315, $A15)+SUMIFS(DataRegularSeason20242025!$AB$3:$AB$1315,DataRegularSeason20242025!$B$3:$B$1315, "&lt;=" &amp; EL$1, DataRegularSeason20242025!$E$3:$E$1315, $A15)</f>
        <v>50</v>
      </c>
      <c r="EM15">
        <f>SUMIFS(DataRegularSeason20242025!$AA$3:$AA$1315,DataRegularSeason20242025!$B$3:$B$1315, "&lt;=" &amp; EM$1, DataRegularSeason20242025!$D$3:$D$1315, $A15)+SUMIFS(DataRegularSeason20242025!$AB$3:$AB$1315,DataRegularSeason20242025!$B$3:$B$1315, "&lt;=" &amp; EM$1, DataRegularSeason20242025!$E$3:$E$1315, $A15)</f>
        <v>50</v>
      </c>
      <c r="EN15">
        <f>SUMIFS(DataRegularSeason20242025!$AA$3:$AA$1315,DataRegularSeason20242025!$B$3:$B$1315, "&lt;=" &amp; EN$1, DataRegularSeason20242025!$D$3:$D$1315, $A15)+SUMIFS(DataRegularSeason20242025!$AB$3:$AB$1315,DataRegularSeason20242025!$B$3:$B$1315, "&lt;=" &amp; EN$1, DataRegularSeason20242025!$E$3:$E$1315, $A15)</f>
        <v>50</v>
      </c>
      <c r="EO15">
        <f>SUMIFS(DataRegularSeason20242025!$AA$3:$AA$1315,DataRegularSeason20242025!$B$3:$B$1315, "&lt;=" &amp; EO$1, DataRegularSeason20242025!$D$3:$D$1315, $A15)+SUMIFS(DataRegularSeason20242025!$AB$3:$AB$1315,DataRegularSeason20242025!$B$3:$B$1315, "&lt;=" &amp; EO$1, DataRegularSeason20242025!$E$3:$E$1315, $A15)</f>
        <v>50</v>
      </c>
      <c r="EP15">
        <f>SUMIFS(DataRegularSeason20242025!$AA$3:$AA$1315,DataRegularSeason20242025!$B$3:$B$1315, "&lt;=" &amp; EP$1, DataRegularSeason20242025!$D$3:$D$1315, $A15)+SUMIFS(DataRegularSeason20242025!$AB$3:$AB$1315,DataRegularSeason20242025!$B$3:$B$1315, "&lt;=" &amp; EP$1, DataRegularSeason20242025!$E$3:$E$1315, $A15)</f>
        <v>50</v>
      </c>
      <c r="EQ15">
        <f>SUMIFS(DataRegularSeason20242025!$AA$3:$AA$1315,DataRegularSeason20242025!$B$3:$B$1315, "&lt;=" &amp; EQ$1, DataRegularSeason20242025!$D$3:$D$1315, $A15)+SUMIFS(DataRegularSeason20242025!$AB$3:$AB$1315,DataRegularSeason20242025!$B$3:$B$1315, "&lt;=" &amp; EQ$1, DataRegularSeason20242025!$E$3:$E$1315, $A15)</f>
        <v>50</v>
      </c>
      <c r="ER15">
        <f>SUMIFS(DataRegularSeason20242025!$AA$3:$AA$1315,DataRegularSeason20242025!$B$3:$B$1315, "&lt;=" &amp; ER$1, DataRegularSeason20242025!$D$3:$D$1315, $A15)+SUMIFS(DataRegularSeason20242025!$AB$3:$AB$1315,DataRegularSeason20242025!$B$3:$B$1315, "&lt;=" &amp; ER$1, DataRegularSeason20242025!$E$3:$E$1315, $A15)</f>
        <v>50</v>
      </c>
      <c r="ES15">
        <f>SUMIFS(DataRegularSeason20242025!$AA$3:$AA$1315,DataRegularSeason20242025!$B$3:$B$1315, "&lt;=" &amp; ES$1, DataRegularSeason20242025!$D$3:$D$1315, $A15)+SUMIFS(DataRegularSeason20242025!$AB$3:$AB$1315,DataRegularSeason20242025!$B$3:$B$1315, "&lt;=" &amp; ES$1, DataRegularSeason20242025!$E$3:$E$1315, $A15)</f>
        <v>50</v>
      </c>
      <c r="ET15">
        <f>SUMIFS(DataRegularSeason20242025!$AA$3:$AA$1315,DataRegularSeason20242025!$B$3:$B$1315, "&lt;=" &amp; ET$1, DataRegularSeason20242025!$D$3:$D$1315, $A15)+SUMIFS(DataRegularSeason20242025!$AB$3:$AB$1315,DataRegularSeason20242025!$B$3:$B$1315, "&lt;=" &amp; ET$1, DataRegularSeason20242025!$E$3:$E$1315, $A15)</f>
        <v>50</v>
      </c>
      <c r="EU15">
        <f>SUMIFS(DataRegularSeason20242025!$AA$3:$AA$1315,DataRegularSeason20242025!$B$3:$B$1315, "&lt;=" &amp; EU$1, DataRegularSeason20242025!$D$3:$D$1315, $A15)+SUMIFS(DataRegularSeason20242025!$AB$3:$AB$1315,DataRegularSeason20242025!$B$3:$B$1315, "&lt;=" &amp; EU$1, DataRegularSeason20242025!$E$3:$E$1315, $A15)</f>
        <v>50</v>
      </c>
      <c r="EV15">
        <f>SUMIFS(DataRegularSeason20242025!$AA$3:$AA$1315,DataRegularSeason20242025!$B$3:$B$1315, "&lt;=" &amp; EV$1, DataRegularSeason20242025!$D$3:$D$1315, $A15)+SUMIFS(DataRegularSeason20242025!$AB$3:$AB$1315,DataRegularSeason20242025!$B$3:$B$1315, "&lt;=" &amp; EV$1, DataRegularSeason20242025!$E$3:$E$1315, $A15)</f>
        <v>50</v>
      </c>
      <c r="EW15">
        <f>SUMIFS(DataRegularSeason20242025!$AA$3:$AA$1315,DataRegularSeason20242025!$B$3:$B$1315, "&lt;=" &amp; EW$1, DataRegularSeason20242025!$D$3:$D$1315, $A15)+SUMIFS(DataRegularSeason20242025!$AB$3:$AB$1315,DataRegularSeason20242025!$B$3:$B$1315, "&lt;=" &amp; EW$1, DataRegularSeason20242025!$E$3:$E$1315, $A15)</f>
        <v>50</v>
      </c>
      <c r="EX15">
        <f>SUMIFS(DataRegularSeason20242025!$AA$3:$AA$1315,DataRegularSeason20242025!$B$3:$B$1315, "&lt;=" &amp; EX$1, DataRegularSeason20242025!$D$3:$D$1315, $A15)+SUMIFS(DataRegularSeason20242025!$AB$3:$AB$1315,DataRegularSeason20242025!$B$3:$B$1315, "&lt;=" &amp; EX$1, DataRegularSeason20242025!$E$3:$E$1315, $A15)</f>
        <v>50</v>
      </c>
      <c r="EY15">
        <f>SUMIFS(DataRegularSeason20242025!$AA$3:$AA$1315,DataRegularSeason20242025!$B$3:$B$1315, "&lt;=" &amp; EY$1, DataRegularSeason20242025!$D$3:$D$1315, $A15)+SUMIFS(DataRegularSeason20242025!$AB$3:$AB$1315,DataRegularSeason20242025!$B$3:$B$1315, "&lt;=" &amp; EY$1, DataRegularSeason20242025!$E$3:$E$1315, $A15)</f>
        <v>50</v>
      </c>
      <c r="EZ15">
        <f>SUMIFS(DataRegularSeason20242025!$AA$3:$AA$1315,DataRegularSeason20242025!$B$3:$B$1315, "&lt;=" &amp; EZ$1, DataRegularSeason20242025!$D$3:$D$1315, $A15)+SUMIFS(DataRegularSeason20242025!$AB$3:$AB$1315,DataRegularSeason20242025!$B$3:$B$1315, "&lt;=" &amp; EZ$1, DataRegularSeason20242025!$E$3:$E$1315, $A15)</f>
        <v>50</v>
      </c>
      <c r="FA15">
        <f>SUMIFS(DataRegularSeason20242025!$AA$3:$AA$1315,DataRegularSeason20242025!$B$3:$B$1315, "&lt;=" &amp; FA$1, DataRegularSeason20242025!$D$3:$D$1315, $A15)+SUMIFS(DataRegularSeason20242025!$AB$3:$AB$1315,DataRegularSeason20242025!$B$3:$B$1315, "&lt;=" &amp; FA$1, DataRegularSeason20242025!$E$3:$E$1315, $A15)</f>
        <v>50</v>
      </c>
      <c r="FB15">
        <f>SUMIFS(DataRegularSeason20242025!$AA$3:$AA$1315,DataRegularSeason20242025!$B$3:$B$1315, "&lt;=" &amp; FB$1, DataRegularSeason20242025!$D$3:$D$1315, $A15)+SUMIFS(DataRegularSeason20242025!$AB$3:$AB$1315,DataRegularSeason20242025!$B$3:$B$1315, "&lt;=" &amp; FB$1, DataRegularSeason20242025!$E$3:$E$1315, $A15)</f>
        <v>50</v>
      </c>
      <c r="FC15">
        <f>SUMIFS(DataRegularSeason20242025!$AA$3:$AA$1315,DataRegularSeason20242025!$B$3:$B$1315, "&lt;=" &amp; FC$1, DataRegularSeason20242025!$D$3:$D$1315, $A15)+SUMIFS(DataRegularSeason20242025!$AB$3:$AB$1315,DataRegularSeason20242025!$B$3:$B$1315, "&lt;=" &amp; FC$1, DataRegularSeason20242025!$E$3:$E$1315, $A15)</f>
        <v>50</v>
      </c>
      <c r="FD15">
        <f>SUMIFS(DataRegularSeason20242025!$AA$3:$AA$1315,DataRegularSeason20242025!$B$3:$B$1315, "&lt;=" &amp; FD$1, DataRegularSeason20242025!$D$3:$D$1315, $A15)+SUMIFS(DataRegularSeason20242025!$AB$3:$AB$1315,DataRegularSeason20242025!$B$3:$B$1315, "&lt;=" &amp; FD$1, DataRegularSeason20242025!$E$3:$E$1315, $A15)</f>
        <v>50</v>
      </c>
      <c r="FE15">
        <f>SUMIFS(DataRegularSeason20242025!$AA$3:$AA$1315,DataRegularSeason20242025!$B$3:$B$1315, "&lt;=" &amp; FE$1, DataRegularSeason20242025!$D$3:$D$1315, $A15)+SUMIFS(DataRegularSeason20242025!$AB$3:$AB$1315,DataRegularSeason20242025!$B$3:$B$1315, "&lt;=" &amp; FE$1, DataRegularSeason20242025!$E$3:$E$1315, $A15)</f>
        <v>50</v>
      </c>
      <c r="FF15">
        <f>SUMIFS(DataRegularSeason20242025!$AA$3:$AA$1315,DataRegularSeason20242025!$B$3:$B$1315, "&lt;=" &amp; FF$1, DataRegularSeason20242025!$D$3:$D$1315, $A15)+SUMIFS(DataRegularSeason20242025!$AB$3:$AB$1315,DataRegularSeason20242025!$B$3:$B$1315, "&lt;=" &amp; FF$1, DataRegularSeason20242025!$E$3:$E$1315, $A15)</f>
        <v>50</v>
      </c>
      <c r="FG15">
        <f>SUMIFS(DataRegularSeason20242025!$AA$3:$AA$1315,DataRegularSeason20242025!$B$3:$B$1315, "&lt;=" &amp; FG$1, DataRegularSeason20242025!$D$3:$D$1315, $A15)+SUMIFS(DataRegularSeason20242025!$AB$3:$AB$1315,DataRegularSeason20242025!$B$3:$B$1315, "&lt;=" &amp; FG$1, DataRegularSeason20242025!$E$3:$E$1315, $A15)</f>
        <v>50</v>
      </c>
      <c r="FH15">
        <f>SUMIFS(DataRegularSeason20242025!$AA$3:$AA$1315,DataRegularSeason20242025!$B$3:$B$1315, "&lt;=" &amp; FH$1, DataRegularSeason20242025!$D$3:$D$1315, $A15)+SUMIFS(DataRegularSeason20242025!$AB$3:$AB$1315,DataRegularSeason20242025!$B$3:$B$1315, "&lt;=" &amp; FH$1, DataRegularSeason20242025!$E$3:$E$1315, $A15)</f>
        <v>50</v>
      </c>
      <c r="FI15">
        <f>SUMIFS(DataRegularSeason20242025!$AA$3:$AA$1315,DataRegularSeason20242025!$B$3:$B$1315, "&lt;=" &amp; FI$1, DataRegularSeason20242025!$D$3:$D$1315, $A15)+SUMIFS(DataRegularSeason20242025!$AB$3:$AB$1315,DataRegularSeason20242025!$B$3:$B$1315, "&lt;=" &amp; FI$1, DataRegularSeason20242025!$E$3:$E$1315, $A15)</f>
        <v>50</v>
      </c>
      <c r="FJ15">
        <f>SUMIFS(DataRegularSeason20242025!$AA$3:$AA$1315,DataRegularSeason20242025!$B$3:$B$1315, "&lt;=" &amp; FJ$1, DataRegularSeason20242025!$D$3:$D$1315, $A15)+SUMIFS(DataRegularSeason20242025!$AB$3:$AB$1315,DataRegularSeason20242025!$B$3:$B$1315, "&lt;=" &amp; FJ$1, DataRegularSeason20242025!$E$3:$E$1315, $A15)</f>
        <v>50</v>
      </c>
      <c r="FK15">
        <f>SUMIFS(DataRegularSeason20242025!$AA$3:$AA$1315,DataRegularSeason20242025!$B$3:$B$1315, "&lt;=" &amp; FK$1, DataRegularSeason20242025!$D$3:$D$1315, $A15)+SUMIFS(DataRegularSeason20242025!$AB$3:$AB$1315,DataRegularSeason20242025!$B$3:$B$1315, "&lt;=" &amp; FK$1, DataRegularSeason20242025!$E$3:$E$1315, $A15)</f>
        <v>50</v>
      </c>
      <c r="FL15">
        <f>SUMIFS(DataRegularSeason20242025!$AA$3:$AA$1315,DataRegularSeason20242025!$B$3:$B$1315, "&lt;=" &amp; FL$1, DataRegularSeason20242025!$D$3:$D$1315, $A15)+SUMIFS(DataRegularSeason20242025!$AB$3:$AB$1315,DataRegularSeason20242025!$B$3:$B$1315, "&lt;=" &amp; FL$1, DataRegularSeason20242025!$E$3:$E$1315, $A15)</f>
        <v>50</v>
      </c>
      <c r="FM15">
        <f>SUMIFS(DataRegularSeason20242025!$AA$3:$AA$1315,DataRegularSeason20242025!$B$3:$B$1315, "&lt;=" &amp; FM$1, DataRegularSeason20242025!$D$3:$D$1315, $A15)+SUMIFS(DataRegularSeason20242025!$AB$3:$AB$1315,DataRegularSeason20242025!$B$3:$B$1315, "&lt;=" &amp; FM$1, DataRegularSeason20242025!$E$3:$E$1315, $A15)</f>
        <v>50</v>
      </c>
      <c r="FN15">
        <f>SUMIFS(DataRegularSeason20242025!$AA$3:$AA$1315,DataRegularSeason20242025!$B$3:$B$1315, "&lt;=" &amp; FN$1, DataRegularSeason20242025!$D$3:$D$1315, $A15)+SUMIFS(DataRegularSeason20242025!$AB$3:$AB$1315,DataRegularSeason20242025!$B$3:$B$1315, "&lt;=" &amp; FN$1, DataRegularSeason20242025!$E$3:$E$1315, $A15)</f>
        <v>50</v>
      </c>
      <c r="FO15">
        <f>SUMIFS(DataRegularSeason20242025!$AA$3:$AA$1315,DataRegularSeason20242025!$B$3:$B$1315, "&lt;=" &amp; FO$1, DataRegularSeason20242025!$D$3:$D$1315, $A15)+SUMIFS(DataRegularSeason20242025!$AB$3:$AB$1315,DataRegularSeason20242025!$B$3:$B$1315, "&lt;=" &amp; FO$1, DataRegularSeason20242025!$E$3:$E$1315, $A15)</f>
        <v>50</v>
      </c>
      <c r="FP15">
        <f>SUMIFS(DataRegularSeason20242025!$AA$3:$AA$1315,DataRegularSeason20242025!$B$3:$B$1315, "&lt;=" &amp; FP$1, DataRegularSeason20242025!$D$3:$D$1315, $A15)+SUMIFS(DataRegularSeason20242025!$AB$3:$AB$1315,DataRegularSeason20242025!$B$3:$B$1315, "&lt;=" &amp; FP$1, DataRegularSeason20242025!$E$3:$E$1315, $A15)</f>
        <v>50</v>
      </c>
      <c r="FQ15">
        <f>SUMIFS(DataRegularSeason20242025!$AA$3:$AA$1315,DataRegularSeason20242025!$B$3:$B$1315, "&lt;=" &amp; FQ$1, DataRegularSeason20242025!$D$3:$D$1315, $A15)+SUMIFS(DataRegularSeason20242025!$AB$3:$AB$1315,DataRegularSeason20242025!$B$3:$B$1315, "&lt;=" &amp; FQ$1, DataRegularSeason20242025!$E$3:$E$1315, $A15)</f>
        <v>50</v>
      </c>
      <c r="FR15">
        <f>SUMIFS(DataRegularSeason20242025!$AA$3:$AA$1315,DataRegularSeason20242025!$B$3:$B$1315, "&lt;=" &amp; FR$1, DataRegularSeason20242025!$D$3:$D$1315, $A15)+SUMIFS(DataRegularSeason20242025!$AB$3:$AB$1315,DataRegularSeason20242025!$B$3:$B$1315, "&lt;=" &amp; FR$1, DataRegularSeason20242025!$E$3:$E$1315, $A15)</f>
        <v>50</v>
      </c>
      <c r="FS15">
        <f>SUMIFS(DataRegularSeason20242025!$AA$3:$AA$1315,DataRegularSeason20242025!$B$3:$B$1315, "&lt;=" &amp; FS$1, DataRegularSeason20242025!$D$3:$D$1315, $A15)+SUMIFS(DataRegularSeason20242025!$AB$3:$AB$1315,DataRegularSeason20242025!$B$3:$B$1315, "&lt;=" &amp; FS$1, DataRegularSeason20242025!$E$3:$E$1315, $A15)</f>
        <v>50</v>
      </c>
      <c r="FT15">
        <f>SUMIFS(DataRegularSeason20242025!$AA$3:$AA$1315,DataRegularSeason20242025!$B$3:$B$1315, "&lt;=" &amp; FT$1, DataRegularSeason20242025!$D$3:$D$1315, $A15)+SUMIFS(DataRegularSeason20242025!$AB$3:$AB$1315,DataRegularSeason20242025!$B$3:$B$1315, "&lt;=" &amp; FT$1, DataRegularSeason20242025!$E$3:$E$1315, $A15)</f>
        <v>50</v>
      </c>
      <c r="FU15">
        <f>SUMIFS(DataRegularSeason20242025!$AA$3:$AA$1315,DataRegularSeason20242025!$B$3:$B$1315, "&lt;=" &amp; FU$1, DataRegularSeason20242025!$D$3:$D$1315, $A15)+SUMIFS(DataRegularSeason20242025!$AB$3:$AB$1315,DataRegularSeason20242025!$B$3:$B$1315, "&lt;=" &amp; FU$1, DataRegularSeason20242025!$E$3:$E$1315, $A15)</f>
        <v>50</v>
      </c>
      <c r="FV15">
        <f>SUMIFS(DataRegularSeason20242025!$AA$3:$AA$1315,DataRegularSeason20242025!$B$3:$B$1315, "&lt;=" &amp; FV$1, DataRegularSeason20242025!$D$3:$D$1315, $A15)+SUMIFS(DataRegularSeason20242025!$AB$3:$AB$1315,DataRegularSeason20242025!$B$3:$B$1315, "&lt;=" &amp; FV$1, DataRegularSeason20242025!$E$3:$E$1315, $A15)</f>
        <v>50</v>
      </c>
      <c r="FW15">
        <f>SUMIFS(DataRegularSeason20242025!$AA$3:$AA$1315,DataRegularSeason20242025!$B$3:$B$1315, "&lt;=" &amp; FW$1, DataRegularSeason20242025!$D$3:$D$1315, $A15)+SUMIFS(DataRegularSeason20242025!$AB$3:$AB$1315,DataRegularSeason20242025!$B$3:$B$1315, "&lt;=" &amp; FW$1, DataRegularSeason20242025!$E$3:$E$1315, $A15)</f>
        <v>50</v>
      </c>
      <c r="FX15">
        <f>SUMIFS(DataRegularSeason20242025!$AA$3:$AA$1315,DataRegularSeason20242025!$B$3:$B$1315, "&lt;=" &amp; FX$1, DataRegularSeason20242025!$D$3:$D$1315, $A15)+SUMIFS(DataRegularSeason20242025!$AB$3:$AB$1315,DataRegularSeason20242025!$B$3:$B$1315, "&lt;=" &amp; FX$1, DataRegularSeason20242025!$E$3:$E$1315, $A15)</f>
        <v>50</v>
      </c>
      <c r="FY15">
        <f>SUMIFS(DataRegularSeason20242025!$AA$3:$AA$1315,DataRegularSeason20242025!$B$3:$B$1315, "&lt;=" &amp; FY$1, DataRegularSeason20242025!$D$3:$D$1315, $A15)+SUMIFS(DataRegularSeason20242025!$AB$3:$AB$1315,DataRegularSeason20242025!$B$3:$B$1315, "&lt;=" &amp; FY$1, DataRegularSeason20242025!$E$3:$E$1315, $A15)</f>
        <v>50</v>
      </c>
      <c r="FZ15">
        <f>SUMIFS(DataRegularSeason20242025!$AA$3:$AA$1315,DataRegularSeason20242025!$B$3:$B$1315, "&lt;=" &amp; FZ$1, DataRegularSeason20242025!$D$3:$D$1315, $A15)+SUMIFS(DataRegularSeason20242025!$AB$3:$AB$1315,DataRegularSeason20242025!$B$3:$B$1315, "&lt;=" &amp; FZ$1, DataRegularSeason20242025!$E$3:$E$1315, $A15)</f>
        <v>50</v>
      </c>
      <c r="GA15">
        <f>SUMIFS(DataRegularSeason20242025!$AA$3:$AA$1315,DataRegularSeason20242025!$B$3:$B$1315, "&lt;=" &amp; GA$1, DataRegularSeason20242025!$D$3:$D$1315, $A15)+SUMIFS(DataRegularSeason20242025!$AB$3:$AB$1315,DataRegularSeason20242025!$B$3:$B$1315, "&lt;=" &amp; GA$1, DataRegularSeason20242025!$E$3:$E$1315, $A15)</f>
        <v>50</v>
      </c>
      <c r="GB15">
        <f>SUMIFS(DataRegularSeason20242025!$AA$3:$AA$1315,DataRegularSeason20242025!$B$3:$B$1315, "&lt;=" &amp; GB$1, DataRegularSeason20242025!$D$3:$D$1315, $A15)+SUMIFS(DataRegularSeason20242025!$AB$3:$AB$1315,DataRegularSeason20242025!$B$3:$B$1315, "&lt;=" &amp; GB$1, DataRegularSeason20242025!$E$3:$E$1315, $A15)</f>
        <v>50</v>
      </c>
      <c r="GC15">
        <f>SUMIFS(DataRegularSeason20242025!$AA$3:$AA$1315,DataRegularSeason20242025!$B$3:$B$1315, "&lt;=" &amp; GC$1, DataRegularSeason20242025!$D$3:$D$1315, $A15)+SUMIFS(DataRegularSeason20242025!$AB$3:$AB$1315,DataRegularSeason20242025!$B$3:$B$1315, "&lt;=" &amp; GC$1, DataRegularSeason20242025!$E$3:$E$1315, $A15)</f>
        <v>50</v>
      </c>
      <c r="GD15">
        <f>SUMIFS(DataRegularSeason20242025!$AA$3:$AA$1315,DataRegularSeason20242025!$B$3:$B$1315, "&lt;=" &amp; GD$1, DataRegularSeason20242025!$D$3:$D$1315, $A15)+SUMIFS(DataRegularSeason20242025!$AB$3:$AB$1315,DataRegularSeason20242025!$B$3:$B$1315, "&lt;=" &amp; GD$1, DataRegularSeason20242025!$E$3:$E$1315, $A15)</f>
        <v>50</v>
      </c>
      <c r="GE15">
        <f>SUMIFS(DataRegularSeason20242025!$AA$3:$AA$1315,DataRegularSeason20242025!$B$3:$B$1315, "&lt;=" &amp; GE$1, DataRegularSeason20242025!$D$3:$D$1315, $A15)+SUMIFS(DataRegularSeason20242025!$AB$3:$AB$1315,DataRegularSeason20242025!$B$3:$B$1315, "&lt;=" &amp; GE$1, DataRegularSeason20242025!$E$3:$E$1315, $A15)</f>
        <v>50</v>
      </c>
      <c r="GF15">
        <f>SUMIFS(DataRegularSeason20242025!$AA$3:$AA$1315,DataRegularSeason20242025!$B$3:$B$1315, "&lt;=" &amp; GF$1, DataRegularSeason20242025!$D$3:$D$1315, $A15)+SUMIFS(DataRegularSeason20242025!$AB$3:$AB$1315,DataRegularSeason20242025!$B$3:$B$1315, "&lt;=" &amp; GF$1, DataRegularSeason20242025!$E$3:$E$1315, $A15)</f>
        <v>50</v>
      </c>
      <c r="GG15">
        <f>SUMIFS(DataRegularSeason20242025!$AA$3:$AA$1315,DataRegularSeason20242025!$B$3:$B$1315, "&lt;=" &amp; GG$1, DataRegularSeason20242025!$D$3:$D$1315, $A15)+SUMIFS(DataRegularSeason20242025!$AB$3:$AB$1315,DataRegularSeason20242025!$B$3:$B$1315, "&lt;=" &amp; GG$1, DataRegularSeason20242025!$E$3:$E$1315, $A15)</f>
        <v>50</v>
      </c>
      <c r="GH15">
        <f>SUMIFS(DataRegularSeason20242025!$AA$3:$AA$1315,DataRegularSeason20242025!$B$3:$B$1315, "&lt;=" &amp; GH$1, DataRegularSeason20242025!$D$3:$D$1315, $A15)+SUMIFS(DataRegularSeason20242025!$AB$3:$AB$1315,DataRegularSeason20242025!$B$3:$B$1315, "&lt;=" &amp; GH$1, DataRegularSeason20242025!$E$3:$E$1315, $A15)</f>
        <v>50</v>
      </c>
      <c r="GI15">
        <f>SUMIFS(DataRegularSeason20242025!$AA$3:$AA$1315,DataRegularSeason20242025!$B$3:$B$1315, "&lt;=" &amp; GI$1, DataRegularSeason20242025!$D$3:$D$1315, $A15)+SUMIFS(DataRegularSeason20242025!$AB$3:$AB$1315,DataRegularSeason20242025!$B$3:$B$1315, "&lt;=" &amp; GI$1, DataRegularSeason20242025!$E$3:$E$1315, $A15)</f>
        <v>50</v>
      </c>
      <c r="GJ15">
        <f>SUMIFS(DataRegularSeason20242025!$AA$3:$AA$1315,DataRegularSeason20242025!$B$3:$B$1315, "&lt;=" &amp; GJ$1, DataRegularSeason20242025!$D$3:$D$1315, $A15)+SUMIFS(DataRegularSeason20242025!$AB$3:$AB$1315,DataRegularSeason20242025!$B$3:$B$1315, "&lt;=" &amp; GJ$1, DataRegularSeason20242025!$E$3:$E$1315, $A15)</f>
        <v>50</v>
      </c>
      <c r="GK15">
        <f>SUMIFS(DataRegularSeason20242025!$AA$3:$AA$1315,DataRegularSeason20242025!$B$3:$B$1315, "&lt;=" &amp; GK$1, DataRegularSeason20242025!$D$3:$D$1315, $A15)+SUMIFS(DataRegularSeason20242025!$AB$3:$AB$1315,DataRegularSeason20242025!$B$3:$B$1315, "&lt;=" &amp; GK$1, DataRegularSeason20242025!$E$3:$E$1315, $A15)</f>
        <v>50</v>
      </c>
      <c r="GL15">
        <f>SUMIFS(DataRegularSeason20242025!$AA$3:$AA$1315,DataRegularSeason20242025!$B$3:$B$1315, "&lt;=" &amp; GL$1, DataRegularSeason20242025!$D$3:$D$1315, $A15)+SUMIFS(DataRegularSeason20242025!$AB$3:$AB$1315,DataRegularSeason20242025!$B$3:$B$1315, "&lt;=" &amp; GL$1, DataRegularSeason20242025!$E$3:$E$1315, $A15)</f>
        <v>50</v>
      </c>
      <c r="GM15">
        <f>SUMIFS(DataRegularSeason20242025!$AA$3:$AA$1315,DataRegularSeason20242025!$B$3:$B$1315, "&lt;=" &amp; GM$1, DataRegularSeason20242025!$D$3:$D$1315, $A15)+SUMIFS(DataRegularSeason20242025!$AB$3:$AB$1315,DataRegularSeason20242025!$B$3:$B$1315, "&lt;=" &amp; GM$1, DataRegularSeason20242025!$E$3:$E$1315, $A15)</f>
        <v>50</v>
      </c>
      <c r="GN15">
        <f>SUMIFS(DataRegularSeason20242025!$AA$3:$AA$1315,DataRegularSeason20242025!$B$3:$B$1315, "&lt;=" &amp; GN$1, DataRegularSeason20242025!$D$3:$D$1315, $A15)+SUMIFS(DataRegularSeason20242025!$AB$3:$AB$1315,DataRegularSeason20242025!$B$3:$B$1315, "&lt;=" &amp; GN$1, DataRegularSeason20242025!$E$3:$E$1315, $A15)</f>
        <v>50</v>
      </c>
      <c r="GO15">
        <f>SUMIFS(DataRegularSeason20242025!$AA$3:$AA$1315,DataRegularSeason20242025!$B$3:$B$1315, "&lt;=" &amp; GO$1, DataRegularSeason20242025!$D$3:$D$1315, $A15)+SUMIFS(DataRegularSeason20242025!$AB$3:$AB$1315,DataRegularSeason20242025!$B$3:$B$1315, "&lt;=" &amp; GO$1, DataRegularSeason20242025!$E$3:$E$1315, $A15)</f>
        <v>50</v>
      </c>
      <c r="GP15">
        <f>SUMIFS(DataRegularSeason20242025!$AA$3:$AA$1315,DataRegularSeason20242025!$B$3:$B$1315, "&lt;=" &amp; GP$1, DataRegularSeason20242025!$D$3:$D$1315, $A15)+SUMIFS(DataRegularSeason20242025!$AB$3:$AB$1315,DataRegularSeason20242025!$B$3:$B$1315, "&lt;=" &amp; GP$1, DataRegularSeason20242025!$E$3:$E$1315, $A15)</f>
        <v>50</v>
      </c>
      <c r="GQ15">
        <f>SUMIFS(DataRegularSeason20242025!$AA$3:$AA$1315,DataRegularSeason20242025!$B$3:$B$1315, "&lt;=" &amp; GQ$1, DataRegularSeason20242025!$D$3:$D$1315, $A15)+SUMIFS(DataRegularSeason20242025!$AB$3:$AB$1315,DataRegularSeason20242025!$B$3:$B$1315, "&lt;=" &amp; GQ$1, DataRegularSeason20242025!$E$3:$E$1315, $A15)</f>
        <v>50</v>
      </c>
      <c r="GR15">
        <f>SUMIFS(DataRegularSeason20242025!$AA$3:$AA$1315,DataRegularSeason20242025!$B$3:$B$1315, "&lt;=" &amp; GR$1, DataRegularSeason20242025!$D$3:$D$1315, $A15)+SUMIFS(DataRegularSeason20242025!$AB$3:$AB$1315,DataRegularSeason20242025!$B$3:$B$1315, "&lt;=" &amp; GR$1, DataRegularSeason20242025!$E$3:$E$1315, $A15)</f>
        <v>50</v>
      </c>
      <c r="GS15">
        <f>SUMIFS(DataRegularSeason20242025!$AA$3:$AA$1315,DataRegularSeason20242025!$B$3:$B$1315, "&lt;=" &amp; GS$1, DataRegularSeason20242025!$D$3:$D$1315, $A15)+SUMIFS(DataRegularSeason20242025!$AB$3:$AB$1315,DataRegularSeason20242025!$B$3:$B$1315, "&lt;=" &amp; GS$1, DataRegularSeason20242025!$E$3:$E$1315, $A15)</f>
        <v>50</v>
      </c>
      <c r="GT15">
        <f>SUMIFS(DataRegularSeason20242025!$AA$3:$AA$1315,DataRegularSeason20242025!$B$3:$B$1315, "&lt;=" &amp; GT$1, DataRegularSeason20242025!$D$3:$D$1315, $A15)+SUMIFS(DataRegularSeason20242025!$AB$3:$AB$1315,DataRegularSeason20242025!$B$3:$B$1315, "&lt;=" &amp; GT$1, DataRegularSeason20242025!$E$3:$E$1315, $A15)</f>
        <v>50</v>
      </c>
      <c r="GU15">
        <f>SUMIFS(DataRegularSeason20242025!$AA$3:$AA$1315,DataRegularSeason20242025!$B$3:$B$1315, "&lt;=" &amp; GU$1, DataRegularSeason20242025!$D$3:$D$1315, $A15)+SUMIFS(DataRegularSeason20242025!$AB$3:$AB$1315,DataRegularSeason20242025!$B$3:$B$1315, "&lt;=" &amp; GU$1, DataRegularSeason20242025!$E$3:$E$1315, $A15)</f>
        <v>50</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71</v>
      </c>
      <c r="DR18">
        <f>SUMIFS(DataRegularSeason20242025!$AA$3:$AA$1315,DataRegularSeason20242025!$B$3:$B$1315, "&lt;=" &amp; DR$1, DataRegularSeason20242025!$D$3:$D$1315, $A18)+SUMIFS(DataRegularSeason20242025!$AB$3:$AB$1315,DataRegularSeason20242025!$B$3:$B$1315, "&lt;=" &amp; DR$1, DataRegularSeason20242025!$E$3:$E$1315, $A18)</f>
        <v>71</v>
      </c>
      <c r="DS18">
        <f>SUMIFS(DataRegularSeason20242025!$AA$3:$AA$1315,DataRegularSeason20242025!$B$3:$B$1315, "&lt;=" &amp; DS$1, DataRegularSeason20242025!$D$3:$D$1315, $A18)+SUMIFS(DataRegularSeason20242025!$AB$3:$AB$1315,DataRegularSeason20242025!$B$3:$B$1315, "&lt;=" &amp; DS$1, DataRegularSeason20242025!$E$3:$E$1315, $A18)</f>
        <v>71</v>
      </c>
      <c r="DT18">
        <f>SUMIFS(DataRegularSeason20242025!$AA$3:$AA$1315,DataRegularSeason20242025!$B$3:$B$1315, "&lt;=" &amp; DT$1, DataRegularSeason20242025!$D$3:$D$1315, $A18)+SUMIFS(DataRegularSeason20242025!$AB$3:$AB$1315,DataRegularSeason20242025!$B$3:$B$1315, "&lt;=" &amp; DT$1, DataRegularSeason20242025!$E$3:$E$1315, $A18)</f>
        <v>71</v>
      </c>
      <c r="DU18">
        <f>SUMIFS(DataRegularSeason20242025!$AA$3:$AA$1315,DataRegularSeason20242025!$B$3:$B$1315, "&lt;=" &amp; DU$1, DataRegularSeason20242025!$D$3:$D$1315, $A18)+SUMIFS(DataRegularSeason20242025!$AB$3:$AB$1315,DataRegularSeason20242025!$B$3:$B$1315, "&lt;=" &amp; DU$1, DataRegularSeason20242025!$E$3:$E$1315, $A18)</f>
        <v>71</v>
      </c>
      <c r="DV18">
        <f>SUMIFS(DataRegularSeason20242025!$AA$3:$AA$1315,DataRegularSeason20242025!$B$3:$B$1315, "&lt;=" &amp; DV$1, DataRegularSeason20242025!$D$3:$D$1315, $A18)+SUMIFS(DataRegularSeason20242025!$AB$3:$AB$1315,DataRegularSeason20242025!$B$3:$B$1315, "&lt;=" &amp; DV$1, DataRegularSeason20242025!$E$3:$E$1315, $A18)</f>
        <v>71</v>
      </c>
      <c r="DW18">
        <f>SUMIFS(DataRegularSeason20242025!$AA$3:$AA$1315,DataRegularSeason20242025!$B$3:$B$1315, "&lt;=" &amp; DW$1, DataRegularSeason20242025!$D$3:$D$1315, $A18)+SUMIFS(DataRegularSeason20242025!$AB$3:$AB$1315,DataRegularSeason20242025!$B$3:$B$1315, "&lt;=" &amp; DW$1, DataRegularSeason20242025!$E$3:$E$1315, $A18)</f>
        <v>71</v>
      </c>
      <c r="DX18">
        <f>SUMIFS(DataRegularSeason20242025!$AA$3:$AA$1315,DataRegularSeason20242025!$B$3:$B$1315, "&lt;=" &amp; DX$1, DataRegularSeason20242025!$D$3:$D$1315, $A18)+SUMIFS(DataRegularSeason20242025!$AB$3:$AB$1315,DataRegularSeason20242025!$B$3:$B$1315, "&lt;=" &amp; DX$1, DataRegularSeason20242025!$E$3:$E$1315, $A18)</f>
        <v>71</v>
      </c>
      <c r="DY18">
        <f>SUMIFS(DataRegularSeason20242025!$AA$3:$AA$1315,DataRegularSeason20242025!$B$3:$B$1315, "&lt;=" &amp; DY$1, DataRegularSeason20242025!$D$3:$D$1315, $A18)+SUMIFS(DataRegularSeason20242025!$AB$3:$AB$1315,DataRegularSeason20242025!$B$3:$B$1315, "&lt;=" &amp; DY$1, DataRegularSeason20242025!$E$3:$E$1315, $A18)</f>
        <v>71</v>
      </c>
      <c r="DZ18">
        <f>SUMIFS(DataRegularSeason20242025!$AA$3:$AA$1315,DataRegularSeason20242025!$B$3:$B$1315, "&lt;=" &amp; DZ$1, DataRegularSeason20242025!$D$3:$D$1315, $A18)+SUMIFS(DataRegularSeason20242025!$AB$3:$AB$1315,DataRegularSeason20242025!$B$3:$B$1315, "&lt;=" &amp; DZ$1, DataRegularSeason20242025!$E$3:$E$1315, $A18)</f>
        <v>71</v>
      </c>
      <c r="EA18">
        <f>SUMIFS(DataRegularSeason20242025!$AA$3:$AA$1315,DataRegularSeason20242025!$B$3:$B$1315, "&lt;=" &amp; EA$1, DataRegularSeason20242025!$D$3:$D$1315, $A18)+SUMIFS(DataRegularSeason20242025!$AB$3:$AB$1315,DataRegularSeason20242025!$B$3:$B$1315, "&lt;=" &amp; EA$1, DataRegularSeason20242025!$E$3:$E$1315, $A18)</f>
        <v>71</v>
      </c>
      <c r="EB18">
        <f>SUMIFS(DataRegularSeason20242025!$AA$3:$AA$1315,DataRegularSeason20242025!$B$3:$B$1315, "&lt;=" &amp; EB$1, DataRegularSeason20242025!$D$3:$D$1315, $A18)+SUMIFS(DataRegularSeason20242025!$AB$3:$AB$1315,DataRegularSeason20242025!$B$3:$B$1315, "&lt;=" &amp; EB$1, DataRegularSeason20242025!$E$3:$E$1315, $A18)</f>
        <v>71</v>
      </c>
      <c r="EC18">
        <f>SUMIFS(DataRegularSeason20242025!$AA$3:$AA$1315,DataRegularSeason20242025!$B$3:$B$1315, "&lt;=" &amp; EC$1, DataRegularSeason20242025!$D$3:$D$1315, $A18)+SUMIFS(DataRegularSeason20242025!$AB$3:$AB$1315,DataRegularSeason20242025!$B$3:$B$1315, "&lt;=" &amp; EC$1, DataRegularSeason20242025!$E$3:$E$1315, $A18)</f>
        <v>71</v>
      </c>
      <c r="ED18">
        <f>SUMIFS(DataRegularSeason20242025!$AA$3:$AA$1315,DataRegularSeason20242025!$B$3:$B$1315, "&lt;=" &amp; ED$1, DataRegularSeason20242025!$D$3:$D$1315, $A18)+SUMIFS(DataRegularSeason20242025!$AB$3:$AB$1315,DataRegularSeason20242025!$B$3:$B$1315, "&lt;=" &amp; ED$1, DataRegularSeason20242025!$E$3:$E$1315, $A18)</f>
        <v>71</v>
      </c>
      <c r="EE18">
        <f>SUMIFS(DataRegularSeason20242025!$AA$3:$AA$1315,DataRegularSeason20242025!$B$3:$B$1315, "&lt;=" &amp; EE$1, DataRegularSeason20242025!$D$3:$D$1315, $A18)+SUMIFS(DataRegularSeason20242025!$AB$3:$AB$1315,DataRegularSeason20242025!$B$3:$B$1315, "&lt;=" &amp; EE$1, DataRegularSeason20242025!$E$3:$E$1315, $A18)</f>
        <v>71</v>
      </c>
      <c r="EF18">
        <f>SUMIFS(DataRegularSeason20242025!$AA$3:$AA$1315,DataRegularSeason20242025!$B$3:$B$1315, "&lt;=" &amp; EF$1, DataRegularSeason20242025!$D$3:$D$1315, $A18)+SUMIFS(DataRegularSeason20242025!$AB$3:$AB$1315,DataRegularSeason20242025!$B$3:$B$1315, "&lt;=" &amp; EF$1, DataRegularSeason20242025!$E$3:$E$1315, $A18)</f>
        <v>71</v>
      </c>
      <c r="EG18">
        <f>SUMIFS(DataRegularSeason20242025!$AA$3:$AA$1315,DataRegularSeason20242025!$B$3:$B$1315, "&lt;=" &amp; EG$1, DataRegularSeason20242025!$D$3:$D$1315, $A18)+SUMIFS(DataRegularSeason20242025!$AB$3:$AB$1315,DataRegularSeason20242025!$B$3:$B$1315, "&lt;=" &amp; EG$1, DataRegularSeason20242025!$E$3:$E$1315, $A18)</f>
        <v>71</v>
      </c>
      <c r="EH18">
        <f>SUMIFS(DataRegularSeason20242025!$AA$3:$AA$1315,DataRegularSeason20242025!$B$3:$B$1315, "&lt;=" &amp; EH$1, DataRegularSeason20242025!$D$3:$D$1315, $A18)+SUMIFS(DataRegularSeason20242025!$AB$3:$AB$1315,DataRegularSeason20242025!$B$3:$B$1315, "&lt;=" &amp; EH$1, DataRegularSeason20242025!$E$3:$E$1315, $A18)</f>
        <v>71</v>
      </c>
      <c r="EI18">
        <f>SUMIFS(DataRegularSeason20242025!$AA$3:$AA$1315,DataRegularSeason20242025!$B$3:$B$1315, "&lt;=" &amp; EI$1, DataRegularSeason20242025!$D$3:$D$1315, $A18)+SUMIFS(DataRegularSeason20242025!$AB$3:$AB$1315,DataRegularSeason20242025!$B$3:$B$1315, "&lt;=" &amp; EI$1, DataRegularSeason20242025!$E$3:$E$1315, $A18)</f>
        <v>71</v>
      </c>
      <c r="EJ18">
        <f>SUMIFS(DataRegularSeason20242025!$AA$3:$AA$1315,DataRegularSeason20242025!$B$3:$B$1315, "&lt;=" &amp; EJ$1, DataRegularSeason20242025!$D$3:$D$1315, $A18)+SUMIFS(DataRegularSeason20242025!$AB$3:$AB$1315,DataRegularSeason20242025!$B$3:$B$1315, "&lt;=" &amp; EJ$1, DataRegularSeason20242025!$E$3:$E$1315, $A18)</f>
        <v>71</v>
      </c>
      <c r="EK18">
        <f>SUMIFS(DataRegularSeason20242025!$AA$3:$AA$1315,DataRegularSeason20242025!$B$3:$B$1315, "&lt;=" &amp; EK$1, DataRegularSeason20242025!$D$3:$D$1315, $A18)+SUMIFS(DataRegularSeason20242025!$AB$3:$AB$1315,DataRegularSeason20242025!$B$3:$B$1315, "&lt;=" &amp; EK$1, DataRegularSeason20242025!$E$3:$E$1315, $A18)</f>
        <v>71</v>
      </c>
      <c r="EL18">
        <f>SUMIFS(DataRegularSeason20242025!$AA$3:$AA$1315,DataRegularSeason20242025!$B$3:$B$1315, "&lt;=" &amp; EL$1, DataRegularSeason20242025!$D$3:$D$1315, $A18)+SUMIFS(DataRegularSeason20242025!$AB$3:$AB$1315,DataRegularSeason20242025!$B$3:$B$1315, "&lt;=" &amp; EL$1, DataRegularSeason20242025!$E$3:$E$1315, $A18)</f>
        <v>71</v>
      </c>
      <c r="EM18">
        <f>SUMIFS(DataRegularSeason20242025!$AA$3:$AA$1315,DataRegularSeason20242025!$B$3:$B$1315, "&lt;=" &amp; EM$1, DataRegularSeason20242025!$D$3:$D$1315, $A18)+SUMIFS(DataRegularSeason20242025!$AB$3:$AB$1315,DataRegularSeason20242025!$B$3:$B$1315, "&lt;=" &amp; EM$1, DataRegularSeason20242025!$E$3:$E$1315, $A18)</f>
        <v>71</v>
      </c>
      <c r="EN18">
        <f>SUMIFS(DataRegularSeason20242025!$AA$3:$AA$1315,DataRegularSeason20242025!$B$3:$B$1315, "&lt;=" &amp; EN$1, DataRegularSeason20242025!$D$3:$D$1315, $A18)+SUMIFS(DataRegularSeason20242025!$AB$3:$AB$1315,DataRegularSeason20242025!$B$3:$B$1315, "&lt;=" &amp; EN$1, DataRegularSeason20242025!$E$3:$E$1315, $A18)</f>
        <v>71</v>
      </c>
      <c r="EO18">
        <f>SUMIFS(DataRegularSeason20242025!$AA$3:$AA$1315,DataRegularSeason20242025!$B$3:$B$1315, "&lt;=" &amp; EO$1, DataRegularSeason20242025!$D$3:$D$1315, $A18)+SUMIFS(DataRegularSeason20242025!$AB$3:$AB$1315,DataRegularSeason20242025!$B$3:$B$1315, "&lt;=" &amp; EO$1, DataRegularSeason20242025!$E$3:$E$1315, $A18)</f>
        <v>71</v>
      </c>
      <c r="EP18">
        <f>SUMIFS(DataRegularSeason20242025!$AA$3:$AA$1315,DataRegularSeason20242025!$B$3:$B$1315, "&lt;=" &amp; EP$1, DataRegularSeason20242025!$D$3:$D$1315, $A18)+SUMIFS(DataRegularSeason20242025!$AB$3:$AB$1315,DataRegularSeason20242025!$B$3:$B$1315, "&lt;=" &amp; EP$1, DataRegularSeason20242025!$E$3:$E$1315, $A18)</f>
        <v>71</v>
      </c>
      <c r="EQ18">
        <f>SUMIFS(DataRegularSeason20242025!$AA$3:$AA$1315,DataRegularSeason20242025!$B$3:$B$1315, "&lt;=" &amp; EQ$1, DataRegularSeason20242025!$D$3:$D$1315, $A18)+SUMIFS(DataRegularSeason20242025!$AB$3:$AB$1315,DataRegularSeason20242025!$B$3:$B$1315, "&lt;=" &amp; EQ$1, DataRegularSeason20242025!$E$3:$E$1315, $A18)</f>
        <v>71</v>
      </c>
      <c r="ER18">
        <f>SUMIFS(DataRegularSeason20242025!$AA$3:$AA$1315,DataRegularSeason20242025!$B$3:$B$1315, "&lt;=" &amp; ER$1, DataRegularSeason20242025!$D$3:$D$1315, $A18)+SUMIFS(DataRegularSeason20242025!$AB$3:$AB$1315,DataRegularSeason20242025!$B$3:$B$1315, "&lt;=" &amp; ER$1, DataRegularSeason20242025!$E$3:$E$1315, $A18)</f>
        <v>71</v>
      </c>
      <c r="ES18">
        <f>SUMIFS(DataRegularSeason20242025!$AA$3:$AA$1315,DataRegularSeason20242025!$B$3:$B$1315, "&lt;=" &amp; ES$1, DataRegularSeason20242025!$D$3:$D$1315, $A18)+SUMIFS(DataRegularSeason20242025!$AB$3:$AB$1315,DataRegularSeason20242025!$B$3:$B$1315, "&lt;=" &amp; ES$1, DataRegularSeason20242025!$E$3:$E$1315, $A18)</f>
        <v>71</v>
      </c>
      <c r="ET18">
        <f>SUMIFS(DataRegularSeason20242025!$AA$3:$AA$1315,DataRegularSeason20242025!$B$3:$B$1315, "&lt;=" &amp; ET$1, DataRegularSeason20242025!$D$3:$D$1315, $A18)+SUMIFS(DataRegularSeason20242025!$AB$3:$AB$1315,DataRegularSeason20242025!$B$3:$B$1315, "&lt;=" &amp; ET$1, DataRegularSeason20242025!$E$3:$E$1315, $A18)</f>
        <v>71</v>
      </c>
      <c r="EU18">
        <f>SUMIFS(DataRegularSeason20242025!$AA$3:$AA$1315,DataRegularSeason20242025!$B$3:$B$1315, "&lt;=" &amp; EU$1, DataRegularSeason20242025!$D$3:$D$1315, $A18)+SUMIFS(DataRegularSeason20242025!$AB$3:$AB$1315,DataRegularSeason20242025!$B$3:$B$1315, "&lt;=" &amp; EU$1, DataRegularSeason20242025!$E$3:$E$1315, $A18)</f>
        <v>71</v>
      </c>
      <c r="EV18">
        <f>SUMIFS(DataRegularSeason20242025!$AA$3:$AA$1315,DataRegularSeason20242025!$B$3:$B$1315, "&lt;=" &amp; EV$1, DataRegularSeason20242025!$D$3:$D$1315, $A18)+SUMIFS(DataRegularSeason20242025!$AB$3:$AB$1315,DataRegularSeason20242025!$B$3:$B$1315, "&lt;=" &amp; EV$1, DataRegularSeason20242025!$E$3:$E$1315, $A18)</f>
        <v>71</v>
      </c>
      <c r="EW18">
        <f>SUMIFS(DataRegularSeason20242025!$AA$3:$AA$1315,DataRegularSeason20242025!$B$3:$B$1315, "&lt;=" &amp; EW$1, DataRegularSeason20242025!$D$3:$D$1315, $A18)+SUMIFS(DataRegularSeason20242025!$AB$3:$AB$1315,DataRegularSeason20242025!$B$3:$B$1315, "&lt;=" &amp; EW$1, DataRegularSeason20242025!$E$3:$E$1315, $A18)</f>
        <v>71</v>
      </c>
      <c r="EX18">
        <f>SUMIFS(DataRegularSeason20242025!$AA$3:$AA$1315,DataRegularSeason20242025!$B$3:$B$1315, "&lt;=" &amp; EX$1, DataRegularSeason20242025!$D$3:$D$1315, $A18)+SUMIFS(DataRegularSeason20242025!$AB$3:$AB$1315,DataRegularSeason20242025!$B$3:$B$1315, "&lt;=" &amp; EX$1, DataRegularSeason20242025!$E$3:$E$1315, $A18)</f>
        <v>71</v>
      </c>
      <c r="EY18">
        <f>SUMIFS(DataRegularSeason20242025!$AA$3:$AA$1315,DataRegularSeason20242025!$B$3:$B$1315, "&lt;=" &amp; EY$1, DataRegularSeason20242025!$D$3:$D$1315, $A18)+SUMIFS(DataRegularSeason20242025!$AB$3:$AB$1315,DataRegularSeason20242025!$B$3:$B$1315, "&lt;=" &amp; EY$1, DataRegularSeason20242025!$E$3:$E$1315, $A18)</f>
        <v>71</v>
      </c>
      <c r="EZ18">
        <f>SUMIFS(DataRegularSeason20242025!$AA$3:$AA$1315,DataRegularSeason20242025!$B$3:$B$1315, "&lt;=" &amp; EZ$1, DataRegularSeason20242025!$D$3:$D$1315, $A18)+SUMIFS(DataRegularSeason20242025!$AB$3:$AB$1315,DataRegularSeason20242025!$B$3:$B$1315, "&lt;=" &amp; EZ$1, DataRegularSeason20242025!$E$3:$E$1315, $A18)</f>
        <v>71</v>
      </c>
      <c r="FA18">
        <f>SUMIFS(DataRegularSeason20242025!$AA$3:$AA$1315,DataRegularSeason20242025!$B$3:$B$1315, "&lt;=" &amp; FA$1, DataRegularSeason20242025!$D$3:$D$1315, $A18)+SUMIFS(DataRegularSeason20242025!$AB$3:$AB$1315,DataRegularSeason20242025!$B$3:$B$1315, "&lt;=" &amp; FA$1, DataRegularSeason20242025!$E$3:$E$1315, $A18)</f>
        <v>71</v>
      </c>
      <c r="FB18">
        <f>SUMIFS(DataRegularSeason20242025!$AA$3:$AA$1315,DataRegularSeason20242025!$B$3:$B$1315, "&lt;=" &amp; FB$1, DataRegularSeason20242025!$D$3:$D$1315, $A18)+SUMIFS(DataRegularSeason20242025!$AB$3:$AB$1315,DataRegularSeason20242025!$B$3:$B$1315, "&lt;=" &amp; FB$1, DataRegularSeason20242025!$E$3:$E$1315, $A18)</f>
        <v>71</v>
      </c>
      <c r="FC18">
        <f>SUMIFS(DataRegularSeason20242025!$AA$3:$AA$1315,DataRegularSeason20242025!$B$3:$B$1315, "&lt;=" &amp; FC$1, DataRegularSeason20242025!$D$3:$D$1315, $A18)+SUMIFS(DataRegularSeason20242025!$AB$3:$AB$1315,DataRegularSeason20242025!$B$3:$B$1315, "&lt;=" &amp; FC$1, DataRegularSeason20242025!$E$3:$E$1315, $A18)</f>
        <v>71</v>
      </c>
      <c r="FD18">
        <f>SUMIFS(DataRegularSeason20242025!$AA$3:$AA$1315,DataRegularSeason20242025!$B$3:$B$1315, "&lt;=" &amp; FD$1, DataRegularSeason20242025!$D$3:$D$1315, $A18)+SUMIFS(DataRegularSeason20242025!$AB$3:$AB$1315,DataRegularSeason20242025!$B$3:$B$1315, "&lt;=" &amp; FD$1, DataRegularSeason20242025!$E$3:$E$1315, $A18)</f>
        <v>71</v>
      </c>
      <c r="FE18">
        <f>SUMIFS(DataRegularSeason20242025!$AA$3:$AA$1315,DataRegularSeason20242025!$B$3:$B$1315, "&lt;=" &amp; FE$1, DataRegularSeason20242025!$D$3:$D$1315, $A18)+SUMIFS(DataRegularSeason20242025!$AB$3:$AB$1315,DataRegularSeason20242025!$B$3:$B$1315, "&lt;=" &amp; FE$1, DataRegularSeason20242025!$E$3:$E$1315, $A18)</f>
        <v>71</v>
      </c>
      <c r="FF18">
        <f>SUMIFS(DataRegularSeason20242025!$AA$3:$AA$1315,DataRegularSeason20242025!$B$3:$B$1315, "&lt;=" &amp; FF$1, DataRegularSeason20242025!$D$3:$D$1315, $A18)+SUMIFS(DataRegularSeason20242025!$AB$3:$AB$1315,DataRegularSeason20242025!$B$3:$B$1315, "&lt;=" &amp; FF$1, DataRegularSeason20242025!$E$3:$E$1315, $A18)</f>
        <v>71</v>
      </c>
      <c r="FG18">
        <f>SUMIFS(DataRegularSeason20242025!$AA$3:$AA$1315,DataRegularSeason20242025!$B$3:$B$1315, "&lt;=" &amp; FG$1, DataRegularSeason20242025!$D$3:$D$1315, $A18)+SUMIFS(DataRegularSeason20242025!$AB$3:$AB$1315,DataRegularSeason20242025!$B$3:$B$1315, "&lt;=" &amp; FG$1, DataRegularSeason20242025!$E$3:$E$1315, $A18)</f>
        <v>71</v>
      </c>
      <c r="FH18">
        <f>SUMIFS(DataRegularSeason20242025!$AA$3:$AA$1315,DataRegularSeason20242025!$B$3:$B$1315, "&lt;=" &amp; FH$1, DataRegularSeason20242025!$D$3:$D$1315, $A18)+SUMIFS(DataRegularSeason20242025!$AB$3:$AB$1315,DataRegularSeason20242025!$B$3:$B$1315, "&lt;=" &amp; FH$1, DataRegularSeason20242025!$E$3:$E$1315, $A18)</f>
        <v>71</v>
      </c>
      <c r="FI18">
        <f>SUMIFS(DataRegularSeason20242025!$AA$3:$AA$1315,DataRegularSeason20242025!$B$3:$B$1315, "&lt;=" &amp; FI$1, DataRegularSeason20242025!$D$3:$D$1315, $A18)+SUMIFS(DataRegularSeason20242025!$AB$3:$AB$1315,DataRegularSeason20242025!$B$3:$B$1315, "&lt;=" &amp; FI$1, DataRegularSeason20242025!$E$3:$E$1315, $A18)</f>
        <v>71</v>
      </c>
      <c r="FJ18">
        <f>SUMIFS(DataRegularSeason20242025!$AA$3:$AA$1315,DataRegularSeason20242025!$B$3:$B$1315, "&lt;=" &amp; FJ$1, DataRegularSeason20242025!$D$3:$D$1315, $A18)+SUMIFS(DataRegularSeason20242025!$AB$3:$AB$1315,DataRegularSeason20242025!$B$3:$B$1315, "&lt;=" &amp; FJ$1, DataRegularSeason20242025!$E$3:$E$1315, $A18)</f>
        <v>71</v>
      </c>
      <c r="FK18">
        <f>SUMIFS(DataRegularSeason20242025!$AA$3:$AA$1315,DataRegularSeason20242025!$B$3:$B$1315, "&lt;=" &amp; FK$1, DataRegularSeason20242025!$D$3:$D$1315, $A18)+SUMIFS(DataRegularSeason20242025!$AB$3:$AB$1315,DataRegularSeason20242025!$B$3:$B$1315, "&lt;=" &amp; FK$1, DataRegularSeason20242025!$E$3:$E$1315, $A18)</f>
        <v>71</v>
      </c>
      <c r="FL18">
        <f>SUMIFS(DataRegularSeason20242025!$AA$3:$AA$1315,DataRegularSeason20242025!$B$3:$B$1315, "&lt;=" &amp; FL$1, DataRegularSeason20242025!$D$3:$D$1315, $A18)+SUMIFS(DataRegularSeason20242025!$AB$3:$AB$1315,DataRegularSeason20242025!$B$3:$B$1315, "&lt;=" &amp; FL$1, DataRegularSeason20242025!$E$3:$E$1315, $A18)</f>
        <v>71</v>
      </c>
      <c r="FM18">
        <f>SUMIFS(DataRegularSeason20242025!$AA$3:$AA$1315,DataRegularSeason20242025!$B$3:$B$1315, "&lt;=" &amp; FM$1, DataRegularSeason20242025!$D$3:$D$1315, $A18)+SUMIFS(DataRegularSeason20242025!$AB$3:$AB$1315,DataRegularSeason20242025!$B$3:$B$1315, "&lt;=" &amp; FM$1, DataRegularSeason20242025!$E$3:$E$1315, $A18)</f>
        <v>71</v>
      </c>
      <c r="FN18">
        <f>SUMIFS(DataRegularSeason20242025!$AA$3:$AA$1315,DataRegularSeason20242025!$B$3:$B$1315, "&lt;=" &amp; FN$1, DataRegularSeason20242025!$D$3:$D$1315, $A18)+SUMIFS(DataRegularSeason20242025!$AB$3:$AB$1315,DataRegularSeason20242025!$B$3:$B$1315, "&lt;=" &amp; FN$1, DataRegularSeason20242025!$E$3:$E$1315, $A18)</f>
        <v>71</v>
      </c>
      <c r="FO18">
        <f>SUMIFS(DataRegularSeason20242025!$AA$3:$AA$1315,DataRegularSeason20242025!$B$3:$B$1315, "&lt;=" &amp; FO$1, DataRegularSeason20242025!$D$3:$D$1315, $A18)+SUMIFS(DataRegularSeason20242025!$AB$3:$AB$1315,DataRegularSeason20242025!$B$3:$B$1315, "&lt;=" &amp; FO$1, DataRegularSeason20242025!$E$3:$E$1315, $A18)</f>
        <v>71</v>
      </c>
      <c r="FP18">
        <f>SUMIFS(DataRegularSeason20242025!$AA$3:$AA$1315,DataRegularSeason20242025!$B$3:$B$1315, "&lt;=" &amp; FP$1, DataRegularSeason20242025!$D$3:$D$1315, $A18)+SUMIFS(DataRegularSeason20242025!$AB$3:$AB$1315,DataRegularSeason20242025!$B$3:$B$1315, "&lt;=" &amp; FP$1, DataRegularSeason20242025!$E$3:$E$1315, $A18)</f>
        <v>71</v>
      </c>
      <c r="FQ18">
        <f>SUMIFS(DataRegularSeason20242025!$AA$3:$AA$1315,DataRegularSeason20242025!$B$3:$B$1315, "&lt;=" &amp; FQ$1, DataRegularSeason20242025!$D$3:$D$1315, $A18)+SUMIFS(DataRegularSeason20242025!$AB$3:$AB$1315,DataRegularSeason20242025!$B$3:$B$1315, "&lt;=" &amp; FQ$1, DataRegularSeason20242025!$E$3:$E$1315, $A18)</f>
        <v>71</v>
      </c>
      <c r="FR18">
        <f>SUMIFS(DataRegularSeason20242025!$AA$3:$AA$1315,DataRegularSeason20242025!$B$3:$B$1315, "&lt;=" &amp; FR$1, DataRegularSeason20242025!$D$3:$D$1315, $A18)+SUMIFS(DataRegularSeason20242025!$AB$3:$AB$1315,DataRegularSeason20242025!$B$3:$B$1315, "&lt;=" &amp; FR$1, DataRegularSeason20242025!$E$3:$E$1315, $A18)</f>
        <v>71</v>
      </c>
      <c r="FS18">
        <f>SUMIFS(DataRegularSeason20242025!$AA$3:$AA$1315,DataRegularSeason20242025!$B$3:$B$1315, "&lt;=" &amp; FS$1, DataRegularSeason20242025!$D$3:$D$1315, $A18)+SUMIFS(DataRegularSeason20242025!$AB$3:$AB$1315,DataRegularSeason20242025!$B$3:$B$1315, "&lt;=" &amp; FS$1, DataRegularSeason20242025!$E$3:$E$1315, $A18)</f>
        <v>71</v>
      </c>
      <c r="FT18">
        <f>SUMIFS(DataRegularSeason20242025!$AA$3:$AA$1315,DataRegularSeason20242025!$B$3:$B$1315, "&lt;=" &amp; FT$1, DataRegularSeason20242025!$D$3:$D$1315, $A18)+SUMIFS(DataRegularSeason20242025!$AB$3:$AB$1315,DataRegularSeason20242025!$B$3:$B$1315, "&lt;=" &amp; FT$1, DataRegularSeason20242025!$E$3:$E$1315, $A18)</f>
        <v>71</v>
      </c>
      <c r="FU18">
        <f>SUMIFS(DataRegularSeason20242025!$AA$3:$AA$1315,DataRegularSeason20242025!$B$3:$B$1315, "&lt;=" &amp; FU$1, DataRegularSeason20242025!$D$3:$D$1315, $A18)+SUMIFS(DataRegularSeason20242025!$AB$3:$AB$1315,DataRegularSeason20242025!$B$3:$B$1315, "&lt;=" &amp; FU$1, DataRegularSeason20242025!$E$3:$E$1315, $A18)</f>
        <v>71</v>
      </c>
      <c r="FV18">
        <f>SUMIFS(DataRegularSeason20242025!$AA$3:$AA$1315,DataRegularSeason20242025!$B$3:$B$1315, "&lt;=" &amp; FV$1, DataRegularSeason20242025!$D$3:$D$1315, $A18)+SUMIFS(DataRegularSeason20242025!$AB$3:$AB$1315,DataRegularSeason20242025!$B$3:$B$1315, "&lt;=" &amp; FV$1, DataRegularSeason20242025!$E$3:$E$1315, $A18)</f>
        <v>71</v>
      </c>
      <c r="FW18">
        <f>SUMIFS(DataRegularSeason20242025!$AA$3:$AA$1315,DataRegularSeason20242025!$B$3:$B$1315, "&lt;=" &amp; FW$1, DataRegularSeason20242025!$D$3:$D$1315, $A18)+SUMIFS(DataRegularSeason20242025!$AB$3:$AB$1315,DataRegularSeason20242025!$B$3:$B$1315, "&lt;=" &amp; FW$1, DataRegularSeason20242025!$E$3:$E$1315, $A18)</f>
        <v>71</v>
      </c>
      <c r="FX18">
        <f>SUMIFS(DataRegularSeason20242025!$AA$3:$AA$1315,DataRegularSeason20242025!$B$3:$B$1315, "&lt;=" &amp; FX$1, DataRegularSeason20242025!$D$3:$D$1315, $A18)+SUMIFS(DataRegularSeason20242025!$AB$3:$AB$1315,DataRegularSeason20242025!$B$3:$B$1315, "&lt;=" &amp; FX$1, DataRegularSeason20242025!$E$3:$E$1315, $A18)</f>
        <v>71</v>
      </c>
      <c r="FY18">
        <f>SUMIFS(DataRegularSeason20242025!$AA$3:$AA$1315,DataRegularSeason20242025!$B$3:$B$1315, "&lt;=" &amp; FY$1, DataRegularSeason20242025!$D$3:$D$1315, $A18)+SUMIFS(DataRegularSeason20242025!$AB$3:$AB$1315,DataRegularSeason20242025!$B$3:$B$1315, "&lt;=" &amp; FY$1, DataRegularSeason20242025!$E$3:$E$1315, $A18)</f>
        <v>71</v>
      </c>
      <c r="FZ18">
        <f>SUMIFS(DataRegularSeason20242025!$AA$3:$AA$1315,DataRegularSeason20242025!$B$3:$B$1315, "&lt;=" &amp; FZ$1, DataRegularSeason20242025!$D$3:$D$1315, $A18)+SUMIFS(DataRegularSeason20242025!$AB$3:$AB$1315,DataRegularSeason20242025!$B$3:$B$1315, "&lt;=" &amp; FZ$1, DataRegularSeason20242025!$E$3:$E$1315, $A18)</f>
        <v>71</v>
      </c>
      <c r="GA18">
        <f>SUMIFS(DataRegularSeason20242025!$AA$3:$AA$1315,DataRegularSeason20242025!$B$3:$B$1315, "&lt;=" &amp; GA$1, DataRegularSeason20242025!$D$3:$D$1315, $A18)+SUMIFS(DataRegularSeason20242025!$AB$3:$AB$1315,DataRegularSeason20242025!$B$3:$B$1315, "&lt;=" &amp; GA$1, DataRegularSeason20242025!$E$3:$E$1315, $A18)</f>
        <v>71</v>
      </c>
      <c r="GB18">
        <f>SUMIFS(DataRegularSeason20242025!$AA$3:$AA$1315,DataRegularSeason20242025!$B$3:$B$1315, "&lt;=" &amp; GB$1, DataRegularSeason20242025!$D$3:$D$1315, $A18)+SUMIFS(DataRegularSeason20242025!$AB$3:$AB$1315,DataRegularSeason20242025!$B$3:$B$1315, "&lt;=" &amp; GB$1, DataRegularSeason20242025!$E$3:$E$1315, $A18)</f>
        <v>71</v>
      </c>
      <c r="GC18">
        <f>SUMIFS(DataRegularSeason20242025!$AA$3:$AA$1315,DataRegularSeason20242025!$B$3:$B$1315, "&lt;=" &amp; GC$1, DataRegularSeason20242025!$D$3:$D$1315, $A18)+SUMIFS(DataRegularSeason20242025!$AB$3:$AB$1315,DataRegularSeason20242025!$B$3:$B$1315, "&lt;=" &amp; GC$1, DataRegularSeason20242025!$E$3:$E$1315, $A18)</f>
        <v>71</v>
      </c>
      <c r="GD18">
        <f>SUMIFS(DataRegularSeason20242025!$AA$3:$AA$1315,DataRegularSeason20242025!$B$3:$B$1315, "&lt;=" &amp; GD$1, DataRegularSeason20242025!$D$3:$D$1315, $A18)+SUMIFS(DataRegularSeason20242025!$AB$3:$AB$1315,DataRegularSeason20242025!$B$3:$B$1315, "&lt;=" &amp; GD$1, DataRegularSeason20242025!$E$3:$E$1315, $A18)</f>
        <v>71</v>
      </c>
      <c r="GE18">
        <f>SUMIFS(DataRegularSeason20242025!$AA$3:$AA$1315,DataRegularSeason20242025!$B$3:$B$1315, "&lt;=" &amp; GE$1, DataRegularSeason20242025!$D$3:$D$1315, $A18)+SUMIFS(DataRegularSeason20242025!$AB$3:$AB$1315,DataRegularSeason20242025!$B$3:$B$1315, "&lt;=" &amp; GE$1, DataRegularSeason20242025!$E$3:$E$1315, $A18)</f>
        <v>71</v>
      </c>
      <c r="GF18">
        <f>SUMIFS(DataRegularSeason20242025!$AA$3:$AA$1315,DataRegularSeason20242025!$B$3:$B$1315, "&lt;=" &amp; GF$1, DataRegularSeason20242025!$D$3:$D$1315, $A18)+SUMIFS(DataRegularSeason20242025!$AB$3:$AB$1315,DataRegularSeason20242025!$B$3:$B$1315, "&lt;=" &amp; GF$1, DataRegularSeason20242025!$E$3:$E$1315, $A18)</f>
        <v>71</v>
      </c>
      <c r="GG18">
        <f>SUMIFS(DataRegularSeason20242025!$AA$3:$AA$1315,DataRegularSeason20242025!$B$3:$B$1315, "&lt;=" &amp; GG$1, DataRegularSeason20242025!$D$3:$D$1315, $A18)+SUMIFS(DataRegularSeason20242025!$AB$3:$AB$1315,DataRegularSeason20242025!$B$3:$B$1315, "&lt;=" &amp; GG$1, DataRegularSeason20242025!$E$3:$E$1315, $A18)</f>
        <v>71</v>
      </c>
      <c r="GH18">
        <f>SUMIFS(DataRegularSeason20242025!$AA$3:$AA$1315,DataRegularSeason20242025!$B$3:$B$1315, "&lt;=" &amp; GH$1, DataRegularSeason20242025!$D$3:$D$1315, $A18)+SUMIFS(DataRegularSeason20242025!$AB$3:$AB$1315,DataRegularSeason20242025!$B$3:$B$1315, "&lt;=" &amp; GH$1, DataRegularSeason20242025!$E$3:$E$1315, $A18)</f>
        <v>71</v>
      </c>
      <c r="GI18">
        <f>SUMIFS(DataRegularSeason20242025!$AA$3:$AA$1315,DataRegularSeason20242025!$B$3:$B$1315, "&lt;=" &amp; GI$1, DataRegularSeason20242025!$D$3:$D$1315, $A18)+SUMIFS(DataRegularSeason20242025!$AB$3:$AB$1315,DataRegularSeason20242025!$B$3:$B$1315, "&lt;=" &amp; GI$1, DataRegularSeason20242025!$E$3:$E$1315, $A18)</f>
        <v>71</v>
      </c>
      <c r="GJ18">
        <f>SUMIFS(DataRegularSeason20242025!$AA$3:$AA$1315,DataRegularSeason20242025!$B$3:$B$1315, "&lt;=" &amp; GJ$1, DataRegularSeason20242025!$D$3:$D$1315, $A18)+SUMIFS(DataRegularSeason20242025!$AB$3:$AB$1315,DataRegularSeason20242025!$B$3:$B$1315, "&lt;=" &amp; GJ$1, DataRegularSeason20242025!$E$3:$E$1315, $A18)</f>
        <v>71</v>
      </c>
      <c r="GK18">
        <f>SUMIFS(DataRegularSeason20242025!$AA$3:$AA$1315,DataRegularSeason20242025!$B$3:$B$1315, "&lt;=" &amp; GK$1, DataRegularSeason20242025!$D$3:$D$1315, $A18)+SUMIFS(DataRegularSeason20242025!$AB$3:$AB$1315,DataRegularSeason20242025!$B$3:$B$1315, "&lt;=" &amp; GK$1, DataRegularSeason20242025!$E$3:$E$1315, $A18)</f>
        <v>71</v>
      </c>
      <c r="GL18">
        <f>SUMIFS(DataRegularSeason20242025!$AA$3:$AA$1315,DataRegularSeason20242025!$B$3:$B$1315, "&lt;=" &amp; GL$1, DataRegularSeason20242025!$D$3:$D$1315, $A18)+SUMIFS(DataRegularSeason20242025!$AB$3:$AB$1315,DataRegularSeason20242025!$B$3:$B$1315, "&lt;=" &amp; GL$1, DataRegularSeason20242025!$E$3:$E$1315, $A18)</f>
        <v>71</v>
      </c>
      <c r="GM18">
        <f>SUMIFS(DataRegularSeason20242025!$AA$3:$AA$1315,DataRegularSeason20242025!$B$3:$B$1315, "&lt;=" &amp; GM$1, DataRegularSeason20242025!$D$3:$D$1315, $A18)+SUMIFS(DataRegularSeason20242025!$AB$3:$AB$1315,DataRegularSeason20242025!$B$3:$B$1315, "&lt;=" &amp; GM$1, DataRegularSeason20242025!$E$3:$E$1315, $A18)</f>
        <v>71</v>
      </c>
      <c r="GN18">
        <f>SUMIFS(DataRegularSeason20242025!$AA$3:$AA$1315,DataRegularSeason20242025!$B$3:$B$1315, "&lt;=" &amp; GN$1, DataRegularSeason20242025!$D$3:$D$1315, $A18)+SUMIFS(DataRegularSeason20242025!$AB$3:$AB$1315,DataRegularSeason20242025!$B$3:$B$1315, "&lt;=" &amp; GN$1, DataRegularSeason20242025!$E$3:$E$1315, $A18)</f>
        <v>71</v>
      </c>
      <c r="GO18">
        <f>SUMIFS(DataRegularSeason20242025!$AA$3:$AA$1315,DataRegularSeason20242025!$B$3:$B$1315, "&lt;=" &amp; GO$1, DataRegularSeason20242025!$D$3:$D$1315, $A18)+SUMIFS(DataRegularSeason20242025!$AB$3:$AB$1315,DataRegularSeason20242025!$B$3:$B$1315, "&lt;=" &amp; GO$1, DataRegularSeason20242025!$E$3:$E$1315, $A18)</f>
        <v>71</v>
      </c>
      <c r="GP18">
        <f>SUMIFS(DataRegularSeason20242025!$AA$3:$AA$1315,DataRegularSeason20242025!$B$3:$B$1315, "&lt;=" &amp; GP$1, DataRegularSeason20242025!$D$3:$D$1315, $A18)+SUMIFS(DataRegularSeason20242025!$AB$3:$AB$1315,DataRegularSeason20242025!$B$3:$B$1315, "&lt;=" &amp; GP$1, DataRegularSeason20242025!$E$3:$E$1315, $A18)</f>
        <v>71</v>
      </c>
      <c r="GQ18">
        <f>SUMIFS(DataRegularSeason20242025!$AA$3:$AA$1315,DataRegularSeason20242025!$B$3:$B$1315, "&lt;=" &amp; GQ$1, DataRegularSeason20242025!$D$3:$D$1315, $A18)+SUMIFS(DataRegularSeason20242025!$AB$3:$AB$1315,DataRegularSeason20242025!$B$3:$B$1315, "&lt;=" &amp; GQ$1, DataRegularSeason20242025!$E$3:$E$1315, $A18)</f>
        <v>71</v>
      </c>
      <c r="GR18">
        <f>SUMIFS(DataRegularSeason20242025!$AA$3:$AA$1315,DataRegularSeason20242025!$B$3:$B$1315, "&lt;=" &amp; GR$1, DataRegularSeason20242025!$D$3:$D$1315, $A18)+SUMIFS(DataRegularSeason20242025!$AB$3:$AB$1315,DataRegularSeason20242025!$B$3:$B$1315, "&lt;=" &amp; GR$1, DataRegularSeason20242025!$E$3:$E$1315, $A18)</f>
        <v>71</v>
      </c>
      <c r="GS18">
        <f>SUMIFS(DataRegularSeason20242025!$AA$3:$AA$1315,DataRegularSeason20242025!$B$3:$B$1315, "&lt;=" &amp; GS$1, DataRegularSeason20242025!$D$3:$D$1315, $A18)+SUMIFS(DataRegularSeason20242025!$AB$3:$AB$1315,DataRegularSeason20242025!$B$3:$B$1315, "&lt;=" &amp; GS$1, DataRegularSeason20242025!$E$3:$E$1315, $A18)</f>
        <v>71</v>
      </c>
      <c r="GT18">
        <f>SUMIFS(DataRegularSeason20242025!$AA$3:$AA$1315,DataRegularSeason20242025!$B$3:$B$1315, "&lt;=" &amp; GT$1, DataRegularSeason20242025!$D$3:$D$1315, $A18)+SUMIFS(DataRegularSeason20242025!$AB$3:$AB$1315,DataRegularSeason20242025!$B$3:$B$1315, "&lt;=" &amp; GT$1, DataRegularSeason20242025!$E$3:$E$1315, $A18)</f>
        <v>71</v>
      </c>
      <c r="GU18">
        <f>SUMIFS(DataRegularSeason20242025!$AA$3:$AA$1315,DataRegularSeason20242025!$B$3:$B$1315, "&lt;=" &amp; GU$1, DataRegularSeason20242025!$D$3:$D$1315, $A18)+SUMIFS(DataRegularSeason20242025!$AB$3:$AB$1315,DataRegularSeason20242025!$B$3:$B$1315, "&lt;=" &amp; GU$1, DataRegularSeason20242025!$E$3:$E$1315, $A18)</f>
        <v>71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60</v>
      </c>
      <c r="DU20">
        <f>SUMIFS(DataRegularSeason20242025!$AA$3:$AA$1315,DataRegularSeason20242025!$B$3:$B$1315, "&lt;=" &amp; DU$1, DataRegularSeason20242025!$D$3:$D$1315, $A20)+SUMIFS(DataRegularSeason20242025!$AB$3:$AB$1315,DataRegularSeason20242025!$B$3:$B$1315, "&lt;=" &amp; DU$1, DataRegularSeason20242025!$E$3:$E$1315, $A20)</f>
        <v>60</v>
      </c>
      <c r="DV20">
        <f>SUMIFS(DataRegularSeason20242025!$AA$3:$AA$1315,DataRegularSeason20242025!$B$3:$B$1315, "&lt;=" &amp; DV$1, DataRegularSeason20242025!$D$3:$D$1315, $A20)+SUMIFS(DataRegularSeason20242025!$AB$3:$AB$1315,DataRegularSeason20242025!$B$3:$B$1315, "&lt;=" &amp; DV$1, DataRegularSeason20242025!$E$3:$E$1315, $A20)</f>
        <v>60</v>
      </c>
      <c r="DW20">
        <f>SUMIFS(DataRegularSeason20242025!$AA$3:$AA$1315,DataRegularSeason20242025!$B$3:$B$1315, "&lt;=" &amp; DW$1, DataRegularSeason20242025!$D$3:$D$1315, $A20)+SUMIFS(DataRegularSeason20242025!$AB$3:$AB$1315,DataRegularSeason20242025!$B$3:$B$1315, "&lt;=" &amp; DW$1, DataRegularSeason20242025!$E$3:$E$1315, $A20)</f>
        <v>60</v>
      </c>
      <c r="DX20">
        <f>SUMIFS(DataRegularSeason20242025!$AA$3:$AA$1315,DataRegularSeason20242025!$B$3:$B$1315, "&lt;=" &amp; DX$1, DataRegularSeason20242025!$D$3:$D$1315, $A20)+SUMIFS(DataRegularSeason20242025!$AB$3:$AB$1315,DataRegularSeason20242025!$B$3:$B$1315, "&lt;=" &amp; DX$1, DataRegularSeason20242025!$E$3:$E$1315, $A20)</f>
        <v>60</v>
      </c>
      <c r="DY20">
        <f>SUMIFS(DataRegularSeason20242025!$AA$3:$AA$1315,DataRegularSeason20242025!$B$3:$B$1315, "&lt;=" &amp; DY$1, DataRegularSeason20242025!$D$3:$D$1315, $A20)+SUMIFS(DataRegularSeason20242025!$AB$3:$AB$1315,DataRegularSeason20242025!$B$3:$B$1315, "&lt;=" &amp; DY$1, DataRegularSeason20242025!$E$3:$E$1315, $A20)</f>
        <v>60</v>
      </c>
      <c r="DZ20">
        <f>SUMIFS(DataRegularSeason20242025!$AA$3:$AA$1315,DataRegularSeason20242025!$B$3:$B$1315, "&lt;=" &amp; DZ$1, DataRegularSeason20242025!$D$3:$D$1315, $A20)+SUMIFS(DataRegularSeason20242025!$AB$3:$AB$1315,DataRegularSeason20242025!$B$3:$B$1315, "&lt;=" &amp; DZ$1, DataRegularSeason20242025!$E$3:$E$1315, $A20)</f>
        <v>60</v>
      </c>
      <c r="EA20">
        <f>SUMIFS(DataRegularSeason20242025!$AA$3:$AA$1315,DataRegularSeason20242025!$B$3:$B$1315, "&lt;=" &amp; EA$1, DataRegularSeason20242025!$D$3:$D$1315, $A20)+SUMIFS(DataRegularSeason20242025!$AB$3:$AB$1315,DataRegularSeason20242025!$B$3:$B$1315, "&lt;=" &amp; EA$1, DataRegularSeason20242025!$E$3:$E$1315, $A20)</f>
        <v>60</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58</v>
      </c>
      <c r="DP21">
        <f>SUMIFS(DataRegularSeason20242025!$AA$3:$AA$1315,DataRegularSeason20242025!$B$3:$B$1315, "&lt;=" &amp; DP$1, DataRegularSeason20242025!$D$3:$D$1315, $A21)+SUMIFS(DataRegularSeason20242025!$AB$3:$AB$1315,DataRegularSeason20242025!$B$3:$B$1315, "&lt;=" &amp; DP$1, DataRegularSeason20242025!$E$3:$E$1315, $A21)</f>
        <v>58</v>
      </c>
      <c r="DQ21">
        <f>SUMIFS(DataRegularSeason20242025!$AA$3:$AA$1315,DataRegularSeason20242025!$B$3:$B$1315, "&lt;=" &amp; DQ$1, DataRegularSeason20242025!$D$3:$D$1315, $A21)+SUMIFS(DataRegularSeason20242025!$AB$3:$AB$1315,DataRegularSeason20242025!$B$3:$B$1315, "&lt;=" &amp; DQ$1, DataRegularSeason20242025!$E$3:$E$1315, $A21)</f>
        <v>58</v>
      </c>
      <c r="DR21">
        <f>SUMIFS(DataRegularSeason20242025!$AA$3:$AA$1315,DataRegularSeason20242025!$B$3:$B$1315, "&lt;=" &amp; DR$1, DataRegularSeason20242025!$D$3:$D$1315, $A21)+SUMIFS(DataRegularSeason20242025!$AB$3:$AB$1315,DataRegularSeason20242025!$B$3:$B$1315, "&lt;=" &amp; DR$1, DataRegularSeason20242025!$E$3:$E$1315, $A21)</f>
        <v>58</v>
      </c>
      <c r="DS21">
        <f>SUMIFS(DataRegularSeason20242025!$AA$3:$AA$1315,DataRegularSeason20242025!$B$3:$B$1315, "&lt;=" &amp; DS$1, DataRegularSeason20242025!$D$3:$D$1315, $A21)+SUMIFS(DataRegularSeason20242025!$AB$3:$AB$1315,DataRegularSeason20242025!$B$3:$B$1315, "&lt;=" &amp; DS$1, DataRegularSeason20242025!$E$3:$E$1315, $A21)</f>
        <v>58</v>
      </c>
      <c r="DT21">
        <f>SUMIFS(DataRegularSeason20242025!$AA$3:$AA$1315,DataRegularSeason20242025!$B$3:$B$1315, "&lt;=" &amp; DT$1, DataRegularSeason20242025!$D$3:$D$1315, $A21)+SUMIFS(DataRegularSeason20242025!$AB$3:$AB$1315,DataRegularSeason20242025!$B$3:$B$1315, "&lt;=" &amp; DT$1, DataRegularSeason20242025!$E$3:$E$1315, $A21)</f>
        <v>58</v>
      </c>
      <c r="DU21">
        <f>SUMIFS(DataRegularSeason20242025!$AA$3:$AA$1315,DataRegularSeason20242025!$B$3:$B$1315, "&lt;=" &amp; DU$1, DataRegularSeason20242025!$D$3:$D$1315, $A21)+SUMIFS(DataRegularSeason20242025!$AB$3:$AB$1315,DataRegularSeason20242025!$B$3:$B$1315, "&lt;=" &amp; DU$1, DataRegularSeason20242025!$E$3:$E$1315, $A21)</f>
        <v>58</v>
      </c>
      <c r="DV21">
        <f>SUMIFS(DataRegularSeason20242025!$AA$3:$AA$1315,DataRegularSeason20242025!$B$3:$B$1315, "&lt;=" &amp; DV$1, DataRegularSeason20242025!$D$3:$D$1315, $A21)+SUMIFS(DataRegularSeason20242025!$AB$3:$AB$1315,DataRegularSeason20242025!$B$3:$B$1315, "&lt;=" &amp; DV$1, DataRegularSeason20242025!$E$3:$E$1315, $A21)</f>
        <v>58</v>
      </c>
      <c r="DW21">
        <f>SUMIFS(DataRegularSeason20242025!$AA$3:$AA$1315,DataRegularSeason20242025!$B$3:$B$1315, "&lt;=" &amp; DW$1, DataRegularSeason20242025!$D$3:$D$1315, $A21)+SUMIFS(DataRegularSeason20242025!$AB$3:$AB$1315,DataRegularSeason20242025!$B$3:$B$1315, "&lt;=" &amp; DW$1, DataRegularSeason20242025!$E$3:$E$1315, $A21)</f>
        <v>58</v>
      </c>
      <c r="DX21">
        <f>SUMIFS(DataRegularSeason20242025!$AA$3:$AA$1315,DataRegularSeason20242025!$B$3:$B$1315, "&lt;=" &amp; DX$1, DataRegularSeason20242025!$D$3:$D$1315, $A21)+SUMIFS(DataRegularSeason20242025!$AB$3:$AB$1315,DataRegularSeason20242025!$B$3:$B$1315, "&lt;=" &amp; DX$1, DataRegularSeason20242025!$E$3:$E$1315, $A21)</f>
        <v>58</v>
      </c>
      <c r="DY21">
        <f>SUMIFS(DataRegularSeason20242025!$AA$3:$AA$1315,DataRegularSeason20242025!$B$3:$B$1315, "&lt;=" &amp; DY$1, DataRegularSeason20242025!$D$3:$D$1315, $A21)+SUMIFS(DataRegularSeason20242025!$AB$3:$AB$1315,DataRegularSeason20242025!$B$3:$B$1315, "&lt;=" &amp; DY$1, DataRegularSeason20242025!$E$3:$E$1315, $A21)</f>
        <v>58</v>
      </c>
      <c r="DZ21">
        <f>SUMIFS(DataRegularSeason20242025!$AA$3:$AA$1315,DataRegularSeason20242025!$B$3:$B$1315, "&lt;=" &amp; DZ$1, DataRegularSeason20242025!$D$3:$D$1315, $A21)+SUMIFS(DataRegularSeason20242025!$AB$3:$AB$1315,DataRegularSeason20242025!$B$3:$B$1315, "&lt;=" &amp; DZ$1, DataRegularSeason20242025!$E$3:$E$1315, $A21)</f>
        <v>58</v>
      </c>
      <c r="EA21">
        <f>SUMIFS(DataRegularSeason20242025!$AA$3:$AA$1315,DataRegularSeason20242025!$B$3:$B$1315, "&lt;=" &amp; EA$1, DataRegularSeason20242025!$D$3:$D$1315, $A21)+SUMIFS(DataRegularSeason20242025!$AB$3:$AB$1315,DataRegularSeason20242025!$B$3:$B$1315, "&lt;=" &amp; EA$1, DataRegularSeason20242025!$E$3:$E$1315, $A21)</f>
        <v>58</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65</v>
      </c>
      <c r="DQ26">
        <f>SUMIFS(DataRegularSeason20242025!$AA$3:$AA$1315,DataRegularSeason20242025!$B$3:$B$1315, "&lt;=" &amp; DQ$1, DataRegularSeason20242025!$D$3:$D$1315, $A26)+SUMIFS(DataRegularSeason20242025!$AB$3:$AB$1315,DataRegularSeason20242025!$B$3:$B$1315, "&lt;=" &amp; DQ$1, DataRegularSeason20242025!$E$3:$E$1315, $A26)</f>
        <v>65</v>
      </c>
      <c r="DR26">
        <f>SUMIFS(DataRegularSeason20242025!$AA$3:$AA$1315,DataRegularSeason20242025!$B$3:$B$1315, "&lt;=" &amp; DR$1, DataRegularSeason20242025!$D$3:$D$1315, $A26)+SUMIFS(DataRegularSeason20242025!$AB$3:$AB$1315,DataRegularSeason20242025!$B$3:$B$1315, "&lt;=" &amp; DR$1, DataRegularSeason20242025!$E$3:$E$1315, $A26)</f>
        <v>65</v>
      </c>
      <c r="DS26">
        <f>SUMIFS(DataRegularSeason20242025!$AA$3:$AA$1315,DataRegularSeason20242025!$B$3:$B$1315, "&lt;=" &amp; DS$1, DataRegularSeason20242025!$D$3:$D$1315, $A26)+SUMIFS(DataRegularSeason20242025!$AB$3:$AB$1315,DataRegularSeason20242025!$B$3:$B$1315, "&lt;=" &amp; DS$1, DataRegularSeason20242025!$E$3:$E$1315, $A26)</f>
        <v>65</v>
      </c>
      <c r="DT26">
        <f>SUMIFS(DataRegularSeason20242025!$AA$3:$AA$1315,DataRegularSeason20242025!$B$3:$B$1315, "&lt;=" &amp; DT$1, DataRegularSeason20242025!$D$3:$D$1315, $A26)+SUMIFS(DataRegularSeason20242025!$AB$3:$AB$1315,DataRegularSeason20242025!$B$3:$B$1315, "&lt;=" &amp; DT$1, DataRegularSeason20242025!$E$3:$E$1315, $A26)</f>
        <v>65</v>
      </c>
      <c r="DU26">
        <f>SUMIFS(DataRegularSeason20242025!$AA$3:$AA$1315,DataRegularSeason20242025!$B$3:$B$1315, "&lt;=" &amp; DU$1, DataRegularSeason20242025!$D$3:$D$1315, $A26)+SUMIFS(DataRegularSeason20242025!$AB$3:$AB$1315,DataRegularSeason20242025!$B$3:$B$1315, "&lt;=" &amp; DU$1, DataRegularSeason20242025!$E$3:$E$1315, $A26)</f>
        <v>65</v>
      </c>
      <c r="DV26">
        <f>SUMIFS(DataRegularSeason20242025!$AA$3:$AA$1315,DataRegularSeason20242025!$B$3:$B$1315, "&lt;=" &amp; DV$1, DataRegularSeason20242025!$D$3:$D$1315, $A26)+SUMIFS(DataRegularSeason20242025!$AB$3:$AB$1315,DataRegularSeason20242025!$B$3:$B$1315, "&lt;=" &amp; DV$1, DataRegularSeason20242025!$E$3:$E$1315, $A26)</f>
        <v>65</v>
      </c>
      <c r="DW26">
        <f>SUMIFS(DataRegularSeason20242025!$AA$3:$AA$1315,DataRegularSeason20242025!$B$3:$B$1315, "&lt;=" &amp; DW$1, DataRegularSeason20242025!$D$3:$D$1315, $A26)+SUMIFS(DataRegularSeason20242025!$AB$3:$AB$1315,DataRegularSeason20242025!$B$3:$B$1315, "&lt;=" &amp; DW$1, DataRegularSeason20242025!$E$3:$E$1315, $A26)</f>
        <v>65</v>
      </c>
      <c r="DX26">
        <f>SUMIFS(DataRegularSeason20242025!$AA$3:$AA$1315,DataRegularSeason20242025!$B$3:$B$1315, "&lt;=" &amp; DX$1, DataRegularSeason20242025!$D$3:$D$1315, $A26)+SUMIFS(DataRegularSeason20242025!$AB$3:$AB$1315,DataRegularSeason20242025!$B$3:$B$1315, "&lt;=" &amp; DX$1, DataRegularSeason20242025!$E$3:$E$1315, $A26)</f>
        <v>65</v>
      </c>
      <c r="DY26">
        <f>SUMIFS(DataRegularSeason20242025!$AA$3:$AA$1315,DataRegularSeason20242025!$B$3:$B$1315, "&lt;=" &amp; DY$1, DataRegularSeason20242025!$D$3:$D$1315, $A26)+SUMIFS(DataRegularSeason20242025!$AB$3:$AB$1315,DataRegularSeason20242025!$B$3:$B$1315, "&lt;=" &amp; DY$1, DataRegularSeason20242025!$E$3:$E$1315, $A26)</f>
        <v>65</v>
      </c>
      <c r="DZ26">
        <f>SUMIFS(DataRegularSeason20242025!$AA$3:$AA$1315,DataRegularSeason20242025!$B$3:$B$1315, "&lt;=" &amp; DZ$1, DataRegularSeason20242025!$D$3:$D$1315, $A26)+SUMIFS(DataRegularSeason20242025!$AB$3:$AB$1315,DataRegularSeason20242025!$B$3:$B$1315, "&lt;=" &amp; DZ$1, DataRegularSeason20242025!$E$3:$E$1315, $A26)</f>
        <v>65</v>
      </c>
      <c r="EA26">
        <f>SUMIFS(DataRegularSeason20242025!$AA$3:$AA$1315,DataRegularSeason20242025!$B$3:$B$1315, "&lt;=" &amp; EA$1, DataRegularSeason20242025!$D$3:$D$1315, $A26)+SUMIFS(DataRegularSeason20242025!$AB$3:$AB$1315,DataRegularSeason20242025!$B$3:$B$1315, "&lt;=" &amp; EA$1, DataRegularSeason20242025!$E$3:$E$1315, $A26)</f>
        <v>65</v>
      </c>
      <c r="EB26">
        <f>SUMIFS(DataRegularSeason20242025!$AA$3:$AA$1315,DataRegularSeason20242025!$B$3:$B$1315, "&lt;=" &amp; EB$1, DataRegularSeason20242025!$D$3:$D$1315, $A26)+SUMIFS(DataRegularSeason20242025!$AB$3:$AB$1315,DataRegularSeason20242025!$B$3:$B$1315, "&lt;=" &amp; EB$1, DataRegularSeason20242025!$E$3:$E$1315, $A26)</f>
        <v>65</v>
      </c>
      <c r="EC26">
        <f>SUMIFS(DataRegularSeason20242025!$AA$3:$AA$1315,DataRegularSeason20242025!$B$3:$B$1315, "&lt;=" &amp; EC$1, DataRegularSeason20242025!$D$3:$D$1315, $A26)+SUMIFS(DataRegularSeason20242025!$AB$3:$AB$1315,DataRegularSeason20242025!$B$3:$B$1315, "&lt;=" &amp; EC$1, DataRegularSeason20242025!$E$3:$E$1315, $A26)</f>
        <v>65</v>
      </c>
      <c r="ED26">
        <f>SUMIFS(DataRegularSeason20242025!$AA$3:$AA$1315,DataRegularSeason20242025!$B$3:$B$1315, "&lt;=" &amp; ED$1, DataRegularSeason20242025!$D$3:$D$1315, $A26)+SUMIFS(DataRegularSeason20242025!$AB$3:$AB$1315,DataRegularSeason20242025!$B$3:$B$1315, "&lt;=" &amp; ED$1, DataRegularSeason20242025!$E$3:$E$1315, $A26)</f>
        <v>65</v>
      </c>
      <c r="EE26">
        <f>SUMIFS(DataRegularSeason20242025!$AA$3:$AA$1315,DataRegularSeason20242025!$B$3:$B$1315, "&lt;=" &amp; EE$1, DataRegularSeason20242025!$D$3:$D$1315, $A26)+SUMIFS(DataRegularSeason20242025!$AB$3:$AB$1315,DataRegularSeason20242025!$B$3:$B$1315, "&lt;=" &amp; EE$1, DataRegularSeason20242025!$E$3:$E$1315, $A26)</f>
        <v>65</v>
      </c>
      <c r="EF26">
        <f>SUMIFS(DataRegularSeason20242025!$AA$3:$AA$1315,DataRegularSeason20242025!$B$3:$B$1315, "&lt;=" &amp; EF$1, DataRegularSeason20242025!$D$3:$D$1315, $A26)+SUMIFS(DataRegularSeason20242025!$AB$3:$AB$1315,DataRegularSeason20242025!$B$3:$B$1315, "&lt;=" &amp; EF$1, DataRegularSeason20242025!$E$3:$E$1315, $A26)</f>
        <v>65</v>
      </c>
      <c r="EG26">
        <f>SUMIFS(DataRegularSeason20242025!$AA$3:$AA$1315,DataRegularSeason20242025!$B$3:$B$1315, "&lt;=" &amp; EG$1, DataRegularSeason20242025!$D$3:$D$1315, $A26)+SUMIFS(DataRegularSeason20242025!$AB$3:$AB$1315,DataRegularSeason20242025!$B$3:$B$1315, "&lt;=" &amp; EG$1, DataRegularSeason20242025!$E$3:$E$1315, $A26)</f>
        <v>65</v>
      </c>
      <c r="EH26">
        <f>SUMIFS(DataRegularSeason20242025!$AA$3:$AA$1315,DataRegularSeason20242025!$B$3:$B$1315, "&lt;=" &amp; EH$1, DataRegularSeason20242025!$D$3:$D$1315, $A26)+SUMIFS(DataRegularSeason20242025!$AB$3:$AB$1315,DataRegularSeason20242025!$B$3:$B$1315, "&lt;=" &amp; EH$1, DataRegularSeason20242025!$E$3:$E$1315, $A26)</f>
        <v>65</v>
      </c>
      <c r="EI26">
        <f>SUMIFS(DataRegularSeason20242025!$AA$3:$AA$1315,DataRegularSeason20242025!$B$3:$B$1315, "&lt;=" &amp; EI$1, DataRegularSeason20242025!$D$3:$D$1315, $A26)+SUMIFS(DataRegularSeason20242025!$AB$3:$AB$1315,DataRegularSeason20242025!$B$3:$B$1315, "&lt;=" &amp; EI$1, DataRegularSeason20242025!$E$3:$E$1315, $A26)</f>
        <v>65</v>
      </c>
      <c r="EJ26">
        <f>SUMIFS(DataRegularSeason20242025!$AA$3:$AA$1315,DataRegularSeason20242025!$B$3:$B$1315, "&lt;=" &amp; EJ$1, DataRegularSeason20242025!$D$3:$D$1315, $A26)+SUMIFS(DataRegularSeason20242025!$AB$3:$AB$1315,DataRegularSeason20242025!$B$3:$B$1315, "&lt;=" &amp; EJ$1, DataRegularSeason20242025!$E$3:$E$1315, $A26)</f>
        <v>65</v>
      </c>
      <c r="EK26">
        <f>SUMIFS(DataRegularSeason20242025!$AA$3:$AA$1315,DataRegularSeason20242025!$B$3:$B$1315, "&lt;=" &amp; EK$1, DataRegularSeason20242025!$D$3:$D$1315, $A26)+SUMIFS(DataRegularSeason20242025!$AB$3:$AB$1315,DataRegularSeason20242025!$B$3:$B$1315, "&lt;=" &amp; EK$1, DataRegularSeason20242025!$E$3:$E$1315, $A26)</f>
        <v>65</v>
      </c>
      <c r="EL26">
        <f>SUMIFS(DataRegularSeason20242025!$AA$3:$AA$1315,DataRegularSeason20242025!$B$3:$B$1315, "&lt;=" &amp; EL$1, DataRegularSeason20242025!$D$3:$D$1315, $A26)+SUMIFS(DataRegularSeason20242025!$AB$3:$AB$1315,DataRegularSeason20242025!$B$3:$B$1315, "&lt;=" &amp; EL$1, DataRegularSeason20242025!$E$3:$E$1315, $A26)</f>
        <v>65</v>
      </c>
      <c r="EM26">
        <f>SUMIFS(DataRegularSeason20242025!$AA$3:$AA$1315,DataRegularSeason20242025!$B$3:$B$1315, "&lt;=" &amp; EM$1, DataRegularSeason20242025!$D$3:$D$1315, $A26)+SUMIFS(DataRegularSeason20242025!$AB$3:$AB$1315,DataRegularSeason20242025!$B$3:$B$1315, "&lt;=" &amp; EM$1, DataRegularSeason20242025!$E$3:$E$1315, $A26)</f>
        <v>65</v>
      </c>
      <c r="EN26">
        <f>SUMIFS(DataRegularSeason20242025!$AA$3:$AA$1315,DataRegularSeason20242025!$B$3:$B$1315, "&lt;=" &amp; EN$1, DataRegularSeason20242025!$D$3:$D$1315, $A26)+SUMIFS(DataRegularSeason20242025!$AB$3:$AB$1315,DataRegularSeason20242025!$B$3:$B$1315, "&lt;=" &amp; EN$1, DataRegularSeason20242025!$E$3:$E$1315, $A26)</f>
        <v>65</v>
      </c>
      <c r="EO26">
        <f>SUMIFS(DataRegularSeason20242025!$AA$3:$AA$1315,DataRegularSeason20242025!$B$3:$B$1315, "&lt;=" &amp; EO$1, DataRegularSeason20242025!$D$3:$D$1315, $A26)+SUMIFS(DataRegularSeason20242025!$AB$3:$AB$1315,DataRegularSeason20242025!$B$3:$B$1315, "&lt;=" &amp; EO$1, DataRegularSeason20242025!$E$3:$E$1315, $A26)</f>
        <v>65</v>
      </c>
      <c r="EP26">
        <f>SUMIFS(DataRegularSeason20242025!$AA$3:$AA$1315,DataRegularSeason20242025!$B$3:$B$1315, "&lt;=" &amp; EP$1, DataRegularSeason20242025!$D$3:$D$1315, $A26)+SUMIFS(DataRegularSeason20242025!$AB$3:$AB$1315,DataRegularSeason20242025!$B$3:$B$1315, "&lt;=" &amp; EP$1, DataRegularSeason20242025!$E$3:$E$1315, $A26)</f>
        <v>65</v>
      </c>
      <c r="EQ26">
        <f>SUMIFS(DataRegularSeason20242025!$AA$3:$AA$1315,DataRegularSeason20242025!$B$3:$B$1315, "&lt;=" &amp; EQ$1, DataRegularSeason20242025!$D$3:$D$1315, $A26)+SUMIFS(DataRegularSeason20242025!$AB$3:$AB$1315,DataRegularSeason20242025!$B$3:$B$1315, "&lt;=" &amp; EQ$1, DataRegularSeason20242025!$E$3:$E$1315, $A26)</f>
        <v>65</v>
      </c>
      <c r="ER26">
        <f>SUMIFS(DataRegularSeason20242025!$AA$3:$AA$1315,DataRegularSeason20242025!$B$3:$B$1315, "&lt;=" &amp; ER$1, DataRegularSeason20242025!$D$3:$D$1315, $A26)+SUMIFS(DataRegularSeason20242025!$AB$3:$AB$1315,DataRegularSeason20242025!$B$3:$B$1315, "&lt;=" &amp; ER$1, DataRegularSeason20242025!$E$3:$E$1315, $A26)</f>
        <v>65</v>
      </c>
      <c r="ES26">
        <f>SUMIFS(DataRegularSeason20242025!$AA$3:$AA$1315,DataRegularSeason20242025!$B$3:$B$1315, "&lt;=" &amp; ES$1, DataRegularSeason20242025!$D$3:$D$1315, $A26)+SUMIFS(DataRegularSeason20242025!$AB$3:$AB$1315,DataRegularSeason20242025!$B$3:$B$1315, "&lt;=" &amp; ES$1, DataRegularSeason20242025!$E$3:$E$1315, $A26)</f>
        <v>65</v>
      </c>
      <c r="ET26">
        <f>SUMIFS(DataRegularSeason20242025!$AA$3:$AA$1315,DataRegularSeason20242025!$B$3:$B$1315, "&lt;=" &amp; ET$1, DataRegularSeason20242025!$D$3:$D$1315, $A26)+SUMIFS(DataRegularSeason20242025!$AB$3:$AB$1315,DataRegularSeason20242025!$B$3:$B$1315, "&lt;=" &amp; ET$1, DataRegularSeason20242025!$E$3:$E$1315, $A26)</f>
        <v>65</v>
      </c>
      <c r="EU26">
        <f>SUMIFS(DataRegularSeason20242025!$AA$3:$AA$1315,DataRegularSeason20242025!$B$3:$B$1315, "&lt;=" &amp; EU$1, DataRegularSeason20242025!$D$3:$D$1315, $A26)+SUMIFS(DataRegularSeason20242025!$AB$3:$AB$1315,DataRegularSeason20242025!$B$3:$B$1315, "&lt;=" &amp; EU$1, DataRegularSeason20242025!$E$3:$E$1315, $A26)</f>
        <v>65</v>
      </c>
      <c r="EV26">
        <f>SUMIFS(DataRegularSeason20242025!$AA$3:$AA$1315,DataRegularSeason20242025!$B$3:$B$1315, "&lt;=" &amp; EV$1, DataRegularSeason20242025!$D$3:$D$1315, $A26)+SUMIFS(DataRegularSeason20242025!$AB$3:$AB$1315,DataRegularSeason20242025!$B$3:$B$1315, "&lt;=" &amp; EV$1, DataRegularSeason20242025!$E$3:$E$1315, $A26)</f>
        <v>65</v>
      </c>
      <c r="EW26">
        <f>SUMIFS(DataRegularSeason20242025!$AA$3:$AA$1315,DataRegularSeason20242025!$B$3:$B$1315, "&lt;=" &amp; EW$1, DataRegularSeason20242025!$D$3:$D$1315, $A26)+SUMIFS(DataRegularSeason20242025!$AB$3:$AB$1315,DataRegularSeason20242025!$B$3:$B$1315, "&lt;=" &amp; EW$1, DataRegularSeason20242025!$E$3:$E$1315, $A26)</f>
        <v>65</v>
      </c>
      <c r="EX26">
        <f>SUMIFS(DataRegularSeason20242025!$AA$3:$AA$1315,DataRegularSeason20242025!$B$3:$B$1315, "&lt;=" &amp; EX$1, DataRegularSeason20242025!$D$3:$D$1315, $A26)+SUMIFS(DataRegularSeason20242025!$AB$3:$AB$1315,DataRegularSeason20242025!$B$3:$B$1315, "&lt;=" &amp; EX$1, DataRegularSeason20242025!$E$3:$E$1315, $A26)</f>
        <v>65</v>
      </c>
      <c r="EY26">
        <f>SUMIFS(DataRegularSeason20242025!$AA$3:$AA$1315,DataRegularSeason20242025!$B$3:$B$1315, "&lt;=" &amp; EY$1, DataRegularSeason20242025!$D$3:$D$1315, $A26)+SUMIFS(DataRegularSeason20242025!$AB$3:$AB$1315,DataRegularSeason20242025!$B$3:$B$1315, "&lt;=" &amp; EY$1, DataRegularSeason20242025!$E$3:$E$1315, $A26)</f>
        <v>65</v>
      </c>
      <c r="EZ26">
        <f>SUMIFS(DataRegularSeason20242025!$AA$3:$AA$1315,DataRegularSeason20242025!$B$3:$B$1315, "&lt;=" &amp; EZ$1, DataRegularSeason20242025!$D$3:$D$1315, $A26)+SUMIFS(DataRegularSeason20242025!$AB$3:$AB$1315,DataRegularSeason20242025!$B$3:$B$1315, "&lt;=" &amp; EZ$1, DataRegularSeason20242025!$E$3:$E$1315, $A26)</f>
        <v>65</v>
      </c>
      <c r="FA26">
        <f>SUMIFS(DataRegularSeason20242025!$AA$3:$AA$1315,DataRegularSeason20242025!$B$3:$B$1315, "&lt;=" &amp; FA$1, DataRegularSeason20242025!$D$3:$D$1315, $A26)+SUMIFS(DataRegularSeason20242025!$AB$3:$AB$1315,DataRegularSeason20242025!$B$3:$B$1315, "&lt;=" &amp; FA$1, DataRegularSeason20242025!$E$3:$E$1315, $A26)</f>
        <v>65</v>
      </c>
      <c r="FB26">
        <f>SUMIFS(DataRegularSeason20242025!$AA$3:$AA$1315,DataRegularSeason20242025!$B$3:$B$1315, "&lt;=" &amp; FB$1, DataRegularSeason20242025!$D$3:$D$1315, $A26)+SUMIFS(DataRegularSeason20242025!$AB$3:$AB$1315,DataRegularSeason20242025!$B$3:$B$1315, "&lt;=" &amp; FB$1, DataRegularSeason20242025!$E$3:$E$1315, $A26)</f>
        <v>65</v>
      </c>
      <c r="FC26">
        <f>SUMIFS(DataRegularSeason20242025!$AA$3:$AA$1315,DataRegularSeason20242025!$B$3:$B$1315, "&lt;=" &amp; FC$1, DataRegularSeason20242025!$D$3:$D$1315, $A26)+SUMIFS(DataRegularSeason20242025!$AB$3:$AB$1315,DataRegularSeason20242025!$B$3:$B$1315, "&lt;=" &amp; FC$1, DataRegularSeason20242025!$E$3:$E$1315, $A26)</f>
        <v>65</v>
      </c>
      <c r="FD26">
        <f>SUMIFS(DataRegularSeason20242025!$AA$3:$AA$1315,DataRegularSeason20242025!$B$3:$B$1315, "&lt;=" &amp; FD$1, DataRegularSeason20242025!$D$3:$D$1315, $A26)+SUMIFS(DataRegularSeason20242025!$AB$3:$AB$1315,DataRegularSeason20242025!$B$3:$B$1315, "&lt;=" &amp; FD$1, DataRegularSeason20242025!$E$3:$E$1315, $A26)</f>
        <v>65</v>
      </c>
      <c r="FE26">
        <f>SUMIFS(DataRegularSeason20242025!$AA$3:$AA$1315,DataRegularSeason20242025!$B$3:$B$1315, "&lt;=" &amp; FE$1, DataRegularSeason20242025!$D$3:$D$1315, $A26)+SUMIFS(DataRegularSeason20242025!$AB$3:$AB$1315,DataRegularSeason20242025!$B$3:$B$1315, "&lt;=" &amp; FE$1, DataRegularSeason20242025!$E$3:$E$1315, $A26)</f>
        <v>65</v>
      </c>
      <c r="FF26">
        <f>SUMIFS(DataRegularSeason20242025!$AA$3:$AA$1315,DataRegularSeason20242025!$B$3:$B$1315, "&lt;=" &amp; FF$1, DataRegularSeason20242025!$D$3:$D$1315, $A26)+SUMIFS(DataRegularSeason20242025!$AB$3:$AB$1315,DataRegularSeason20242025!$B$3:$B$1315, "&lt;=" &amp; FF$1, DataRegularSeason20242025!$E$3:$E$1315, $A26)</f>
        <v>65</v>
      </c>
      <c r="FG26">
        <f>SUMIFS(DataRegularSeason20242025!$AA$3:$AA$1315,DataRegularSeason20242025!$B$3:$B$1315, "&lt;=" &amp; FG$1, DataRegularSeason20242025!$D$3:$D$1315, $A26)+SUMIFS(DataRegularSeason20242025!$AB$3:$AB$1315,DataRegularSeason20242025!$B$3:$B$1315, "&lt;=" &amp; FG$1, DataRegularSeason20242025!$E$3:$E$1315, $A26)</f>
        <v>65</v>
      </c>
      <c r="FH26">
        <f>SUMIFS(DataRegularSeason20242025!$AA$3:$AA$1315,DataRegularSeason20242025!$B$3:$B$1315, "&lt;=" &amp; FH$1, DataRegularSeason20242025!$D$3:$D$1315, $A26)+SUMIFS(DataRegularSeason20242025!$AB$3:$AB$1315,DataRegularSeason20242025!$B$3:$B$1315, "&lt;=" &amp; FH$1, DataRegularSeason20242025!$E$3:$E$1315, $A26)</f>
        <v>65</v>
      </c>
      <c r="FI26">
        <f>SUMIFS(DataRegularSeason20242025!$AA$3:$AA$1315,DataRegularSeason20242025!$B$3:$B$1315, "&lt;=" &amp; FI$1, DataRegularSeason20242025!$D$3:$D$1315, $A26)+SUMIFS(DataRegularSeason20242025!$AB$3:$AB$1315,DataRegularSeason20242025!$B$3:$B$1315, "&lt;=" &amp; FI$1, DataRegularSeason20242025!$E$3:$E$1315, $A26)</f>
        <v>65</v>
      </c>
      <c r="FJ26">
        <f>SUMIFS(DataRegularSeason20242025!$AA$3:$AA$1315,DataRegularSeason20242025!$B$3:$B$1315, "&lt;=" &amp; FJ$1, DataRegularSeason20242025!$D$3:$D$1315, $A26)+SUMIFS(DataRegularSeason20242025!$AB$3:$AB$1315,DataRegularSeason20242025!$B$3:$B$1315, "&lt;=" &amp; FJ$1, DataRegularSeason20242025!$E$3:$E$1315, $A26)</f>
        <v>65</v>
      </c>
      <c r="FK26">
        <f>SUMIFS(DataRegularSeason20242025!$AA$3:$AA$1315,DataRegularSeason20242025!$B$3:$B$1315, "&lt;=" &amp; FK$1, DataRegularSeason20242025!$D$3:$D$1315, $A26)+SUMIFS(DataRegularSeason20242025!$AB$3:$AB$1315,DataRegularSeason20242025!$B$3:$B$1315, "&lt;=" &amp; FK$1, DataRegularSeason20242025!$E$3:$E$1315, $A26)</f>
        <v>65</v>
      </c>
      <c r="FL26">
        <f>SUMIFS(DataRegularSeason20242025!$AA$3:$AA$1315,DataRegularSeason20242025!$B$3:$B$1315, "&lt;=" &amp; FL$1, DataRegularSeason20242025!$D$3:$D$1315, $A26)+SUMIFS(DataRegularSeason20242025!$AB$3:$AB$1315,DataRegularSeason20242025!$B$3:$B$1315, "&lt;=" &amp; FL$1, DataRegularSeason20242025!$E$3:$E$1315, $A26)</f>
        <v>65</v>
      </c>
      <c r="FM26">
        <f>SUMIFS(DataRegularSeason20242025!$AA$3:$AA$1315,DataRegularSeason20242025!$B$3:$B$1315, "&lt;=" &amp; FM$1, DataRegularSeason20242025!$D$3:$D$1315, $A26)+SUMIFS(DataRegularSeason20242025!$AB$3:$AB$1315,DataRegularSeason20242025!$B$3:$B$1315, "&lt;=" &amp; FM$1, DataRegularSeason20242025!$E$3:$E$1315, $A26)</f>
        <v>65</v>
      </c>
      <c r="FN26">
        <f>SUMIFS(DataRegularSeason20242025!$AA$3:$AA$1315,DataRegularSeason20242025!$B$3:$B$1315, "&lt;=" &amp; FN$1, DataRegularSeason20242025!$D$3:$D$1315, $A26)+SUMIFS(DataRegularSeason20242025!$AB$3:$AB$1315,DataRegularSeason20242025!$B$3:$B$1315, "&lt;=" &amp; FN$1, DataRegularSeason20242025!$E$3:$E$1315, $A26)</f>
        <v>65</v>
      </c>
      <c r="FO26">
        <f>SUMIFS(DataRegularSeason20242025!$AA$3:$AA$1315,DataRegularSeason20242025!$B$3:$B$1315, "&lt;=" &amp; FO$1, DataRegularSeason20242025!$D$3:$D$1315, $A26)+SUMIFS(DataRegularSeason20242025!$AB$3:$AB$1315,DataRegularSeason20242025!$B$3:$B$1315, "&lt;=" &amp; FO$1, DataRegularSeason20242025!$E$3:$E$1315, $A26)</f>
        <v>65</v>
      </c>
      <c r="FP26">
        <f>SUMIFS(DataRegularSeason20242025!$AA$3:$AA$1315,DataRegularSeason20242025!$B$3:$B$1315, "&lt;=" &amp; FP$1, DataRegularSeason20242025!$D$3:$D$1315, $A26)+SUMIFS(DataRegularSeason20242025!$AB$3:$AB$1315,DataRegularSeason20242025!$B$3:$B$1315, "&lt;=" &amp; FP$1, DataRegularSeason20242025!$E$3:$E$1315, $A26)</f>
        <v>65</v>
      </c>
      <c r="FQ26">
        <f>SUMIFS(DataRegularSeason20242025!$AA$3:$AA$1315,DataRegularSeason20242025!$B$3:$B$1315, "&lt;=" &amp; FQ$1, DataRegularSeason20242025!$D$3:$D$1315, $A26)+SUMIFS(DataRegularSeason20242025!$AB$3:$AB$1315,DataRegularSeason20242025!$B$3:$B$1315, "&lt;=" &amp; FQ$1, DataRegularSeason20242025!$E$3:$E$1315, $A26)</f>
        <v>65</v>
      </c>
      <c r="FR26">
        <f>SUMIFS(DataRegularSeason20242025!$AA$3:$AA$1315,DataRegularSeason20242025!$B$3:$B$1315, "&lt;=" &amp; FR$1, DataRegularSeason20242025!$D$3:$D$1315, $A26)+SUMIFS(DataRegularSeason20242025!$AB$3:$AB$1315,DataRegularSeason20242025!$B$3:$B$1315, "&lt;=" &amp; FR$1, DataRegularSeason20242025!$E$3:$E$1315, $A26)</f>
        <v>65</v>
      </c>
      <c r="FS26">
        <f>SUMIFS(DataRegularSeason20242025!$AA$3:$AA$1315,DataRegularSeason20242025!$B$3:$B$1315, "&lt;=" &amp; FS$1, DataRegularSeason20242025!$D$3:$D$1315, $A26)+SUMIFS(DataRegularSeason20242025!$AB$3:$AB$1315,DataRegularSeason20242025!$B$3:$B$1315, "&lt;=" &amp; FS$1, DataRegularSeason20242025!$E$3:$E$1315, $A26)</f>
        <v>65</v>
      </c>
      <c r="FT26">
        <f>SUMIFS(DataRegularSeason20242025!$AA$3:$AA$1315,DataRegularSeason20242025!$B$3:$B$1315, "&lt;=" &amp; FT$1, DataRegularSeason20242025!$D$3:$D$1315, $A26)+SUMIFS(DataRegularSeason20242025!$AB$3:$AB$1315,DataRegularSeason20242025!$B$3:$B$1315, "&lt;=" &amp; FT$1, DataRegularSeason20242025!$E$3:$E$1315, $A26)</f>
        <v>65</v>
      </c>
      <c r="FU26">
        <f>SUMIFS(DataRegularSeason20242025!$AA$3:$AA$1315,DataRegularSeason20242025!$B$3:$B$1315, "&lt;=" &amp; FU$1, DataRegularSeason20242025!$D$3:$D$1315, $A26)+SUMIFS(DataRegularSeason20242025!$AB$3:$AB$1315,DataRegularSeason20242025!$B$3:$B$1315, "&lt;=" &amp; FU$1, DataRegularSeason20242025!$E$3:$E$1315, $A26)</f>
        <v>65</v>
      </c>
      <c r="FV26">
        <f>SUMIFS(DataRegularSeason20242025!$AA$3:$AA$1315,DataRegularSeason20242025!$B$3:$B$1315, "&lt;=" &amp; FV$1, DataRegularSeason20242025!$D$3:$D$1315, $A26)+SUMIFS(DataRegularSeason20242025!$AB$3:$AB$1315,DataRegularSeason20242025!$B$3:$B$1315, "&lt;=" &amp; FV$1, DataRegularSeason20242025!$E$3:$E$1315, $A26)</f>
        <v>65</v>
      </c>
      <c r="FW26">
        <f>SUMIFS(DataRegularSeason20242025!$AA$3:$AA$1315,DataRegularSeason20242025!$B$3:$B$1315, "&lt;=" &amp; FW$1, DataRegularSeason20242025!$D$3:$D$1315, $A26)+SUMIFS(DataRegularSeason20242025!$AB$3:$AB$1315,DataRegularSeason20242025!$B$3:$B$1315, "&lt;=" &amp; FW$1, DataRegularSeason20242025!$E$3:$E$1315, $A26)</f>
        <v>65</v>
      </c>
      <c r="FX26">
        <f>SUMIFS(DataRegularSeason20242025!$AA$3:$AA$1315,DataRegularSeason20242025!$B$3:$B$1315, "&lt;=" &amp; FX$1, DataRegularSeason20242025!$D$3:$D$1315, $A26)+SUMIFS(DataRegularSeason20242025!$AB$3:$AB$1315,DataRegularSeason20242025!$B$3:$B$1315, "&lt;=" &amp; FX$1, DataRegularSeason20242025!$E$3:$E$1315, $A26)</f>
        <v>65</v>
      </c>
      <c r="FY26">
        <f>SUMIFS(DataRegularSeason20242025!$AA$3:$AA$1315,DataRegularSeason20242025!$B$3:$B$1315, "&lt;=" &amp; FY$1, DataRegularSeason20242025!$D$3:$D$1315, $A26)+SUMIFS(DataRegularSeason20242025!$AB$3:$AB$1315,DataRegularSeason20242025!$B$3:$B$1315, "&lt;=" &amp; FY$1, DataRegularSeason20242025!$E$3:$E$1315, $A26)</f>
        <v>65</v>
      </c>
      <c r="FZ26">
        <f>SUMIFS(DataRegularSeason20242025!$AA$3:$AA$1315,DataRegularSeason20242025!$B$3:$B$1315, "&lt;=" &amp; FZ$1, DataRegularSeason20242025!$D$3:$D$1315, $A26)+SUMIFS(DataRegularSeason20242025!$AB$3:$AB$1315,DataRegularSeason20242025!$B$3:$B$1315, "&lt;=" &amp; FZ$1, DataRegularSeason20242025!$E$3:$E$1315, $A26)</f>
        <v>65</v>
      </c>
      <c r="GA26">
        <f>SUMIFS(DataRegularSeason20242025!$AA$3:$AA$1315,DataRegularSeason20242025!$B$3:$B$1315, "&lt;=" &amp; GA$1, DataRegularSeason20242025!$D$3:$D$1315, $A26)+SUMIFS(DataRegularSeason20242025!$AB$3:$AB$1315,DataRegularSeason20242025!$B$3:$B$1315, "&lt;=" &amp; GA$1, DataRegularSeason20242025!$E$3:$E$1315, $A26)</f>
        <v>65</v>
      </c>
      <c r="GB26">
        <f>SUMIFS(DataRegularSeason20242025!$AA$3:$AA$1315,DataRegularSeason20242025!$B$3:$B$1315, "&lt;=" &amp; GB$1, DataRegularSeason20242025!$D$3:$D$1315, $A26)+SUMIFS(DataRegularSeason20242025!$AB$3:$AB$1315,DataRegularSeason20242025!$B$3:$B$1315, "&lt;=" &amp; GB$1, DataRegularSeason20242025!$E$3:$E$1315, $A26)</f>
        <v>65</v>
      </c>
      <c r="GC26">
        <f>SUMIFS(DataRegularSeason20242025!$AA$3:$AA$1315,DataRegularSeason20242025!$B$3:$B$1315, "&lt;=" &amp; GC$1, DataRegularSeason20242025!$D$3:$D$1315, $A26)+SUMIFS(DataRegularSeason20242025!$AB$3:$AB$1315,DataRegularSeason20242025!$B$3:$B$1315, "&lt;=" &amp; GC$1, DataRegularSeason20242025!$E$3:$E$1315, $A26)</f>
        <v>65</v>
      </c>
      <c r="GD26">
        <f>SUMIFS(DataRegularSeason20242025!$AA$3:$AA$1315,DataRegularSeason20242025!$B$3:$B$1315, "&lt;=" &amp; GD$1, DataRegularSeason20242025!$D$3:$D$1315, $A26)+SUMIFS(DataRegularSeason20242025!$AB$3:$AB$1315,DataRegularSeason20242025!$B$3:$B$1315, "&lt;=" &amp; GD$1, DataRegularSeason20242025!$E$3:$E$1315, $A26)</f>
        <v>65</v>
      </c>
      <c r="GE26">
        <f>SUMIFS(DataRegularSeason20242025!$AA$3:$AA$1315,DataRegularSeason20242025!$B$3:$B$1315, "&lt;=" &amp; GE$1, DataRegularSeason20242025!$D$3:$D$1315, $A26)+SUMIFS(DataRegularSeason20242025!$AB$3:$AB$1315,DataRegularSeason20242025!$B$3:$B$1315, "&lt;=" &amp; GE$1, DataRegularSeason20242025!$E$3:$E$1315, $A26)</f>
        <v>65</v>
      </c>
      <c r="GF26">
        <f>SUMIFS(DataRegularSeason20242025!$AA$3:$AA$1315,DataRegularSeason20242025!$B$3:$B$1315, "&lt;=" &amp; GF$1, DataRegularSeason20242025!$D$3:$D$1315, $A26)+SUMIFS(DataRegularSeason20242025!$AB$3:$AB$1315,DataRegularSeason20242025!$B$3:$B$1315, "&lt;=" &amp; GF$1, DataRegularSeason20242025!$E$3:$E$1315, $A26)</f>
        <v>65</v>
      </c>
      <c r="GG26">
        <f>SUMIFS(DataRegularSeason20242025!$AA$3:$AA$1315,DataRegularSeason20242025!$B$3:$B$1315, "&lt;=" &amp; GG$1, DataRegularSeason20242025!$D$3:$D$1315, $A26)+SUMIFS(DataRegularSeason20242025!$AB$3:$AB$1315,DataRegularSeason20242025!$B$3:$B$1315, "&lt;=" &amp; GG$1, DataRegularSeason20242025!$E$3:$E$1315, $A26)</f>
        <v>65</v>
      </c>
      <c r="GH26">
        <f>SUMIFS(DataRegularSeason20242025!$AA$3:$AA$1315,DataRegularSeason20242025!$B$3:$B$1315, "&lt;=" &amp; GH$1, DataRegularSeason20242025!$D$3:$D$1315, $A26)+SUMIFS(DataRegularSeason20242025!$AB$3:$AB$1315,DataRegularSeason20242025!$B$3:$B$1315, "&lt;=" &amp; GH$1, DataRegularSeason20242025!$E$3:$E$1315, $A26)</f>
        <v>65</v>
      </c>
      <c r="GI26">
        <f>SUMIFS(DataRegularSeason20242025!$AA$3:$AA$1315,DataRegularSeason20242025!$B$3:$B$1315, "&lt;=" &amp; GI$1, DataRegularSeason20242025!$D$3:$D$1315, $A26)+SUMIFS(DataRegularSeason20242025!$AB$3:$AB$1315,DataRegularSeason20242025!$B$3:$B$1315, "&lt;=" &amp; GI$1, DataRegularSeason20242025!$E$3:$E$1315, $A26)</f>
        <v>65</v>
      </c>
      <c r="GJ26">
        <f>SUMIFS(DataRegularSeason20242025!$AA$3:$AA$1315,DataRegularSeason20242025!$B$3:$B$1315, "&lt;=" &amp; GJ$1, DataRegularSeason20242025!$D$3:$D$1315, $A26)+SUMIFS(DataRegularSeason20242025!$AB$3:$AB$1315,DataRegularSeason20242025!$B$3:$B$1315, "&lt;=" &amp; GJ$1, DataRegularSeason20242025!$E$3:$E$1315, $A26)</f>
        <v>65</v>
      </c>
      <c r="GK26">
        <f>SUMIFS(DataRegularSeason20242025!$AA$3:$AA$1315,DataRegularSeason20242025!$B$3:$B$1315, "&lt;=" &amp; GK$1, DataRegularSeason20242025!$D$3:$D$1315, $A26)+SUMIFS(DataRegularSeason20242025!$AB$3:$AB$1315,DataRegularSeason20242025!$B$3:$B$1315, "&lt;=" &amp; GK$1, DataRegularSeason20242025!$E$3:$E$1315, $A26)</f>
        <v>65</v>
      </c>
      <c r="GL26">
        <f>SUMIFS(DataRegularSeason20242025!$AA$3:$AA$1315,DataRegularSeason20242025!$B$3:$B$1315, "&lt;=" &amp; GL$1, DataRegularSeason20242025!$D$3:$D$1315, $A26)+SUMIFS(DataRegularSeason20242025!$AB$3:$AB$1315,DataRegularSeason20242025!$B$3:$B$1315, "&lt;=" &amp; GL$1, DataRegularSeason20242025!$E$3:$E$1315, $A26)</f>
        <v>65</v>
      </c>
      <c r="GM26">
        <f>SUMIFS(DataRegularSeason20242025!$AA$3:$AA$1315,DataRegularSeason20242025!$B$3:$B$1315, "&lt;=" &amp; GM$1, DataRegularSeason20242025!$D$3:$D$1315, $A26)+SUMIFS(DataRegularSeason20242025!$AB$3:$AB$1315,DataRegularSeason20242025!$B$3:$B$1315, "&lt;=" &amp; GM$1, DataRegularSeason20242025!$E$3:$E$1315, $A26)</f>
        <v>65</v>
      </c>
      <c r="GN26">
        <f>SUMIFS(DataRegularSeason20242025!$AA$3:$AA$1315,DataRegularSeason20242025!$B$3:$B$1315, "&lt;=" &amp; GN$1, DataRegularSeason20242025!$D$3:$D$1315, $A26)+SUMIFS(DataRegularSeason20242025!$AB$3:$AB$1315,DataRegularSeason20242025!$B$3:$B$1315, "&lt;=" &amp; GN$1, DataRegularSeason20242025!$E$3:$E$1315, $A26)</f>
        <v>65</v>
      </c>
      <c r="GO26">
        <f>SUMIFS(DataRegularSeason20242025!$AA$3:$AA$1315,DataRegularSeason20242025!$B$3:$B$1315, "&lt;=" &amp; GO$1, DataRegularSeason20242025!$D$3:$D$1315, $A26)+SUMIFS(DataRegularSeason20242025!$AB$3:$AB$1315,DataRegularSeason20242025!$B$3:$B$1315, "&lt;=" &amp; GO$1, DataRegularSeason20242025!$E$3:$E$1315, $A26)</f>
        <v>65</v>
      </c>
      <c r="GP26">
        <f>SUMIFS(DataRegularSeason20242025!$AA$3:$AA$1315,DataRegularSeason20242025!$B$3:$B$1315, "&lt;=" &amp; GP$1, DataRegularSeason20242025!$D$3:$D$1315, $A26)+SUMIFS(DataRegularSeason20242025!$AB$3:$AB$1315,DataRegularSeason20242025!$B$3:$B$1315, "&lt;=" &amp; GP$1, DataRegularSeason20242025!$E$3:$E$1315, $A26)</f>
        <v>65</v>
      </c>
      <c r="GQ26">
        <f>SUMIFS(DataRegularSeason20242025!$AA$3:$AA$1315,DataRegularSeason20242025!$B$3:$B$1315, "&lt;=" &amp; GQ$1, DataRegularSeason20242025!$D$3:$D$1315, $A26)+SUMIFS(DataRegularSeason20242025!$AB$3:$AB$1315,DataRegularSeason20242025!$B$3:$B$1315, "&lt;=" &amp; GQ$1, DataRegularSeason20242025!$E$3:$E$1315, $A26)</f>
        <v>65</v>
      </c>
      <c r="GR26">
        <f>SUMIFS(DataRegularSeason20242025!$AA$3:$AA$1315,DataRegularSeason20242025!$B$3:$B$1315, "&lt;=" &amp; GR$1, DataRegularSeason20242025!$D$3:$D$1315, $A26)+SUMIFS(DataRegularSeason20242025!$AB$3:$AB$1315,DataRegularSeason20242025!$B$3:$B$1315, "&lt;=" &amp; GR$1, DataRegularSeason20242025!$E$3:$E$1315, $A26)</f>
        <v>65</v>
      </c>
      <c r="GS26">
        <f>SUMIFS(DataRegularSeason20242025!$AA$3:$AA$1315,DataRegularSeason20242025!$B$3:$B$1315, "&lt;=" &amp; GS$1, DataRegularSeason20242025!$D$3:$D$1315, $A26)+SUMIFS(DataRegularSeason20242025!$AB$3:$AB$1315,DataRegularSeason20242025!$B$3:$B$1315, "&lt;=" &amp; GS$1, DataRegularSeason20242025!$E$3:$E$1315, $A26)</f>
        <v>65</v>
      </c>
      <c r="GT26">
        <f>SUMIFS(DataRegularSeason20242025!$AA$3:$AA$1315,DataRegularSeason20242025!$B$3:$B$1315, "&lt;=" &amp; GT$1, DataRegularSeason20242025!$D$3:$D$1315, $A26)+SUMIFS(DataRegularSeason20242025!$AB$3:$AB$1315,DataRegularSeason20242025!$B$3:$B$1315, "&lt;=" &amp; GT$1, DataRegularSeason20242025!$E$3:$E$1315, $A26)</f>
        <v>65</v>
      </c>
      <c r="GU26">
        <f>SUMIFS(DataRegularSeason20242025!$AA$3:$AA$1315,DataRegularSeason20242025!$B$3:$B$1315, "&lt;=" &amp; GU$1, DataRegularSeason20242025!$D$3:$D$1315, $A26)+SUMIFS(DataRegularSeason20242025!$AB$3:$AB$1315,DataRegularSeason20242025!$B$3:$B$1315, "&lt;=" &amp; GU$1, DataRegularSeason20242025!$E$3:$E$1315, $A26)</f>
        <v>65</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64</v>
      </c>
      <c r="DP27">
        <f>SUMIFS(DataRegularSeason20242025!$AA$3:$AA$1315,DataRegularSeason20242025!$B$3:$B$1315, "&lt;=" &amp; DP$1, DataRegularSeason20242025!$D$3:$D$1315, $A27)+SUMIFS(DataRegularSeason20242025!$AB$3:$AB$1315,DataRegularSeason20242025!$B$3:$B$1315, "&lt;=" &amp; DP$1, DataRegularSeason20242025!$E$3:$E$1315, $A27)</f>
        <v>64</v>
      </c>
      <c r="DQ27">
        <f>SUMIFS(DataRegularSeason20242025!$AA$3:$AA$1315,DataRegularSeason20242025!$B$3:$B$1315, "&lt;=" &amp; DQ$1, DataRegularSeason20242025!$D$3:$D$1315, $A27)+SUMIFS(DataRegularSeason20242025!$AB$3:$AB$1315,DataRegularSeason20242025!$B$3:$B$1315, "&lt;=" &amp; DQ$1, DataRegularSeason20242025!$E$3:$E$1315, $A27)</f>
        <v>64</v>
      </c>
      <c r="DR27">
        <f>SUMIFS(DataRegularSeason20242025!$AA$3:$AA$1315,DataRegularSeason20242025!$B$3:$B$1315, "&lt;=" &amp; DR$1, DataRegularSeason20242025!$D$3:$D$1315, $A27)+SUMIFS(DataRegularSeason20242025!$AB$3:$AB$1315,DataRegularSeason20242025!$B$3:$B$1315, "&lt;=" &amp; DR$1, DataRegularSeason20242025!$E$3:$E$1315, $A27)</f>
        <v>64</v>
      </c>
      <c r="DS27">
        <f>SUMIFS(DataRegularSeason20242025!$AA$3:$AA$1315,DataRegularSeason20242025!$B$3:$B$1315, "&lt;=" &amp; DS$1, DataRegularSeason20242025!$D$3:$D$1315, $A27)+SUMIFS(DataRegularSeason20242025!$AB$3:$AB$1315,DataRegularSeason20242025!$B$3:$B$1315, "&lt;=" &amp; DS$1, DataRegularSeason20242025!$E$3:$E$1315, $A27)</f>
        <v>64</v>
      </c>
      <c r="DT27">
        <f>SUMIFS(DataRegularSeason20242025!$AA$3:$AA$1315,DataRegularSeason20242025!$B$3:$B$1315, "&lt;=" &amp; DT$1, DataRegularSeason20242025!$D$3:$D$1315, $A27)+SUMIFS(DataRegularSeason20242025!$AB$3:$AB$1315,DataRegularSeason20242025!$B$3:$B$1315, "&lt;=" &amp; DT$1, DataRegularSeason20242025!$E$3:$E$1315, $A27)</f>
        <v>64</v>
      </c>
      <c r="DU27">
        <f>SUMIFS(DataRegularSeason20242025!$AA$3:$AA$1315,DataRegularSeason20242025!$B$3:$B$1315, "&lt;=" &amp; DU$1, DataRegularSeason20242025!$D$3:$D$1315, $A27)+SUMIFS(DataRegularSeason20242025!$AB$3:$AB$1315,DataRegularSeason20242025!$B$3:$B$1315, "&lt;=" &amp; DU$1, DataRegularSeason20242025!$E$3:$E$1315, $A27)</f>
        <v>64</v>
      </c>
      <c r="DV27">
        <f>SUMIFS(DataRegularSeason20242025!$AA$3:$AA$1315,DataRegularSeason20242025!$B$3:$B$1315, "&lt;=" &amp; DV$1, DataRegularSeason20242025!$D$3:$D$1315, $A27)+SUMIFS(DataRegularSeason20242025!$AB$3:$AB$1315,DataRegularSeason20242025!$B$3:$B$1315, "&lt;=" &amp; DV$1, DataRegularSeason20242025!$E$3:$E$1315, $A27)</f>
        <v>64</v>
      </c>
      <c r="DW27">
        <f>SUMIFS(DataRegularSeason20242025!$AA$3:$AA$1315,DataRegularSeason20242025!$B$3:$B$1315, "&lt;=" &amp; DW$1, DataRegularSeason20242025!$D$3:$D$1315, $A27)+SUMIFS(DataRegularSeason20242025!$AB$3:$AB$1315,DataRegularSeason20242025!$B$3:$B$1315, "&lt;=" &amp; DW$1, DataRegularSeason20242025!$E$3:$E$1315, $A27)</f>
        <v>64</v>
      </c>
      <c r="DX27">
        <f>SUMIFS(DataRegularSeason20242025!$AA$3:$AA$1315,DataRegularSeason20242025!$B$3:$B$1315, "&lt;=" &amp; DX$1, DataRegularSeason20242025!$D$3:$D$1315, $A27)+SUMIFS(DataRegularSeason20242025!$AB$3:$AB$1315,DataRegularSeason20242025!$B$3:$B$1315, "&lt;=" &amp; DX$1, DataRegularSeason20242025!$E$3:$E$1315, $A27)</f>
        <v>64</v>
      </c>
      <c r="DY27">
        <f>SUMIFS(DataRegularSeason20242025!$AA$3:$AA$1315,DataRegularSeason20242025!$B$3:$B$1315, "&lt;=" &amp; DY$1, DataRegularSeason20242025!$D$3:$D$1315, $A27)+SUMIFS(DataRegularSeason20242025!$AB$3:$AB$1315,DataRegularSeason20242025!$B$3:$B$1315, "&lt;=" &amp; DY$1, DataRegularSeason20242025!$E$3:$E$1315, $A27)</f>
        <v>64</v>
      </c>
      <c r="DZ27">
        <f>SUMIFS(DataRegularSeason20242025!$AA$3:$AA$1315,DataRegularSeason20242025!$B$3:$B$1315, "&lt;=" &amp; DZ$1, DataRegularSeason20242025!$D$3:$D$1315, $A27)+SUMIFS(DataRegularSeason20242025!$AB$3:$AB$1315,DataRegularSeason20242025!$B$3:$B$1315, "&lt;=" &amp; DZ$1, DataRegularSeason20242025!$E$3:$E$1315, $A27)</f>
        <v>64</v>
      </c>
      <c r="EA27">
        <f>SUMIFS(DataRegularSeason20242025!$AA$3:$AA$1315,DataRegularSeason20242025!$B$3:$B$1315, "&lt;=" &amp; EA$1, DataRegularSeason20242025!$D$3:$D$1315, $A27)+SUMIFS(DataRegularSeason20242025!$AB$3:$AB$1315,DataRegularSeason20242025!$B$3:$B$1315, "&lt;=" &amp; EA$1, DataRegularSeason20242025!$E$3:$E$1315, $A27)</f>
        <v>64</v>
      </c>
      <c r="EB27">
        <f>SUMIFS(DataRegularSeason20242025!$AA$3:$AA$1315,DataRegularSeason20242025!$B$3:$B$1315, "&lt;=" &amp; EB$1, DataRegularSeason20242025!$D$3:$D$1315, $A27)+SUMIFS(DataRegularSeason20242025!$AB$3:$AB$1315,DataRegularSeason20242025!$B$3:$B$1315, "&lt;=" &amp; EB$1, DataRegularSeason20242025!$E$3:$E$1315, $A27)</f>
        <v>64</v>
      </c>
      <c r="EC27">
        <f>SUMIFS(DataRegularSeason20242025!$AA$3:$AA$1315,DataRegularSeason20242025!$B$3:$B$1315, "&lt;=" &amp; EC$1, DataRegularSeason20242025!$D$3:$D$1315, $A27)+SUMIFS(DataRegularSeason20242025!$AB$3:$AB$1315,DataRegularSeason20242025!$B$3:$B$1315, "&lt;=" &amp; EC$1, DataRegularSeason20242025!$E$3:$E$1315, $A27)</f>
        <v>64</v>
      </c>
      <c r="ED27">
        <f>SUMIFS(DataRegularSeason20242025!$AA$3:$AA$1315,DataRegularSeason20242025!$B$3:$B$1315, "&lt;=" &amp; ED$1, DataRegularSeason20242025!$D$3:$D$1315, $A27)+SUMIFS(DataRegularSeason20242025!$AB$3:$AB$1315,DataRegularSeason20242025!$B$3:$B$1315, "&lt;=" &amp; ED$1, DataRegularSeason20242025!$E$3:$E$1315, $A27)</f>
        <v>64</v>
      </c>
      <c r="EE27">
        <f>SUMIFS(DataRegularSeason20242025!$AA$3:$AA$1315,DataRegularSeason20242025!$B$3:$B$1315, "&lt;=" &amp; EE$1, DataRegularSeason20242025!$D$3:$D$1315, $A27)+SUMIFS(DataRegularSeason20242025!$AB$3:$AB$1315,DataRegularSeason20242025!$B$3:$B$1315, "&lt;=" &amp; EE$1, DataRegularSeason20242025!$E$3:$E$1315, $A27)</f>
        <v>64</v>
      </c>
      <c r="EF27">
        <f>SUMIFS(DataRegularSeason20242025!$AA$3:$AA$1315,DataRegularSeason20242025!$B$3:$B$1315, "&lt;=" &amp; EF$1, DataRegularSeason20242025!$D$3:$D$1315, $A27)+SUMIFS(DataRegularSeason20242025!$AB$3:$AB$1315,DataRegularSeason20242025!$B$3:$B$1315, "&lt;=" &amp; EF$1, DataRegularSeason20242025!$E$3:$E$1315, $A27)</f>
        <v>64</v>
      </c>
      <c r="EG27">
        <f>SUMIFS(DataRegularSeason20242025!$AA$3:$AA$1315,DataRegularSeason20242025!$B$3:$B$1315, "&lt;=" &amp; EG$1, DataRegularSeason20242025!$D$3:$D$1315, $A27)+SUMIFS(DataRegularSeason20242025!$AB$3:$AB$1315,DataRegularSeason20242025!$B$3:$B$1315, "&lt;=" &amp; EG$1, DataRegularSeason20242025!$E$3:$E$1315, $A27)</f>
        <v>64</v>
      </c>
      <c r="EH27">
        <f>SUMIFS(DataRegularSeason20242025!$AA$3:$AA$1315,DataRegularSeason20242025!$B$3:$B$1315, "&lt;=" &amp; EH$1, DataRegularSeason20242025!$D$3:$D$1315, $A27)+SUMIFS(DataRegularSeason20242025!$AB$3:$AB$1315,DataRegularSeason20242025!$B$3:$B$1315, "&lt;=" &amp; EH$1, DataRegularSeason20242025!$E$3:$E$1315, $A27)</f>
        <v>64</v>
      </c>
      <c r="EI27">
        <f>SUMIFS(DataRegularSeason20242025!$AA$3:$AA$1315,DataRegularSeason20242025!$B$3:$B$1315, "&lt;=" &amp; EI$1, DataRegularSeason20242025!$D$3:$D$1315, $A27)+SUMIFS(DataRegularSeason20242025!$AB$3:$AB$1315,DataRegularSeason20242025!$B$3:$B$1315, "&lt;=" &amp; EI$1, DataRegularSeason20242025!$E$3:$E$1315, $A27)</f>
        <v>64</v>
      </c>
      <c r="EJ27">
        <f>SUMIFS(DataRegularSeason20242025!$AA$3:$AA$1315,DataRegularSeason20242025!$B$3:$B$1315, "&lt;=" &amp; EJ$1, DataRegularSeason20242025!$D$3:$D$1315, $A27)+SUMIFS(DataRegularSeason20242025!$AB$3:$AB$1315,DataRegularSeason20242025!$B$3:$B$1315, "&lt;=" &amp; EJ$1, DataRegularSeason20242025!$E$3:$E$1315, $A27)</f>
        <v>64</v>
      </c>
      <c r="EK27">
        <f>SUMIFS(DataRegularSeason20242025!$AA$3:$AA$1315,DataRegularSeason20242025!$B$3:$B$1315, "&lt;=" &amp; EK$1, DataRegularSeason20242025!$D$3:$D$1315, $A27)+SUMIFS(DataRegularSeason20242025!$AB$3:$AB$1315,DataRegularSeason20242025!$B$3:$B$1315, "&lt;=" &amp; EK$1, DataRegularSeason20242025!$E$3:$E$1315, $A27)</f>
        <v>64</v>
      </c>
      <c r="EL27">
        <f>SUMIFS(DataRegularSeason20242025!$AA$3:$AA$1315,DataRegularSeason20242025!$B$3:$B$1315, "&lt;=" &amp; EL$1, DataRegularSeason20242025!$D$3:$D$1315, $A27)+SUMIFS(DataRegularSeason20242025!$AB$3:$AB$1315,DataRegularSeason20242025!$B$3:$B$1315, "&lt;=" &amp; EL$1, DataRegularSeason20242025!$E$3:$E$1315, $A27)</f>
        <v>64</v>
      </c>
      <c r="EM27">
        <f>SUMIFS(DataRegularSeason20242025!$AA$3:$AA$1315,DataRegularSeason20242025!$B$3:$B$1315, "&lt;=" &amp; EM$1, DataRegularSeason20242025!$D$3:$D$1315, $A27)+SUMIFS(DataRegularSeason20242025!$AB$3:$AB$1315,DataRegularSeason20242025!$B$3:$B$1315, "&lt;=" &amp; EM$1, DataRegularSeason20242025!$E$3:$E$1315, $A27)</f>
        <v>64</v>
      </c>
      <c r="EN27">
        <f>SUMIFS(DataRegularSeason20242025!$AA$3:$AA$1315,DataRegularSeason20242025!$B$3:$B$1315, "&lt;=" &amp; EN$1, DataRegularSeason20242025!$D$3:$D$1315, $A27)+SUMIFS(DataRegularSeason20242025!$AB$3:$AB$1315,DataRegularSeason20242025!$B$3:$B$1315, "&lt;=" &amp; EN$1, DataRegularSeason20242025!$E$3:$E$1315, $A27)</f>
        <v>64</v>
      </c>
      <c r="EO27">
        <f>SUMIFS(DataRegularSeason20242025!$AA$3:$AA$1315,DataRegularSeason20242025!$B$3:$B$1315, "&lt;=" &amp; EO$1, DataRegularSeason20242025!$D$3:$D$1315, $A27)+SUMIFS(DataRegularSeason20242025!$AB$3:$AB$1315,DataRegularSeason20242025!$B$3:$B$1315, "&lt;=" &amp; EO$1, DataRegularSeason20242025!$E$3:$E$1315, $A27)</f>
        <v>64</v>
      </c>
      <c r="EP27">
        <f>SUMIFS(DataRegularSeason20242025!$AA$3:$AA$1315,DataRegularSeason20242025!$B$3:$B$1315, "&lt;=" &amp; EP$1, DataRegularSeason20242025!$D$3:$D$1315, $A27)+SUMIFS(DataRegularSeason20242025!$AB$3:$AB$1315,DataRegularSeason20242025!$B$3:$B$1315, "&lt;=" &amp; EP$1, DataRegularSeason20242025!$E$3:$E$1315, $A27)</f>
        <v>64</v>
      </c>
      <c r="EQ27">
        <f>SUMIFS(DataRegularSeason20242025!$AA$3:$AA$1315,DataRegularSeason20242025!$B$3:$B$1315, "&lt;=" &amp; EQ$1, DataRegularSeason20242025!$D$3:$D$1315, $A27)+SUMIFS(DataRegularSeason20242025!$AB$3:$AB$1315,DataRegularSeason20242025!$B$3:$B$1315, "&lt;=" &amp; EQ$1, DataRegularSeason20242025!$E$3:$E$1315, $A27)</f>
        <v>64</v>
      </c>
      <c r="ER27">
        <f>SUMIFS(DataRegularSeason20242025!$AA$3:$AA$1315,DataRegularSeason20242025!$B$3:$B$1315, "&lt;=" &amp; ER$1, DataRegularSeason20242025!$D$3:$D$1315, $A27)+SUMIFS(DataRegularSeason20242025!$AB$3:$AB$1315,DataRegularSeason20242025!$B$3:$B$1315, "&lt;=" &amp; ER$1, DataRegularSeason20242025!$E$3:$E$1315, $A27)</f>
        <v>64</v>
      </c>
      <c r="ES27">
        <f>SUMIFS(DataRegularSeason20242025!$AA$3:$AA$1315,DataRegularSeason20242025!$B$3:$B$1315, "&lt;=" &amp; ES$1, DataRegularSeason20242025!$D$3:$D$1315, $A27)+SUMIFS(DataRegularSeason20242025!$AB$3:$AB$1315,DataRegularSeason20242025!$B$3:$B$1315, "&lt;=" &amp; ES$1, DataRegularSeason20242025!$E$3:$E$1315, $A27)</f>
        <v>64</v>
      </c>
      <c r="ET27">
        <f>SUMIFS(DataRegularSeason20242025!$AA$3:$AA$1315,DataRegularSeason20242025!$B$3:$B$1315, "&lt;=" &amp; ET$1, DataRegularSeason20242025!$D$3:$D$1315, $A27)+SUMIFS(DataRegularSeason20242025!$AB$3:$AB$1315,DataRegularSeason20242025!$B$3:$B$1315, "&lt;=" &amp; ET$1, DataRegularSeason20242025!$E$3:$E$1315, $A27)</f>
        <v>64</v>
      </c>
      <c r="EU27">
        <f>SUMIFS(DataRegularSeason20242025!$AA$3:$AA$1315,DataRegularSeason20242025!$B$3:$B$1315, "&lt;=" &amp; EU$1, DataRegularSeason20242025!$D$3:$D$1315, $A27)+SUMIFS(DataRegularSeason20242025!$AB$3:$AB$1315,DataRegularSeason20242025!$B$3:$B$1315, "&lt;=" &amp; EU$1, DataRegularSeason20242025!$E$3:$E$1315, $A27)</f>
        <v>64</v>
      </c>
      <c r="EV27">
        <f>SUMIFS(DataRegularSeason20242025!$AA$3:$AA$1315,DataRegularSeason20242025!$B$3:$B$1315, "&lt;=" &amp; EV$1, DataRegularSeason20242025!$D$3:$D$1315, $A27)+SUMIFS(DataRegularSeason20242025!$AB$3:$AB$1315,DataRegularSeason20242025!$B$3:$B$1315, "&lt;=" &amp; EV$1, DataRegularSeason20242025!$E$3:$E$1315, $A27)</f>
        <v>64</v>
      </c>
      <c r="EW27">
        <f>SUMIFS(DataRegularSeason20242025!$AA$3:$AA$1315,DataRegularSeason20242025!$B$3:$B$1315, "&lt;=" &amp; EW$1, DataRegularSeason20242025!$D$3:$D$1315, $A27)+SUMIFS(DataRegularSeason20242025!$AB$3:$AB$1315,DataRegularSeason20242025!$B$3:$B$1315, "&lt;=" &amp; EW$1, DataRegularSeason20242025!$E$3:$E$1315, $A27)</f>
        <v>64</v>
      </c>
      <c r="EX27">
        <f>SUMIFS(DataRegularSeason20242025!$AA$3:$AA$1315,DataRegularSeason20242025!$B$3:$B$1315, "&lt;=" &amp; EX$1, DataRegularSeason20242025!$D$3:$D$1315, $A27)+SUMIFS(DataRegularSeason20242025!$AB$3:$AB$1315,DataRegularSeason20242025!$B$3:$B$1315, "&lt;=" &amp; EX$1, DataRegularSeason20242025!$E$3:$E$1315, $A27)</f>
        <v>64</v>
      </c>
      <c r="EY27">
        <f>SUMIFS(DataRegularSeason20242025!$AA$3:$AA$1315,DataRegularSeason20242025!$B$3:$B$1315, "&lt;=" &amp; EY$1, DataRegularSeason20242025!$D$3:$D$1315, $A27)+SUMIFS(DataRegularSeason20242025!$AB$3:$AB$1315,DataRegularSeason20242025!$B$3:$B$1315, "&lt;=" &amp; EY$1, DataRegularSeason20242025!$E$3:$E$1315, $A27)</f>
        <v>64</v>
      </c>
      <c r="EZ27">
        <f>SUMIFS(DataRegularSeason20242025!$AA$3:$AA$1315,DataRegularSeason20242025!$B$3:$B$1315, "&lt;=" &amp; EZ$1, DataRegularSeason20242025!$D$3:$D$1315, $A27)+SUMIFS(DataRegularSeason20242025!$AB$3:$AB$1315,DataRegularSeason20242025!$B$3:$B$1315, "&lt;=" &amp; EZ$1, DataRegularSeason20242025!$E$3:$E$1315, $A27)</f>
        <v>64</v>
      </c>
      <c r="FA27">
        <f>SUMIFS(DataRegularSeason20242025!$AA$3:$AA$1315,DataRegularSeason20242025!$B$3:$B$1315, "&lt;=" &amp; FA$1, DataRegularSeason20242025!$D$3:$D$1315, $A27)+SUMIFS(DataRegularSeason20242025!$AB$3:$AB$1315,DataRegularSeason20242025!$B$3:$B$1315, "&lt;=" &amp; FA$1, DataRegularSeason20242025!$E$3:$E$1315, $A27)</f>
        <v>64</v>
      </c>
      <c r="FB27">
        <f>SUMIFS(DataRegularSeason20242025!$AA$3:$AA$1315,DataRegularSeason20242025!$B$3:$B$1315, "&lt;=" &amp; FB$1, DataRegularSeason20242025!$D$3:$D$1315, $A27)+SUMIFS(DataRegularSeason20242025!$AB$3:$AB$1315,DataRegularSeason20242025!$B$3:$B$1315, "&lt;=" &amp; FB$1, DataRegularSeason20242025!$E$3:$E$1315, $A27)</f>
        <v>64</v>
      </c>
      <c r="FC27">
        <f>SUMIFS(DataRegularSeason20242025!$AA$3:$AA$1315,DataRegularSeason20242025!$B$3:$B$1315, "&lt;=" &amp; FC$1, DataRegularSeason20242025!$D$3:$D$1315, $A27)+SUMIFS(DataRegularSeason20242025!$AB$3:$AB$1315,DataRegularSeason20242025!$B$3:$B$1315, "&lt;=" &amp; FC$1, DataRegularSeason20242025!$E$3:$E$1315, $A27)</f>
        <v>64</v>
      </c>
      <c r="FD27">
        <f>SUMIFS(DataRegularSeason20242025!$AA$3:$AA$1315,DataRegularSeason20242025!$B$3:$B$1315, "&lt;=" &amp; FD$1, DataRegularSeason20242025!$D$3:$D$1315, $A27)+SUMIFS(DataRegularSeason20242025!$AB$3:$AB$1315,DataRegularSeason20242025!$B$3:$B$1315, "&lt;=" &amp; FD$1, DataRegularSeason20242025!$E$3:$E$1315, $A27)</f>
        <v>64</v>
      </c>
      <c r="FE27">
        <f>SUMIFS(DataRegularSeason20242025!$AA$3:$AA$1315,DataRegularSeason20242025!$B$3:$B$1315, "&lt;=" &amp; FE$1, DataRegularSeason20242025!$D$3:$D$1315, $A27)+SUMIFS(DataRegularSeason20242025!$AB$3:$AB$1315,DataRegularSeason20242025!$B$3:$B$1315, "&lt;=" &amp; FE$1, DataRegularSeason20242025!$E$3:$E$1315, $A27)</f>
        <v>64</v>
      </c>
      <c r="FF27">
        <f>SUMIFS(DataRegularSeason20242025!$AA$3:$AA$1315,DataRegularSeason20242025!$B$3:$B$1315, "&lt;=" &amp; FF$1, DataRegularSeason20242025!$D$3:$D$1315, $A27)+SUMIFS(DataRegularSeason20242025!$AB$3:$AB$1315,DataRegularSeason20242025!$B$3:$B$1315, "&lt;=" &amp; FF$1, DataRegularSeason20242025!$E$3:$E$1315, $A27)</f>
        <v>64</v>
      </c>
      <c r="FG27">
        <f>SUMIFS(DataRegularSeason20242025!$AA$3:$AA$1315,DataRegularSeason20242025!$B$3:$B$1315, "&lt;=" &amp; FG$1, DataRegularSeason20242025!$D$3:$D$1315, $A27)+SUMIFS(DataRegularSeason20242025!$AB$3:$AB$1315,DataRegularSeason20242025!$B$3:$B$1315, "&lt;=" &amp; FG$1, DataRegularSeason20242025!$E$3:$E$1315, $A27)</f>
        <v>64</v>
      </c>
      <c r="FH27">
        <f>SUMIFS(DataRegularSeason20242025!$AA$3:$AA$1315,DataRegularSeason20242025!$B$3:$B$1315, "&lt;=" &amp; FH$1, DataRegularSeason20242025!$D$3:$D$1315, $A27)+SUMIFS(DataRegularSeason20242025!$AB$3:$AB$1315,DataRegularSeason20242025!$B$3:$B$1315, "&lt;=" &amp; FH$1, DataRegularSeason20242025!$E$3:$E$1315, $A27)</f>
        <v>64</v>
      </c>
      <c r="FI27">
        <f>SUMIFS(DataRegularSeason20242025!$AA$3:$AA$1315,DataRegularSeason20242025!$B$3:$B$1315, "&lt;=" &amp; FI$1, DataRegularSeason20242025!$D$3:$D$1315, $A27)+SUMIFS(DataRegularSeason20242025!$AB$3:$AB$1315,DataRegularSeason20242025!$B$3:$B$1315, "&lt;=" &amp; FI$1, DataRegularSeason20242025!$E$3:$E$1315, $A27)</f>
        <v>64</v>
      </c>
      <c r="FJ27">
        <f>SUMIFS(DataRegularSeason20242025!$AA$3:$AA$1315,DataRegularSeason20242025!$B$3:$B$1315, "&lt;=" &amp; FJ$1, DataRegularSeason20242025!$D$3:$D$1315, $A27)+SUMIFS(DataRegularSeason20242025!$AB$3:$AB$1315,DataRegularSeason20242025!$B$3:$B$1315, "&lt;=" &amp; FJ$1, DataRegularSeason20242025!$E$3:$E$1315, $A27)</f>
        <v>64</v>
      </c>
      <c r="FK27">
        <f>SUMIFS(DataRegularSeason20242025!$AA$3:$AA$1315,DataRegularSeason20242025!$B$3:$B$1315, "&lt;=" &amp; FK$1, DataRegularSeason20242025!$D$3:$D$1315, $A27)+SUMIFS(DataRegularSeason20242025!$AB$3:$AB$1315,DataRegularSeason20242025!$B$3:$B$1315, "&lt;=" &amp; FK$1, DataRegularSeason20242025!$E$3:$E$1315, $A27)</f>
        <v>64</v>
      </c>
      <c r="FL27">
        <f>SUMIFS(DataRegularSeason20242025!$AA$3:$AA$1315,DataRegularSeason20242025!$B$3:$B$1315, "&lt;=" &amp; FL$1, DataRegularSeason20242025!$D$3:$D$1315, $A27)+SUMIFS(DataRegularSeason20242025!$AB$3:$AB$1315,DataRegularSeason20242025!$B$3:$B$1315, "&lt;=" &amp; FL$1, DataRegularSeason20242025!$E$3:$E$1315, $A27)</f>
        <v>64</v>
      </c>
      <c r="FM27">
        <f>SUMIFS(DataRegularSeason20242025!$AA$3:$AA$1315,DataRegularSeason20242025!$B$3:$B$1315, "&lt;=" &amp; FM$1, DataRegularSeason20242025!$D$3:$D$1315, $A27)+SUMIFS(DataRegularSeason20242025!$AB$3:$AB$1315,DataRegularSeason20242025!$B$3:$B$1315, "&lt;=" &amp; FM$1, DataRegularSeason20242025!$E$3:$E$1315, $A27)</f>
        <v>64</v>
      </c>
      <c r="FN27">
        <f>SUMIFS(DataRegularSeason20242025!$AA$3:$AA$1315,DataRegularSeason20242025!$B$3:$B$1315, "&lt;=" &amp; FN$1, DataRegularSeason20242025!$D$3:$D$1315, $A27)+SUMIFS(DataRegularSeason20242025!$AB$3:$AB$1315,DataRegularSeason20242025!$B$3:$B$1315, "&lt;=" &amp; FN$1, DataRegularSeason20242025!$E$3:$E$1315, $A27)</f>
        <v>64</v>
      </c>
      <c r="FO27">
        <f>SUMIFS(DataRegularSeason20242025!$AA$3:$AA$1315,DataRegularSeason20242025!$B$3:$B$1315, "&lt;=" &amp; FO$1, DataRegularSeason20242025!$D$3:$D$1315, $A27)+SUMIFS(DataRegularSeason20242025!$AB$3:$AB$1315,DataRegularSeason20242025!$B$3:$B$1315, "&lt;=" &amp; FO$1, DataRegularSeason20242025!$E$3:$E$1315, $A27)</f>
        <v>64</v>
      </c>
      <c r="FP27">
        <f>SUMIFS(DataRegularSeason20242025!$AA$3:$AA$1315,DataRegularSeason20242025!$B$3:$B$1315, "&lt;=" &amp; FP$1, DataRegularSeason20242025!$D$3:$D$1315, $A27)+SUMIFS(DataRegularSeason20242025!$AB$3:$AB$1315,DataRegularSeason20242025!$B$3:$B$1315, "&lt;=" &amp; FP$1, DataRegularSeason20242025!$E$3:$E$1315, $A27)</f>
        <v>64</v>
      </c>
      <c r="FQ27">
        <f>SUMIFS(DataRegularSeason20242025!$AA$3:$AA$1315,DataRegularSeason20242025!$B$3:$B$1315, "&lt;=" &amp; FQ$1, DataRegularSeason20242025!$D$3:$D$1315, $A27)+SUMIFS(DataRegularSeason20242025!$AB$3:$AB$1315,DataRegularSeason20242025!$B$3:$B$1315, "&lt;=" &amp; FQ$1, DataRegularSeason20242025!$E$3:$E$1315, $A27)</f>
        <v>64</v>
      </c>
      <c r="FR27">
        <f>SUMIFS(DataRegularSeason20242025!$AA$3:$AA$1315,DataRegularSeason20242025!$B$3:$B$1315, "&lt;=" &amp; FR$1, DataRegularSeason20242025!$D$3:$D$1315, $A27)+SUMIFS(DataRegularSeason20242025!$AB$3:$AB$1315,DataRegularSeason20242025!$B$3:$B$1315, "&lt;=" &amp; FR$1, DataRegularSeason20242025!$E$3:$E$1315, $A27)</f>
        <v>64</v>
      </c>
      <c r="FS27">
        <f>SUMIFS(DataRegularSeason20242025!$AA$3:$AA$1315,DataRegularSeason20242025!$B$3:$B$1315, "&lt;=" &amp; FS$1, DataRegularSeason20242025!$D$3:$D$1315, $A27)+SUMIFS(DataRegularSeason20242025!$AB$3:$AB$1315,DataRegularSeason20242025!$B$3:$B$1315, "&lt;=" &amp; FS$1, DataRegularSeason20242025!$E$3:$E$1315, $A27)</f>
        <v>64</v>
      </c>
      <c r="FT27">
        <f>SUMIFS(DataRegularSeason20242025!$AA$3:$AA$1315,DataRegularSeason20242025!$B$3:$B$1315, "&lt;=" &amp; FT$1, DataRegularSeason20242025!$D$3:$D$1315, $A27)+SUMIFS(DataRegularSeason20242025!$AB$3:$AB$1315,DataRegularSeason20242025!$B$3:$B$1315, "&lt;=" &amp; FT$1, DataRegularSeason20242025!$E$3:$E$1315, $A27)</f>
        <v>64</v>
      </c>
      <c r="FU27">
        <f>SUMIFS(DataRegularSeason20242025!$AA$3:$AA$1315,DataRegularSeason20242025!$B$3:$B$1315, "&lt;=" &amp; FU$1, DataRegularSeason20242025!$D$3:$D$1315, $A27)+SUMIFS(DataRegularSeason20242025!$AB$3:$AB$1315,DataRegularSeason20242025!$B$3:$B$1315, "&lt;=" &amp; FU$1, DataRegularSeason20242025!$E$3:$E$1315, $A27)</f>
        <v>64</v>
      </c>
      <c r="FV27">
        <f>SUMIFS(DataRegularSeason20242025!$AA$3:$AA$1315,DataRegularSeason20242025!$B$3:$B$1315, "&lt;=" &amp; FV$1, DataRegularSeason20242025!$D$3:$D$1315, $A27)+SUMIFS(DataRegularSeason20242025!$AB$3:$AB$1315,DataRegularSeason20242025!$B$3:$B$1315, "&lt;=" &amp; FV$1, DataRegularSeason20242025!$E$3:$E$1315, $A27)</f>
        <v>64</v>
      </c>
      <c r="FW27">
        <f>SUMIFS(DataRegularSeason20242025!$AA$3:$AA$1315,DataRegularSeason20242025!$B$3:$B$1315, "&lt;=" &amp; FW$1, DataRegularSeason20242025!$D$3:$D$1315, $A27)+SUMIFS(DataRegularSeason20242025!$AB$3:$AB$1315,DataRegularSeason20242025!$B$3:$B$1315, "&lt;=" &amp; FW$1, DataRegularSeason20242025!$E$3:$E$1315, $A27)</f>
        <v>64</v>
      </c>
      <c r="FX27">
        <f>SUMIFS(DataRegularSeason20242025!$AA$3:$AA$1315,DataRegularSeason20242025!$B$3:$B$1315, "&lt;=" &amp; FX$1, DataRegularSeason20242025!$D$3:$D$1315, $A27)+SUMIFS(DataRegularSeason20242025!$AB$3:$AB$1315,DataRegularSeason20242025!$B$3:$B$1315, "&lt;=" &amp; FX$1, DataRegularSeason20242025!$E$3:$E$1315, $A27)</f>
        <v>64</v>
      </c>
      <c r="FY27">
        <f>SUMIFS(DataRegularSeason20242025!$AA$3:$AA$1315,DataRegularSeason20242025!$B$3:$B$1315, "&lt;=" &amp; FY$1, DataRegularSeason20242025!$D$3:$D$1315, $A27)+SUMIFS(DataRegularSeason20242025!$AB$3:$AB$1315,DataRegularSeason20242025!$B$3:$B$1315, "&lt;=" &amp; FY$1, DataRegularSeason20242025!$E$3:$E$1315, $A27)</f>
        <v>64</v>
      </c>
      <c r="FZ27">
        <f>SUMIFS(DataRegularSeason20242025!$AA$3:$AA$1315,DataRegularSeason20242025!$B$3:$B$1315, "&lt;=" &amp; FZ$1, DataRegularSeason20242025!$D$3:$D$1315, $A27)+SUMIFS(DataRegularSeason20242025!$AB$3:$AB$1315,DataRegularSeason20242025!$B$3:$B$1315, "&lt;=" &amp; FZ$1, DataRegularSeason20242025!$E$3:$E$1315, $A27)</f>
        <v>64</v>
      </c>
      <c r="GA27">
        <f>SUMIFS(DataRegularSeason20242025!$AA$3:$AA$1315,DataRegularSeason20242025!$B$3:$B$1315, "&lt;=" &amp; GA$1, DataRegularSeason20242025!$D$3:$D$1315, $A27)+SUMIFS(DataRegularSeason20242025!$AB$3:$AB$1315,DataRegularSeason20242025!$B$3:$B$1315, "&lt;=" &amp; GA$1, DataRegularSeason20242025!$E$3:$E$1315, $A27)</f>
        <v>64</v>
      </c>
      <c r="GB27">
        <f>SUMIFS(DataRegularSeason20242025!$AA$3:$AA$1315,DataRegularSeason20242025!$B$3:$B$1315, "&lt;=" &amp; GB$1, DataRegularSeason20242025!$D$3:$D$1315, $A27)+SUMIFS(DataRegularSeason20242025!$AB$3:$AB$1315,DataRegularSeason20242025!$B$3:$B$1315, "&lt;=" &amp; GB$1, DataRegularSeason20242025!$E$3:$E$1315, $A27)</f>
        <v>64</v>
      </c>
      <c r="GC27">
        <f>SUMIFS(DataRegularSeason20242025!$AA$3:$AA$1315,DataRegularSeason20242025!$B$3:$B$1315, "&lt;=" &amp; GC$1, DataRegularSeason20242025!$D$3:$D$1315, $A27)+SUMIFS(DataRegularSeason20242025!$AB$3:$AB$1315,DataRegularSeason20242025!$B$3:$B$1315, "&lt;=" &amp; GC$1, DataRegularSeason20242025!$E$3:$E$1315, $A27)</f>
        <v>64</v>
      </c>
      <c r="GD27">
        <f>SUMIFS(DataRegularSeason20242025!$AA$3:$AA$1315,DataRegularSeason20242025!$B$3:$B$1315, "&lt;=" &amp; GD$1, DataRegularSeason20242025!$D$3:$D$1315, $A27)+SUMIFS(DataRegularSeason20242025!$AB$3:$AB$1315,DataRegularSeason20242025!$B$3:$B$1315, "&lt;=" &amp; GD$1, DataRegularSeason20242025!$E$3:$E$1315, $A27)</f>
        <v>64</v>
      </c>
      <c r="GE27">
        <f>SUMIFS(DataRegularSeason20242025!$AA$3:$AA$1315,DataRegularSeason20242025!$B$3:$B$1315, "&lt;=" &amp; GE$1, DataRegularSeason20242025!$D$3:$D$1315, $A27)+SUMIFS(DataRegularSeason20242025!$AB$3:$AB$1315,DataRegularSeason20242025!$B$3:$B$1315, "&lt;=" &amp; GE$1, DataRegularSeason20242025!$E$3:$E$1315, $A27)</f>
        <v>64</v>
      </c>
      <c r="GF27">
        <f>SUMIFS(DataRegularSeason20242025!$AA$3:$AA$1315,DataRegularSeason20242025!$B$3:$B$1315, "&lt;=" &amp; GF$1, DataRegularSeason20242025!$D$3:$D$1315, $A27)+SUMIFS(DataRegularSeason20242025!$AB$3:$AB$1315,DataRegularSeason20242025!$B$3:$B$1315, "&lt;=" &amp; GF$1, DataRegularSeason20242025!$E$3:$E$1315, $A27)</f>
        <v>64</v>
      </c>
      <c r="GG27">
        <f>SUMIFS(DataRegularSeason20242025!$AA$3:$AA$1315,DataRegularSeason20242025!$B$3:$B$1315, "&lt;=" &amp; GG$1, DataRegularSeason20242025!$D$3:$D$1315, $A27)+SUMIFS(DataRegularSeason20242025!$AB$3:$AB$1315,DataRegularSeason20242025!$B$3:$B$1315, "&lt;=" &amp; GG$1, DataRegularSeason20242025!$E$3:$E$1315, $A27)</f>
        <v>64</v>
      </c>
      <c r="GH27">
        <f>SUMIFS(DataRegularSeason20242025!$AA$3:$AA$1315,DataRegularSeason20242025!$B$3:$B$1315, "&lt;=" &amp; GH$1, DataRegularSeason20242025!$D$3:$D$1315, $A27)+SUMIFS(DataRegularSeason20242025!$AB$3:$AB$1315,DataRegularSeason20242025!$B$3:$B$1315, "&lt;=" &amp; GH$1, DataRegularSeason20242025!$E$3:$E$1315, $A27)</f>
        <v>64</v>
      </c>
      <c r="GI27">
        <f>SUMIFS(DataRegularSeason20242025!$AA$3:$AA$1315,DataRegularSeason20242025!$B$3:$B$1315, "&lt;=" &amp; GI$1, DataRegularSeason20242025!$D$3:$D$1315, $A27)+SUMIFS(DataRegularSeason20242025!$AB$3:$AB$1315,DataRegularSeason20242025!$B$3:$B$1315, "&lt;=" &amp; GI$1, DataRegularSeason20242025!$E$3:$E$1315, $A27)</f>
        <v>64</v>
      </c>
      <c r="GJ27">
        <f>SUMIFS(DataRegularSeason20242025!$AA$3:$AA$1315,DataRegularSeason20242025!$B$3:$B$1315, "&lt;=" &amp; GJ$1, DataRegularSeason20242025!$D$3:$D$1315, $A27)+SUMIFS(DataRegularSeason20242025!$AB$3:$AB$1315,DataRegularSeason20242025!$B$3:$B$1315, "&lt;=" &amp; GJ$1, DataRegularSeason20242025!$E$3:$E$1315, $A27)</f>
        <v>64</v>
      </c>
      <c r="GK27">
        <f>SUMIFS(DataRegularSeason20242025!$AA$3:$AA$1315,DataRegularSeason20242025!$B$3:$B$1315, "&lt;=" &amp; GK$1, DataRegularSeason20242025!$D$3:$D$1315, $A27)+SUMIFS(DataRegularSeason20242025!$AB$3:$AB$1315,DataRegularSeason20242025!$B$3:$B$1315, "&lt;=" &amp; GK$1, DataRegularSeason20242025!$E$3:$E$1315, $A27)</f>
        <v>64</v>
      </c>
      <c r="GL27">
        <f>SUMIFS(DataRegularSeason20242025!$AA$3:$AA$1315,DataRegularSeason20242025!$B$3:$B$1315, "&lt;=" &amp; GL$1, DataRegularSeason20242025!$D$3:$D$1315, $A27)+SUMIFS(DataRegularSeason20242025!$AB$3:$AB$1315,DataRegularSeason20242025!$B$3:$B$1315, "&lt;=" &amp; GL$1, DataRegularSeason20242025!$E$3:$E$1315, $A27)</f>
        <v>64</v>
      </c>
      <c r="GM27">
        <f>SUMIFS(DataRegularSeason20242025!$AA$3:$AA$1315,DataRegularSeason20242025!$B$3:$B$1315, "&lt;=" &amp; GM$1, DataRegularSeason20242025!$D$3:$D$1315, $A27)+SUMIFS(DataRegularSeason20242025!$AB$3:$AB$1315,DataRegularSeason20242025!$B$3:$B$1315, "&lt;=" &amp; GM$1, DataRegularSeason20242025!$E$3:$E$1315, $A27)</f>
        <v>64</v>
      </c>
      <c r="GN27">
        <f>SUMIFS(DataRegularSeason20242025!$AA$3:$AA$1315,DataRegularSeason20242025!$B$3:$B$1315, "&lt;=" &amp; GN$1, DataRegularSeason20242025!$D$3:$D$1315, $A27)+SUMIFS(DataRegularSeason20242025!$AB$3:$AB$1315,DataRegularSeason20242025!$B$3:$B$1315, "&lt;=" &amp; GN$1, DataRegularSeason20242025!$E$3:$E$1315, $A27)</f>
        <v>64</v>
      </c>
      <c r="GO27">
        <f>SUMIFS(DataRegularSeason20242025!$AA$3:$AA$1315,DataRegularSeason20242025!$B$3:$B$1315, "&lt;=" &amp; GO$1, DataRegularSeason20242025!$D$3:$D$1315, $A27)+SUMIFS(DataRegularSeason20242025!$AB$3:$AB$1315,DataRegularSeason20242025!$B$3:$B$1315, "&lt;=" &amp; GO$1, DataRegularSeason20242025!$E$3:$E$1315, $A27)</f>
        <v>64</v>
      </c>
      <c r="GP27">
        <f>SUMIFS(DataRegularSeason20242025!$AA$3:$AA$1315,DataRegularSeason20242025!$B$3:$B$1315, "&lt;=" &amp; GP$1, DataRegularSeason20242025!$D$3:$D$1315, $A27)+SUMIFS(DataRegularSeason20242025!$AB$3:$AB$1315,DataRegularSeason20242025!$B$3:$B$1315, "&lt;=" &amp; GP$1, DataRegularSeason20242025!$E$3:$E$1315, $A27)</f>
        <v>64</v>
      </c>
      <c r="GQ27">
        <f>SUMIFS(DataRegularSeason20242025!$AA$3:$AA$1315,DataRegularSeason20242025!$B$3:$B$1315, "&lt;=" &amp; GQ$1, DataRegularSeason20242025!$D$3:$D$1315, $A27)+SUMIFS(DataRegularSeason20242025!$AB$3:$AB$1315,DataRegularSeason20242025!$B$3:$B$1315, "&lt;=" &amp; GQ$1, DataRegularSeason20242025!$E$3:$E$1315, $A27)</f>
        <v>64</v>
      </c>
      <c r="GR27">
        <f>SUMIFS(DataRegularSeason20242025!$AA$3:$AA$1315,DataRegularSeason20242025!$B$3:$B$1315, "&lt;=" &amp; GR$1, DataRegularSeason20242025!$D$3:$D$1315, $A27)+SUMIFS(DataRegularSeason20242025!$AB$3:$AB$1315,DataRegularSeason20242025!$B$3:$B$1315, "&lt;=" &amp; GR$1, DataRegularSeason20242025!$E$3:$E$1315, $A27)</f>
        <v>64</v>
      </c>
      <c r="GS27">
        <f>SUMIFS(DataRegularSeason20242025!$AA$3:$AA$1315,DataRegularSeason20242025!$B$3:$B$1315, "&lt;=" &amp; GS$1, DataRegularSeason20242025!$D$3:$D$1315, $A27)+SUMIFS(DataRegularSeason20242025!$AB$3:$AB$1315,DataRegularSeason20242025!$B$3:$B$1315, "&lt;=" &amp; GS$1, DataRegularSeason20242025!$E$3:$E$1315, $A27)</f>
        <v>64</v>
      </c>
      <c r="GT27">
        <f>SUMIFS(DataRegularSeason20242025!$AA$3:$AA$1315,DataRegularSeason20242025!$B$3:$B$1315, "&lt;=" &amp; GT$1, DataRegularSeason20242025!$D$3:$D$1315, $A27)+SUMIFS(DataRegularSeason20242025!$AB$3:$AB$1315,DataRegularSeason20242025!$B$3:$B$1315, "&lt;=" &amp; GT$1, DataRegularSeason20242025!$E$3:$E$1315, $A27)</f>
        <v>64</v>
      </c>
      <c r="GU27">
        <f>SUMIFS(DataRegularSeason20242025!$AA$3:$AA$1315,DataRegularSeason20242025!$B$3:$B$1315, "&lt;=" &amp; GU$1, DataRegularSeason20242025!$D$3:$D$1315, $A27)+SUMIFS(DataRegularSeason20242025!$AB$3:$AB$1315,DataRegularSeason20242025!$B$3:$B$1315, "&lt;=" &amp; GU$1, DataRegularSeason20242025!$E$3:$E$1315, $A27)</f>
        <v>64</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52</v>
      </c>
      <c r="DQ30">
        <f>SUMIFS(DataRegularSeason20242025!$AA$3:$AA$1315,DataRegularSeason20242025!$B$3:$B$1315, "&lt;=" &amp; DQ$1, DataRegularSeason20242025!$D$3:$D$1315, $A30)+SUMIFS(DataRegularSeason20242025!$AB$3:$AB$1315,DataRegularSeason20242025!$B$3:$B$1315, "&lt;=" &amp; DQ$1, DataRegularSeason20242025!$E$3:$E$1315, $A30)</f>
        <v>52</v>
      </c>
      <c r="DR30">
        <f>SUMIFS(DataRegularSeason20242025!$AA$3:$AA$1315,DataRegularSeason20242025!$B$3:$B$1315, "&lt;=" &amp; DR$1, DataRegularSeason20242025!$D$3:$D$1315, $A30)+SUMIFS(DataRegularSeason20242025!$AB$3:$AB$1315,DataRegularSeason20242025!$B$3:$B$1315, "&lt;=" &amp; DR$1, DataRegularSeason20242025!$E$3:$E$1315, $A30)</f>
        <v>52</v>
      </c>
      <c r="DS30">
        <f>SUMIFS(DataRegularSeason20242025!$AA$3:$AA$1315,DataRegularSeason20242025!$B$3:$B$1315, "&lt;=" &amp; DS$1, DataRegularSeason20242025!$D$3:$D$1315, $A30)+SUMIFS(DataRegularSeason20242025!$AB$3:$AB$1315,DataRegularSeason20242025!$B$3:$B$1315, "&lt;=" &amp; DS$1, DataRegularSeason20242025!$E$3:$E$1315, $A30)</f>
        <v>52</v>
      </c>
      <c r="DT30">
        <f>SUMIFS(DataRegularSeason20242025!$AA$3:$AA$1315,DataRegularSeason20242025!$B$3:$B$1315, "&lt;=" &amp; DT$1, DataRegularSeason20242025!$D$3:$D$1315, $A30)+SUMIFS(DataRegularSeason20242025!$AB$3:$AB$1315,DataRegularSeason20242025!$B$3:$B$1315, "&lt;=" &amp; DT$1, DataRegularSeason20242025!$E$3:$E$1315, $A30)</f>
        <v>52</v>
      </c>
      <c r="DU30">
        <f>SUMIFS(DataRegularSeason20242025!$AA$3:$AA$1315,DataRegularSeason20242025!$B$3:$B$1315, "&lt;=" &amp; DU$1, DataRegularSeason20242025!$D$3:$D$1315, $A30)+SUMIFS(DataRegularSeason20242025!$AB$3:$AB$1315,DataRegularSeason20242025!$B$3:$B$1315, "&lt;=" &amp; DU$1, DataRegularSeason20242025!$E$3:$E$1315, $A30)</f>
        <v>52</v>
      </c>
      <c r="DV30">
        <f>SUMIFS(DataRegularSeason20242025!$AA$3:$AA$1315,DataRegularSeason20242025!$B$3:$B$1315, "&lt;=" &amp; DV$1, DataRegularSeason20242025!$D$3:$D$1315, $A30)+SUMIFS(DataRegularSeason20242025!$AB$3:$AB$1315,DataRegularSeason20242025!$B$3:$B$1315, "&lt;=" &amp; DV$1, DataRegularSeason20242025!$E$3:$E$1315, $A30)</f>
        <v>52</v>
      </c>
      <c r="DW30">
        <f>SUMIFS(DataRegularSeason20242025!$AA$3:$AA$1315,DataRegularSeason20242025!$B$3:$B$1315, "&lt;=" &amp; DW$1, DataRegularSeason20242025!$D$3:$D$1315, $A30)+SUMIFS(DataRegularSeason20242025!$AB$3:$AB$1315,DataRegularSeason20242025!$B$3:$B$1315, "&lt;=" &amp; DW$1, DataRegularSeason20242025!$E$3:$E$1315, $A30)</f>
        <v>52</v>
      </c>
      <c r="DX30">
        <f>SUMIFS(DataRegularSeason20242025!$AA$3:$AA$1315,DataRegularSeason20242025!$B$3:$B$1315, "&lt;=" &amp; DX$1, DataRegularSeason20242025!$D$3:$D$1315, $A30)+SUMIFS(DataRegularSeason20242025!$AB$3:$AB$1315,DataRegularSeason20242025!$B$3:$B$1315, "&lt;=" &amp; DX$1, DataRegularSeason20242025!$E$3:$E$1315, $A30)</f>
        <v>52</v>
      </c>
      <c r="DY30">
        <f>SUMIFS(DataRegularSeason20242025!$AA$3:$AA$1315,DataRegularSeason20242025!$B$3:$B$1315, "&lt;=" &amp; DY$1, DataRegularSeason20242025!$D$3:$D$1315, $A30)+SUMIFS(DataRegularSeason20242025!$AB$3:$AB$1315,DataRegularSeason20242025!$B$3:$B$1315, "&lt;=" &amp; DY$1, DataRegularSeason20242025!$E$3:$E$1315, $A30)</f>
        <v>52</v>
      </c>
      <c r="DZ30">
        <f>SUMIFS(DataRegularSeason20242025!$AA$3:$AA$1315,DataRegularSeason20242025!$B$3:$B$1315, "&lt;=" &amp; DZ$1, DataRegularSeason20242025!$D$3:$D$1315, $A30)+SUMIFS(DataRegularSeason20242025!$AB$3:$AB$1315,DataRegularSeason20242025!$B$3:$B$1315, "&lt;=" &amp; DZ$1, DataRegularSeason20242025!$E$3:$E$1315, $A30)</f>
        <v>52</v>
      </c>
      <c r="EA30">
        <f>SUMIFS(DataRegularSeason20242025!$AA$3:$AA$1315,DataRegularSeason20242025!$B$3:$B$1315, "&lt;=" &amp; EA$1, DataRegularSeason20242025!$D$3:$D$1315, $A30)+SUMIFS(DataRegularSeason20242025!$AB$3:$AB$1315,DataRegularSeason20242025!$B$3:$B$1315, "&lt;=" &amp; EA$1, DataRegularSeason20242025!$E$3:$E$1315, $A30)</f>
        <v>52</v>
      </c>
      <c r="EB30">
        <f>SUMIFS(DataRegularSeason20242025!$AA$3:$AA$1315,DataRegularSeason20242025!$B$3:$B$1315, "&lt;=" &amp; EB$1, DataRegularSeason20242025!$D$3:$D$1315, $A30)+SUMIFS(DataRegularSeason20242025!$AB$3:$AB$1315,DataRegularSeason20242025!$B$3:$B$1315, "&lt;=" &amp; EB$1, DataRegularSeason20242025!$E$3:$E$1315, $A30)</f>
        <v>52</v>
      </c>
      <c r="EC30">
        <f>SUMIFS(DataRegularSeason20242025!$AA$3:$AA$1315,DataRegularSeason20242025!$B$3:$B$1315, "&lt;=" &amp; EC$1, DataRegularSeason20242025!$D$3:$D$1315, $A30)+SUMIFS(DataRegularSeason20242025!$AB$3:$AB$1315,DataRegularSeason20242025!$B$3:$B$1315, "&lt;=" &amp; EC$1, DataRegularSeason20242025!$E$3:$E$1315, $A30)</f>
        <v>52</v>
      </c>
      <c r="ED30">
        <f>SUMIFS(DataRegularSeason20242025!$AA$3:$AA$1315,DataRegularSeason20242025!$B$3:$B$1315, "&lt;=" &amp; ED$1, DataRegularSeason20242025!$D$3:$D$1315, $A30)+SUMIFS(DataRegularSeason20242025!$AB$3:$AB$1315,DataRegularSeason20242025!$B$3:$B$1315, "&lt;=" &amp; ED$1, DataRegularSeason20242025!$E$3:$E$1315, $A30)</f>
        <v>52</v>
      </c>
      <c r="EE30">
        <f>SUMIFS(DataRegularSeason20242025!$AA$3:$AA$1315,DataRegularSeason20242025!$B$3:$B$1315, "&lt;=" &amp; EE$1, DataRegularSeason20242025!$D$3:$D$1315, $A30)+SUMIFS(DataRegularSeason20242025!$AB$3:$AB$1315,DataRegularSeason20242025!$B$3:$B$1315, "&lt;=" &amp; EE$1, DataRegularSeason20242025!$E$3:$E$1315, $A30)</f>
        <v>52</v>
      </c>
      <c r="EF30">
        <f>SUMIFS(DataRegularSeason20242025!$AA$3:$AA$1315,DataRegularSeason20242025!$B$3:$B$1315, "&lt;=" &amp; EF$1, DataRegularSeason20242025!$D$3:$D$1315, $A30)+SUMIFS(DataRegularSeason20242025!$AB$3:$AB$1315,DataRegularSeason20242025!$B$3:$B$1315, "&lt;=" &amp; EF$1, DataRegularSeason20242025!$E$3:$E$1315, $A30)</f>
        <v>52</v>
      </c>
      <c r="EG30">
        <f>SUMIFS(DataRegularSeason20242025!$AA$3:$AA$1315,DataRegularSeason20242025!$B$3:$B$1315, "&lt;=" &amp; EG$1, DataRegularSeason20242025!$D$3:$D$1315, $A30)+SUMIFS(DataRegularSeason20242025!$AB$3:$AB$1315,DataRegularSeason20242025!$B$3:$B$1315, "&lt;=" &amp; EG$1, DataRegularSeason20242025!$E$3:$E$1315, $A30)</f>
        <v>52</v>
      </c>
      <c r="EH30">
        <f>SUMIFS(DataRegularSeason20242025!$AA$3:$AA$1315,DataRegularSeason20242025!$B$3:$B$1315, "&lt;=" &amp; EH$1, DataRegularSeason20242025!$D$3:$D$1315, $A30)+SUMIFS(DataRegularSeason20242025!$AB$3:$AB$1315,DataRegularSeason20242025!$B$3:$B$1315, "&lt;=" &amp; EH$1, DataRegularSeason20242025!$E$3:$E$1315, $A30)</f>
        <v>52</v>
      </c>
      <c r="EI30">
        <f>SUMIFS(DataRegularSeason20242025!$AA$3:$AA$1315,DataRegularSeason20242025!$B$3:$B$1315, "&lt;=" &amp; EI$1, DataRegularSeason20242025!$D$3:$D$1315, $A30)+SUMIFS(DataRegularSeason20242025!$AB$3:$AB$1315,DataRegularSeason20242025!$B$3:$B$1315, "&lt;=" &amp; EI$1, DataRegularSeason20242025!$E$3:$E$1315, $A30)</f>
        <v>52</v>
      </c>
      <c r="EJ30">
        <f>SUMIFS(DataRegularSeason20242025!$AA$3:$AA$1315,DataRegularSeason20242025!$B$3:$B$1315, "&lt;=" &amp; EJ$1, DataRegularSeason20242025!$D$3:$D$1315, $A30)+SUMIFS(DataRegularSeason20242025!$AB$3:$AB$1315,DataRegularSeason20242025!$B$3:$B$1315, "&lt;=" &amp; EJ$1, DataRegularSeason20242025!$E$3:$E$1315, $A30)</f>
        <v>52</v>
      </c>
      <c r="EK30">
        <f>SUMIFS(DataRegularSeason20242025!$AA$3:$AA$1315,DataRegularSeason20242025!$B$3:$B$1315, "&lt;=" &amp; EK$1, DataRegularSeason20242025!$D$3:$D$1315, $A30)+SUMIFS(DataRegularSeason20242025!$AB$3:$AB$1315,DataRegularSeason20242025!$B$3:$B$1315, "&lt;=" &amp; EK$1, DataRegularSeason20242025!$E$3:$E$1315, $A30)</f>
        <v>52</v>
      </c>
      <c r="EL30">
        <f>SUMIFS(DataRegularSeason20242025!$AA$3:$AA$1315,DataRegularSeason20242025!$B$3:$B$1315, "&lt;=" &amp; EL$1, DataRegularSeason20242025!$D$3:$D$1315, $A30)+SUMIFS(DataRegularSeason20242025!$AB$3:$AB$1315,DataRegularSeason20242025!$B$3:$B$1315, "&lt;=" &amp; EL$1, DataRegularSeason20242025!$E$3:$E$1315, $A30)</f>
        <v>52</v>
      </c>
      <c r="EM30">
        <f>SUMIFS(DataRegularSeason20242025!$AA$3:$AA$1315,DataRegularSeason20242025!$B$3:$B$1315, "&lt;=" &amp; EM$1, DataRegularSeason20242025!$D$3:$D$1315, $A30)+SUMIFS(DataRegularSeason20242025!$AB$3:$AB$1315,DataRegularSeason20242025!$B$3:$B$1315, "&lt;=" &amp; EM$1, DataRegularSeason20242025!$E$3:$E$1315, $A30)</f>
        <v>52</v>
      </c>
      <c r="EN30">
        <f>SUMIFS(DataRegularSeason20242025!$AA$3:$AA$1315,DataRegularSeason20242025!$B$3:$B$1315, "&lt;=" &amp; EN$1, DataRegularSeason20242025!$D$3:$D$1315, $A30)+SUMIFS(DataRegularSeason20242025!$AB$3:$AB$1315,DataRegularSeason20242025!$B$3:$B$1315, "&lt;=" &amp; EN$1, DataRegularSeason20242025!$E$3:$E$1315, $A30)</f>
        <v>52</v>
      </c>
      <c r="EO30">
        <f>SUMIFS(DataRegularSeason20242025!$AA$3:$AA$1315,DataRegularSeason20242025!$B$3:$B$1315, "&lt;=" &amp; EO$1, DataRegularSeason20242025!$D$3:$D$1315, $A30)+SUMIFS(DataRegularSeason20242025!$AB$3:$AB$1315,DataRegularSeason20242025!$B$3:$B$1315, "&lt;=" &amp; EO$1, DataRegularSeason20242025!$E$3:$E$1315, $A30)</f>
        <v>52</v>
      </c>
      <c r="EP30">
        <f>SUMIFS(DataRegularSeason20242025!$AA$3:$AA$1315,DataRegularSeason20242025!$B$3:$B$1315, "&lt;=" &amp; EP$1, DataRegularSeason20242025!$D$3:$D$1315, $A30)+SUMIFS(DataRegularSeason20242025!$AB$3:$AB$1315,DataRegularSeason20242025!$B$3:$B$1315, "&lt;=" &amp; EP$1, DataRegularSeason20242025!$E$3:$E$1315, $A30)</f>
        <v>52</v>
      </c>
      <c r="EQ30">
        <f>SUMIFS(DataRegularSeason20242025!$AA$3:$AA$1315,DataRegularSeason20242025!$B$3:$B$1315, "&lt;=" &amp; EQ$1, DataRegularSeason20242025!$D$3:$D$1315, $A30)+SUMIFS(DataRegularSeason20242025!$AB$3:$AB$1315,DataRegularSeason20242025!$B$3:$B$1315, "&lt;=" &amp; EQ$1, DataRegularSeason20242025!$E$3:$E$1315, $A30)</f>
        <v>52</v>
      </c>
      <c r="ER30">
        <f>SUMIFS(DataRegularSeason20242025!$AA$3:$AA$1315,DataRegularSeason20242025!$B$3:$B$1315, "&lt;=" &amp; ER$1, DataRegularSeason20242025!$D$3:$D$1315, $A30)+SUMIFS(DataRegularSeason20242025!$AB$3:$AB$1315,DataRegularSeason20242025!$B$3:$B$1315, "&lt;=" &amp; ER$1, DataRegularSeason20242025!$E$3:$E$1315, $A30)</f>
        <v>52</v>
      </c>
      <c r="ES30">
        <f>SUMIFS(DataRegularSeason20242025!$AA$3:$AA$1315,DataRegularSeason20242025!$B$3:$B$1315, "&lt;=" &amp; ES$1, DataRegularSeason20242025!$D$3:$D$1315, $A30)+SUMIFS(DataRegularSeason20242025!$AB$3:$AB$1315,DataRegularSeason20242025!$B$3:$B$1315, "&lt;=" &amp; ES$1, DataRegularSeason20242025!$E$3:$E$1315, $A30)</f>
        <v>52</v>
      </c>
      <c r="ET30">
        <f>SUMIFS(DataRegularSeason20242025!$AA$3:$AA$1315,DataRegularSeason20242025!$B$3:$B$1315, "&lt;=" &amp; ET$1, DataRegularSeason20242025!$D$3:$D$1315, $A30)+SUMIFS(DataRegularSeason20242025!$AB$3:$AB$1315,DataRegularSeason20242025!$B$3:$B$1315, "&lt;=" &amp; ET$1, DataRegularSeason20242025!$E$3:$E$1315, $A30)</f>
        <v>52</v>
      </c>
      <c r="EU30">
        <f>SUMIFS(DataRegularSeason20242025!$AA$3:$AA$1315,DataRegularSeason20242025!$B$3:$B$1315, "&lt;=" &amp; EU$1, DataRegularSeason20242025!$D$3:$D$1315, $A30)+SUMIFS(DataRegularSeason20242025!$AB$3:$AB$1315,DataRegularSeason20242025!$B$3:$B$1315, "&lt;=" &amp; EU$1, DataRegularSeason20242025!$E$3:$E$1315, $A30)</f>
        <v>52</v>
      </c>
      <c r="EV30">
        <f>SUMIFS(DataRegularSeason20242025!$AA$3:$AA$1315,DataRegularSeason20242025!$B$3:$B$1315, "&lt;=" &amp; EV$1, DataRegularSeason20242025!$D$3:$D$1315, $A30)+SUMIFS(DataRegularSeason20242025!$AB$3:$AB$1315,DataRegularSeason20242025!$B$3:$B$1315, "&lt;=" &amp; EV$1, DataRegularSeason20242025!$E$3:$E$1315, $A30)</f>
        <v>52</v>
      </c>
      <c r="EW30">
        <f>SUMIFS(DataRegularSeason20242025!$AA$3:$AA$1315,DataRegularSeason20242025!$B$3:$B$1315, "&lt;=" &amp; EW$1, DataRegularSeason20242025!$D$3:$D$1315, $A30)+SUMIFS(DataRegularSeason20242025!$AB$3:$AB$1315,DataRegularSeason20242025!$B$3:$B$1315, "&lt;=" &amp; EW$1, DataRegularSeason20242025!$E$3:$E$1315, $A30)</f>
        <v>52</v>
      </c>
      <c r="EX30">
        <f>SUMIFS(DataRegularSeason20242025!$AA$3:$AA$1315,DataRegularSeason20242025!$B$3:$B$1315, "&lt;=" &amp; EX$1, DataRegularSeason20242025!$D$3:$D$1315, $A30)+SUMIFS(DataRegularSeason20242025!$AB$3:$AB$1315,DataRegularSeason20242025!$B$3:$B$1315, "&lt;=" &amp; EX$1, DataRegularSeason20242025!$E$3:$E$1315, $A30)</f>
        <v>52</v>
      </c>
      <c r="EY30">
        <f>SUMIFS(DataRegularSeason20242025!$AA$3:$AA$1315,DataRegularSeason20242025!$B$3:$B$1315, "&lt;=" &amp; EY$1, DataRegularSeason20242025!$D$3:$D$1315, $A30)+SUMIFS(DataRegularSeason20242025!$AB$3:$AB$1315,DataRegularSeason20242025!$B$3:$B$1315, "&lt;=" &amp; EY$1, DataRegularSeason20242025!$E$3:$E$1315, $A30)</f>
        <v>52</v>
      </c>
      <c r="EZ30">
        <f>SUMIFS(DataRegularSeason20242025!$AA$3:$AA$1315,DataRegularSeason20242025!$B$3:$B$1315, "&lt;=" &amp; EZ$1, DataRegularSeason20242025!$D$3:$D$1315, $A30)+SUMIFS(DataRegularSeason20242025!$AB$3:$AB$1315,DataRegularSeason20242025!$B$3:$B$1315, "&lt;=" &amp; EZ$1, DataRegularSeason20242025!$E$3:$E$1315, $A30)</f>
        <v>52</v>
      </c>
      <c r="FA30">
        <f>SUMIFS(DataRegularSeason20242025!$AA$3:$AA$1315,DataRegularSeason20242025!$B$3:$B$1315, "&lt;=" &amp; FA$1, DataRegularSeason20242025!$D$3:$D$1315, $A30)+SUMIFS(DataRegularSeason20242025!$AB$3:$AB$1315,DataRegularSeason20242025!$B$3:$B$1315, "&lt;=" &amp; FA$1, DataRegularSeason20242025!$E$3:$E$1315, $A30)</f>
        <v>52</v>
      </c>
      <c r="FB30">
        <f>SUMIFS(DataRegularSeason20242025!$AA$3:$AA$1315,DataRegularSeason20242025!$B$3:$B$1315, "&lt;=" &amp; FB$1, DataRegularSeason20242025!$D$3:$D$1315, $A30)+SUMIFS(DataRegularSeason20242025!$AB$3:$AB$1315,DataRegularSeason20242025!$B$3:$B$1315, "&lt;=" &amp; FB$1, DataRegularSeason20242025!$E$3:$E$1315, $A30)</f>
        <v>52</v>
      </c>
      <c r="FC30">
        <f>SUMIFS(DataRegularSeason20242025!$AA$3:$AA$1315,DataRegularSeason20242025!$B$3:$B$1315, "&lt;=" &amp; FC$1, DataRegularSeason20242025!$D$3:$D$1315, $A30)+SUMIFS(DataRegularSeason20242025!$AB$3:$AB$1315,DataRegularSeason20242025!$B$3:$B$1315, "&lt;=" &amp; FC$1, DataRegularSeason20242025!$E$3:$E$1315, $A30)</f>
        <v>52</v>
      </c>
      <c r="FD30">
        <f>SUMIFS(DataRegularSeason20242025!$AA$3:$AA$1315,DataRegularSeason20242025!$B$3:$B$1315, "&lt;=" &amp; FD$1, DataRegularSeason20242025!$D$3:$D$1315, $A30)+SUMIFS(DataRegularSeason20242025!$AB$3:$AB$1315,DataRegularSeason20242025!$B$3:$B$1315, "&lt;=" &amp; FD$1, DataRegularSeason20242025!$E$3:$E$1315, $A30)</f>
        <v>52</v>
      </c>
      <c r="FE30">
        <f>SUMIFS(DataRegularSeason20242025!$AA$3:$AA$1315,DataRegularSeason20242025!$B$3:$B$1315, "&lt;=" &amp; FE$1, DataRegularSeason20242025!$D$3:$D$1315, $A30)+SUMIFS(DataRegularSeason20242025!$AB$3:$AB$1315,DataRegularSeason20242025!$B$3:$B$1315, "&lt;=" &amp; FE$1, DataRegularSeason20242025!$E$3:$E$1315, $A30)</f>
        <v>52</v>
      </c>
      <c r="FF30">
        <f>SUMIFS(DataRegularSeason20242025!$AA$3:$AA$1315,DataRegularSeason20242025!$B$3:$B$1315, "&lt;=" &amp; FF$1, DataRegularSeason20242025!$D$3:$D$1315, $A30)+SUMIFS(DataRegularSeason20242025!$AB$3:$AB$1315,DataRegularSeason20242025!$B$3:$B$1315, "&lt;=" &amp; FF$1, DataRegularSeason20242025!$E$3:$E$1315, $A30)</f>
        <v>52</v>
      </c>
      <c r="FG30">
        <f>SUMIFS(DataRegularSeason20242025!$AA$3:$AA$1315,DataRegularSeason20242025!$B$3:$B$1315, "&lt;=" &amp; FG$1, DataRegularSeason20242025!$D$3:$D$1315, $A30)+SUMIFS(DataRegularSeason20242025!$AB$3:$AB$1315,DataRegularSeason20242025!$B$3:$B$1315, "&lt;=" &amp; FG$1, DataRegularSeason20242025!$E$3:$E$1315, $A30)</f>
        <v>52</v>
      </c>
      <c r="FH30">
        <f>SUMIFS(DataRegularSeason20242025!$AA$3:$AA$1315,DataRegularSeason20242025!$B$3:$B$1315, "&lt;=" &amp; FH$1, DataRegularSeason20242025!$D$3:$D$1315, $A30)+SUMIFS(DataRegularSeason20242025!$AB$3:$AB$1315,DataRegularSeason20242025!$B$3:$B$1315, "&lt;=" &amp; FH$1, DataRegularSeason20242025!$E$3:$E$1315, $A30)</f>
        <v>52</v>
      </c>
      <c r="FI30">
        <f>SUMIFS(DataRegularSeason20242025!$AA$3:$AA$1315,DataRegularSeason20242025!$B$3:$B$1315, "&lt;=" &amp; FI$1, DataRegularSeason20242025!$D$3:$D$1315, $A30)+SUMIFS(DataRegularSeason20242025!$AB$3:$AB$1315,DataRegularSeason20242025!$B$3:$B$1315, "&lt;=" &amp; FI$1, DataRegularSeason20242025!$E$3:$E$1315, $A30)</f>
        <v>52</v>
      </c>
      <c r="FJ30">
        <f>SUMIFS(DataRegularSeason20242025!$AA$3:$AA$1315,DataRegularSeason20242025!$B$3:$B$1315, "&lt;=" &amp; FJ$1, DataRegularSeason20242025!$D$3:$D$1315, $A30)+SUMIFS(DataRegularSeason20242025!$AB$3:$AB$1315,DataRegularSeason20242025!$B$3:$B$1315, "&lt;=" &amp; FJ$1, DataRegularSeason20242025!$E$3:$E$1315, $A30)</f>
        <v>52</v>
      </c>
      <c r="FK30">
        <f>SUMIFS(DataRegularSeason20242025!$AA$3:$AA$1315,DataRegularSeason20242025!$B$3:$B$1315, "&lt;=" &amp; FK$1, DataRegularSeason20242025!$D$3:$D$1315, $A30)+SUMIFS(DataRegularSeason20242025!$AB$3:$AB$1315,DataRegularSeason20242025!$B$3:$B$1315, "&lt;=" &amp; FK$1, DataRegularSeason20242025!$E$3:$E$1315, $A30)</f>
        <v>52</v>
      </c>
      <c r="FL30">
        <f>SUMIFS(DataRegularSeason20242025!$AA$3:$AA$1315,DataRegularSeason20242025!$B$3:$B$1315, "&lt;=" &amp; FL$1, DataRegularSeason20242025!$D$3:$D$1315, $A30)+SUMIFS(DataRegularSeason20242025!$AB$3:$AB$1315,DataRegularSeason20242025!$B$3:$B$1315, "&lt;=" &amp; FL$1, DataRegularSeason20242025!$E$3:$E$1315, $A30)</f>
        <v>52</v>
      </c>
      <c r="FM30">
        <f>SUMIFS(DataRegularSeason20242025!$AA$3:$AA$1315,DataRegularSeason20242025!$B$3:$B$1315, "&lt;=" &amp; FM$1, DataRegularSeason20242025!$D$3:$D$1315, $A30)+SUMIFS(DataRegularSeason20242025!$AB$3:$AB$1315,DataRegularSeason20242025!$B$3:$B$1315, "&lt;=" &amp; FM$1, DataRegularSeason20242025!$E$3:$E$1315, $A30)</f>
        <v>52</v>
      </c>
      <c r="FN30">
        <f>SUMIFS(DataRegularSeason20242025!$AA$3:$AA$1315,DataRegularSeason20242025!$B$3:$B$1315, "&lt;=" &amp; FN$1, DataRegularSeason20242025!$D$3:$D$1315, $A30)+SUMIFS(DataRegularSeason20242025!$AB$3:$AB$1315,DataRegularSeason20242025!$B$3:$B$1315, "&lt;=" &amp; FN$1, DataRegularSeason20242025!$E$3:$E$1315, $A30)</f>
        <v>52</v>
      </c>
      <c r="FO30">
        <f>SUMIFS(DataRegularSeason20242025!$AA$3:$AA$1315,DataRegularSeason20242025!$B$3:$B$1315, "&lt;=" &amp; FO$1, DataRegularSeason20242025!$D$3:$D$1315, $A30)+SUMIFS(DataRegularSeason20242025!$AB$3:$AB$1315,DataRegularSeason20242025!$B$3:$B$1315, "&lt;=" &amp; FO$1, DataRegularSeason20242025!$E$3:$E$1315, $A30)</f>
        <v>52</v>
      </c>
      <c r="FP30">
        <f>SUMIFS(DataRegularSeason20242025!$AA$3:$AA$1315,DataRegularSeason20242025!$B$3:$B$1315, "&lt;=" &amp; FP$1, DataRegularSeason20242025!$D$3:$D$1315, $A30)+SUMIFS(DataRegularSeason20242025!$AB$3:$AB$1315,DataRegularSeason20242025!$B$3:$B$1315, "&lt;=" &amp; FP$1, DataRegularSeason20242025!$E$3:$E$1315, $A30)</f>
        <v>52</v>
      </c>
      <c r="FQ30">
        <f>SUMIFS(DataRegularSeason20242025!$AA$3:$AA$1315,DataRegularSeason20242025!$B$3:$B$1315, "&lt;=" &amp; FQ$1, DataRegularSeason20242025!$D$3:$D$1315, $A30)+SUMIFS(DataRegularSeason20242025!$AB$3:$AB$1315,DataRegularSeason20242025!$B$3:$B$1315, "&lt;=" &amp; FQ$1, DataRegularSeason20242025!$E$3:$E$1315, $A30)</f>
        <v>52</v>
      </c>
      <c r="FR30">
        <f>SUMIFS(DataRegularSeason20242025!$AA$3:$AA$1315,DataRegularSeason20242025!$B$3:$B$1315, "&lt;=" &amp; FR$1, DataRegularSeason20242025!$D$3:$D$1315, $A30)+SUMIFS(DataRegularSeason20242025!$AB$3:$AB$1315,DataRegularSeason20242025!$B$3:$B$1315, "&lt;=" &amp; FR$1, DataRegularSeason20242025!$E$3:$E$1315, $A30)</f>
        <v>52</v>
      </c>
      <c r="FS30">
        <f>SUMIFS(DataRegularSeason20242025!$AA$3:$AA$1315,DataRegularSeason20242025!$B$3:$B$1315, "&lt;=" &amp; FS$1, DataRegularSeason20242025!$D$3:$D$1315, $A30)+SUMIFS(DataRegularSeason20242025!$AB$3:$AB$1315,DataRegularSeason20242025!$B$3:$B$1315, "&lt;=" &amp; FS$1, DataRegularSeason20242025!$E$3:$E$1315, $A30)</f>
        <v>52</v>
      </c>
      <c r="FT30">
        <f>SUMIFS(DataRegularSeason20242025!$AA$3:$AA$1315,DataRegularSeason20242025!$B$3:$B$1315, "&lt;=" &amp; FT$1, DataRegularSeason20242025!$D$3:$D$1315, $A30)+SUMIFS(DataRegularSeason20242025!$AB$3:$AB$1315,DataRegularSeason20242025!$B$3:$B$1315, "&lt;=" &amp; FT$1, DataRegularSeason20242025!$E$3:$E$1315, $A30)</f>
        <v>52</v>
      </c>
      <c r="FU30">
        <f>SUMIFS(DataRegularSeason20242025!$AA$3:$AA$1315,DataRegularSeason20242025!$B$3:$B$1315, "&lt;=" &amp; FU$1, DataRegularSeason20242025!$D$3:$D$1315, $A30)+SUMIFS(DataRegularSeason20242025!$AB$3:$AB$1315,DataRegularSeason20242025!$B$3:$B$1315, "&lt;=" &amp; FU$1, DataRegularSeason20242025!$E$3:$E$1315, $A30)</f>
        <v>52</v>
      </c>
      <c r="FV30">
        <f>SUMIFS(DataRegularSeason20242025!$AA$3:$AA$1315,DataRegularSeason20242025!$B$3:$B$1315, "&lt;=" &amp; FV$1, DataRegularSeason20242025!$D$3:$D$1315, $A30)+SUMIFS(DataRegularSeason20242025!$AB$3:$AB$1315,DataRegularSeason20242025!$B$3:$B$1315, "&lt;=" &amp; FV$1, DataRegularSeason20242025!$E$3:$E$1315, $A30)</f>
        <v>52</v>
      </c>
      <c r="FW30">
        <f>SUMIFS(DataRegularSeason20242025!$AA$3:$AA$1315,DataRegularSeason20242025!$B$3:$B$1315, "&lt;=" &amp; FW$1, DataRegularSeason20242025!$D$3:$D$1315, $A30)+SUMIFS(DataRegularSeason20242025!$AB$3:$AB$1315,DataRegularSeason20242025!$B$3:$B$1315, "&lt;=" &amp; FW$1, DataRegularSeason20242025!$E$3:$E$1315, $A30)</f>
        <v>52</v>
      </c>
      <c r="FX30">
        <f>SUMIFS(DataRegularSeason20242025!$AA$3:$AA$1315,DataRegularSeason20242025!$B$3:$B$1315, "&lt;=" &amp; FX$1, DataRegularSeason20242025!$D$3:$D$1315, $A30)+SUMIFS(DataRegularSeason20242025!$AB$3:$AB$1315,DataRegularSeason20242025!$B$3:$B$1315, "&lt;=" &amp; FX$1, DataRegularSeason20242025!$E$3:$E$1315, $A30)</f>
        <v>52</v>
      </c>
      <c r="FY30">
        <f>SUMIFS(DataRegularSeason20242025!$AA$3:$AA$1315,DataRegularSeason20242025!$B$3:$B$1315, "&lt;=" &amp; FY$1, DataRegularSeason20242025!$D$3:$D$1315, $A30)+SUMIFS(DataRegularSeason20242025!$AB$3:$AB$1315,DataRegularSeason20242025!$B$3:$B$1315, "&lt;=" &amp; FY$1, DataRegularSeason20242025!$E$3:$E$1315, $A30)</f>
        <v>52</v>
      </c>
      <c r="FZ30">
        <f>SUMIFS(DataRegularSeason20242025!$AA$3:$AA$1315,DataRegularSeason20242025!$B$3:$B$1315, "&lt;=" &amp; FZ$1, DataRegularSeason20242025!$D$3:$D$1315, $A30)+SUMIFS(DataRegularSeason20242025!$AB$3:$AB$1315,DataRegularSeason20242025!$B$3:$B$1315, "&lt;=" &amp; FZ$1, DataRegularSeason20242025!$E$3:$E$1315, $A30)</f>
        <v>52</v>
      </c>
      <c r="GA30">
        <f>SUMIFS(DataRegularSeason20242025!$AA$3:$AA$1315,DataRegularSeason20242025!$B$3:$B$1315, "&lt;=" &amp; GA$1, DataRegularSeason20242025!$D$3:$D$1315, $A30)+SUMIFS(DataRegularSeason20242025!$AB$3:$AB$1315,DataRegularSeason20242025!$B$3:$B$1315, "&lt;=" &amp; GA$1, DataRegularSeason20242025!$E$3:$E$1315, $A30)</f>
        <v>52</v>
      </c>
      <c r="GB30">
        <f>SUMIFS(DataRegularSeason20242025!$AA$3:$AA$1315,DataRegularSeason20242025!$B$3:$B$1315, "&lt;=" &amp; GB$1, DataRegularSeason20242025!$D$3:$D$1315, $A30)+SUMIFS(DataRegularSeason20242025!$AB$3:$AB$1315,DataRegularSeason20242025!$B$3:$B$1315, "&lt;=" &amp; GB$1, DataRegularSeason20242025!$E$3:$E$1315, $A30)</f>
        <v>52</v>
      </c>
      <c r="GC30">
        <f>SUMIFS(DataRegularSeason20242025!$AA$3:$AA$1315,DataRegularSeason20242025!$B$3:$B$1315, "&lt;=" &amp; GC$1, DataRegularSeason20242025!$D$3:$D$1315, $A30)+SUMIFS(DataRegularSeason20242025!$AB$3:$AB$1315,DataRegularSeason20242025!$B$3:$B$1315, "&lt;=" &amp; GC$1, DataRegularSeason20242025!$E$3:$E$1315, $A30)</f>
        <v>52</v>
      </c>
      <c r="GD30">
        <f>SUMIFS(DataRegularSeason20242025!$AA$3:$AA$1315,DataRegularSeason20242025!$B$3:$B$1315, "&lt;=" &amp; GD$1, DataRegularSeason20242025!$D$3:$D$1315, $A30)+SUMIFS(DataRegularSeason20242025!$AB$3:$AB$1315,DataRegularSeason20242025!$B$3:$B$1315, "&lt;=" &amp; GD$1, DataRegularSeason20242025!$E$3:$E$1315, $A30)</f>
        <v>52</v>
      </c>
      <c r="GE30">
        <f>SUMIFS(DataRegularSeason20242025!$AA$3:$AA$1315,DataRegularSeason20242025!$B$3:$B$1315, "&lt;=" &amp; GE$1, DataRegularSeason20242025!$D$3:$D$1315, $A30)+SUMIFS(DataRegularSeason20242025!$AB$3:$AB$1315,DataRegularSeason20242025!$B$3:$B$1315, "&lt;=" &amp; GE$1, DataRegularSeason20242025!$E$3:$E$1315, $A30)</f>
        <v>52</v>
      </c>
      <c r="GF30">
        <f>SUMIFS(DataRegularSeason20242025!$AA$3:$AA$1315,DataRegularSeason20242025!$B$3:$B$1315, "&lt;=" &amp; GF$1, DataRegularSeason20242025!$D$3:$D$1315, $A30)+SUMIFS(DataRegularSeason20242025!$AB$3:$AB$1315,DataRegularSeason20242025!$B$3:$B$1315, "&lt;=" &amp; GF$1, DataRegularSeason20242025!$E$3:$E$1315, $A30)</f>
        <v>52</v>
      </c>
      <c r="GG30">
        <f>SUMIFS(DataRegularSeason20242025!$AA$3:$AA$1315,DataRegularSeason20242025!$B$3:$B$1315, "&lt;=" &amp; GG$1, DataRegularSeason20242025!$D$3:$D$1315, $A30)+SUMIFS(DataRegularSeason20242025!$AB$3:$AB$1315,DataRegularSeason20242025!$B$3:$B$1315, "&lt;=" &amp; GG$1, DataRegularSeason20242025!$E$3:$E$1315, $A30)</f>
        <v>52</v>
      </c>
      <c r="GH30">
        <f>SUMIFS(DataRegularSeason20242025!$AA$3:$AA$1315,DataRegularSeason20242025!$B$3:$B$1315, "&lt;=" &amp; GH$1, DataRegularSeason20242025!$D$3:$D$1315, $A30)+SUMIFS(DataRegularSeason20242025!$AB$3:$AB$1315,DataRegularSeason20242025!$B$3:$B$1315, "&lt;=" &amp; GH$1, DataRegularSeason20242025!$E$3:$E$1315, $A30)</f>
        <v>52</v>
      </c>
      <c r="GI30">
        <f>SUMIFS(DataRegularSeason20242025!$AA$3:$AA$1315,DataRegularSeason20242025!$B$3:$B$1315, "&lt;=" &amp; GI$1, DataRegularSeason20242025!$D$3:$D$1315, $A30)+SUMIFS(DataRegularSeason20242025!$AB$3:$AB$1315,DataRegularSeason20242025!$B$3:$B$1315, "&lt;=" &amp; GI$1, DataRegularSeason20242025!$E$3:$E$1315, $A30)</f>
        <v>52</v>
      </c>
      <c r="GJ30">
        <f>SUMIFS(DataRegularSeason20242025!$AA$3:$AA$1315,DataRegularSeason20242025!$B$3:$B$1315, "&lt;=" &amp; GJ$1, DataRegularSeason20242025!$D$3:$D$1315, $A30)+SUMIFS(DataRegularSeason20242025!$AB$3:$AB$1315,DataRegularSeason20242025!$B$3:$B$1315, "&lt;=" &amp; GJ$1, DataRegularSeason20242025!$E$3:$E$1315, $A30)</f>
        <v>52</v>
      </c>
      <c r="GK30">
        <f>SUMIFS(DataRegularSeason20242025!$AA$3:$AA$1315,DataRegularSeason20242025!$B$3:$B$1315, "&lt;=" &amp; GK$1, DataRegularSeason20242025!$D$3:$D$1315, $A30)+SUMIFS(DataRegularSeason20242025!$AB$3:$AB$1315,DataRegularSeason20242025!$B$3:$B$1315, "&lt;=" &amp; GK$1, DataRegularSeason20242025!$E$3:$E$1315, $A30)</f>
        <v>52</v>
      </c>
      <c r="GL30">
        <f>SUMIFS(DataRegularSeason20242025!$AA$3:$AA$1315,DataRegularSeason20242025!$B$3:$B$1315, "&lt;=" &amp; GL$1, DataRegularSeason20242025!$D$3:$D$1315, $A30)+SUMIFS(DataRegularSeason20242025!$AB$3:$AB$1315,DataRegularSeason20242025!$B$3:$B$1315, "&lt;=" &amp; GL$1, DataRegularSeason20242025!$E$3:$E$1315, $A30)</f>
        <v>52</v>
      </c>
      <c r="GM30">
        <f>SUMIFS(DataRegularSeason20242025!$AA$3:$AA$1315,DataRegularSeason20242025!$B$3:$B$1315, "&lt;=" &amp; GM$1, DataRegularSeason20242025!$D$3:$D$1315, $A30)+SUMIFS(DataRegularSeason20242025!$AB$3:$AB$1315,DataRegularSeason20242025!$B$3:$B$1315, "&lt;=" &amp; GM$1, DataRegularSeason20242025!$E$3:$E$1315, $A30)</f>
        <v>52</v>
      </c>
      <c r="GN30">
        <f>SUMIFS(DataRegularSeason20242025!$AA$3:$AA$1315,DataRegularSeason20242025!$B$3:$B$1315, "&lt;=" &amp; GN$1, DataRegularSeason20242025!$D$3:$D$1315, $A30)+SUMIFS(DataRegularSeason20242025!$AB$3:$AB$1315,DataRegularSeason20242025!$B$3:$B$1315, "&lt;=" &amp; GN$1, DataRegularSeason20242025!$E$3:$E$1315, $A30)</f>
        <v>52</v>
      </c>
      <c r="GO30">
        <f>SUMIFS(DataRegularSeason20242025!$AA$3:$AA$1315,DataRegularSeason20242025!$B$3:$B$1315, "&lt;=" &amp; GO$1, DataRegularSeason20242025!$D$3:$D$1315, $A30)+SUMIFS(DataRegularSeason20242025!$AB$3:$AB$1315,DataRegularSeason20242025!$B$3:$B$1315, "&lt;=" &amp; GO$1, DataRegularSeason20242025!$E$3:$E$1315, $A30)</f>
        <v>52</v>
      </c>
      <c r="GP30">
        <f>SUMIFS(DataRegularSeason20242025!$AA$3:$AA$1315,DataRegularSeason20242025!$B$3:$B$1315, "&lt;=" &amp; GP$1, DataRegularSeason20242025!$D$3:$D$1315, $A30)+SUMIFS(DataRegularSeason20242025!$AB$3:$AB$1315,DataRegularSeason20242025!$B$3:$B$1315, "&lt;=" &amp; GP$1, DataRegularSeason20242025!$E$3:$E$1315, $A30)</f>
        <v>52</v>
      </c>
      <c r="GQ30">
        <f>SUMIFS(DataRegularSeason20242025!$AA$3:$AA$1315,DataRegularSeason20242025!$B$3:$B$1315, "&lt;=" &amp; GQ$1, DataRegularSeason20242025!$D$3:$D$1315, $A30)+SUMIFS(DataRegularSeason20242025!$AB$3:$AB$1315,DataRegularSeason20242025!$B$3:$B$1315, "&lt;=" &amp; GQ$1, DataRegularSeason20242025!$E$3:$E$1315, $A30)</f>
        <v>52</v>
      </c>
      <c r="GR30">
        <f>SUMIFS(DataRegularSeason20242025!$AA$3:$AA$1315,DataRegularSeason20242025!$B$3:$B$1315, "&lt;=" &amp; GR$1, DataRegularSeason20242025!$D$3:$D$1315, $A30)+SUMIFS(DataRegularSeason20242025!$AB$3:$AB$1315,DataRegularSeason20242025!$B$3:$B$1315, "&lt;=" &amp; GR$1, DataRegularSeason20242025!$E$3:$E$1315, $A30)</f>
        <v>52</v>
      </c>
      <c r="GS30">
        <f>SUMIFS(DataRegularSeason20242025!$AA$3:$AA$1315,DataRegularSeason20242025!$B$3:$B$1315, "&lt;=" &amp; GS$1, DataRegularSeason20242025!$D$3:$D$1315, $A30)+SUMIFS(DataRegularSeason20242025!$AB$3:$AB$1315,DataRegularSeason20242025!$B$3:$B$1315, "&lt;=" &amp; GS$1, DataRegularSeason20242025!$E$3:$E$1315, $A30)</f>
        <v>52</v>
      </c>
      <c r="GT30">
        <f>SUMIFS(DataRegularSeason20242025!$AA$3:$AA$1315,DataRegularSeason20242025!$B$3:$B$1315, "&lt;=" &amp; GT$1, DataRegularSeason20242025!$D$3:$D$1315, $A30)+SUMIFS(DataRegularSeason20242025!$AB$3:$AB$1315,DataRegularSeason20242025!$B$3:$B$1315, "&lt;=" &amp; GT$1, DataRegularSeason20242025!$E$3:$E$1315, $A30)</f>
        <v>52</v>
      </c>
      <c r="GU30">
        <f>SUMIFS(DataRegularSeason20242025!$AA$3:$AA$1315,DataRegularSeason20242025!$B$3:$B$1315, "&lt;=" &amp; GU$1, DataRegularSeason20242025!$D$3:$D$1315, $A30)+SUMIFS(DataRegularSeason20242025!$AB$3:$AB$1315,DataRegularSeason20242025!$B$3:$B$1315, "&lt;=" &amp; GU$1, DataRegularSeason20242025!$E$3:$E$1315, $A30)</f>
        <v>52</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54.25</v>
      </c>
      <c r="DP34">
        <f>SUBTOTAL(101,Table4[2025-01-27])</f>
        <v>54.25</v>
      </c>
      <c r="DQ34">
        <f>SUBTOTAL(101,Table4[2025-01-28])</f>
        <v>54.25</v>
      </c>
      <c r="DR34">
        <f>SUBTOTAL(101,Table4[2025-01-29])</f>
        <v>54.25</v>
      </c>
      <c r="DS34">
        <f>SUBTOTAL(101,Table4[2025-01-30])</f>
        <v>54.25</v>
      </c>
      <c r="DT34">
        <f>SUBTOTAL(101,Table4[2025-01-31])</f>
        <v>54.25</v>
      </c>
      <c r="DU34">
        <f>SUBTOTAL(101,Table4[2025-02-01])</f>
        <v>54.25</v>
      </c>
      <c r="DV34">
        <f>SUBTOTAL(101,Table4[2025-02-02])</f>
        <v>54.25</v>
      </c>
      <c r="DW34">
        <f>SUBTOTAL(101,Table4[2025-02-03])</f>
        <v>54.25</v>
      </c>
      <c r="DX34">
        <f>SUBTOTAL(101,Table4[2025-02-04])</f>
        <v>54.25</v>
      </c>
      <c r="DY34">
        <f>SUBTOTAL(101,Table4[2025-02-05])</f>
        <v>54.25</v>
      </c>
      <c r="DZ34">
        <f>SUBTOTAL(101,Table4[2025-02-06])</f>
        <v>54.25</v>
      </c>
      <c r="EA34">
        <f>SUBTOTAL(101,Table4[2025-02-07])</f>
        <v>54.25</v>
      </c>
      <c r="EB34">
        <f>SUBTOTAL(101,Table4[2025-02-08])</f>
        <v>54.25</v>
      </c>
      <c r="EC34">
        <f>SUBTOTAL(101,Table4[2025-02-09])</f>
        <v>54.25</v>
      </c>
      <c r="ED34">
        <f>SUBTOTAL(101,Table4[2025-02-10])</f>
        <v>54.25</v>
      </c>
      <c r="EE34">
        <f>SUBTOTAL(101,Table4[2025-02-11])</f>
        <v>54.25</v>
      </c>
      <c r="EF34">
        <f>SUBTOTAL(101,Table4[2025-02-12])</f>
        <v>54.25</v>
      </c>
      <c r="EG34">
        <f>SUBTOTAL(101,Table4[2025-02-13])</f>
        <v>54.25</v>
      </c>
      <c r="EH34">
        <f>SUBTOTAL(101,Table4[2025-02-14])</f>
        <v>54.25</v>
      </c>
      <c r="EI34">
        <f>SUBTOTAL(101,Table4[2025-02-15])</f>
        <v>54.25</v>
      </c>
      <c r="EJ34">
        <f>SUBTOTAL(101,Table4[2025-02-16])</f>
        <v>54.25</v>
      </c>
      <c r="EK34">
        <f>SUBTOTAL(101,Table4[2025-02-17])</f>
        <v>54.25</v>
      </c>
      <c r="EL34">
        <f>SUBTOTAL(101,Table4[2025-02-18])</f>
        <v>54.25</v>
      </c>
      <c r="EM34">
        <f>SUBTOTAL(101,Table4[2025-02-19])</f>
        <v>54.25</v>
      </c>
      <c r="EN34">
        <f>SUBTOTAL(101,Table4[2025-02-20])</f>
        <v>54.25</v>
      </c>
      <c r="EO34">
        <f>SUBTOTAL(101,Table4[2025-02-21])</f>
        <v>54.25</v>
      </c>
      <c r="EP34">
        <f>SUBTOTAL(101,Table4[2025-02-22])</f>
        <v>54.25</v>
      </c>
      <c r="EQ34">
        <f>SUBTOTAL(101,Table4[2025-02-23])</f>
        <v>54.25</v>
      </c>
      <c r="ER34">
        <f>SUBTOTAL(101,Table4[2025-02-24])</f>
        <v>54.25</v>
      </c>
      <c r="ES34">
        <f>SUBTOTAL(101,Table4[2025-02-25])</f>
        <v>54.25</v>
      </c>
      <c r="ET34">
        <f>SUBTOTAL(101,Table4[2025-02-26])</f>
        <v>54.25</v>
      </c>
      <c r="EU34">
        <f>SUBTOTAL(101,Table4[2025-02-27])</f>
        <v>54.25</v>
      </c>
      <c r="EV34">
        <f>SUBTOTAL(101,Table4[2025-02-28])</f>
        <v>54.25</v>
      </c>
      <c r="EW34">
        <f>SUBTOTAL(101,Table4[2025-03-01])</f>
        <v>54.25</v>
      </c>
      <c r="EX34">
        <f>SUBTOTAL(101,Table4[2025-03-02])</f>
        <v>54.25</v>
      </c>
      <c r="EY34">
        <f>SUBTOTAL(101,Table4[2025-03-03])</f>
        <v>54.25</v>
      </c>
      <c r="EZ34">
        <f>SUBTOTAL(101,Table4[2025-03-04])</f>
        <v>54.25</v>
      </c>
      <c r="FA34">
        <f>SUBTOTAL(101,Table4[2025-03-05])</f>
        <v>54.25</v>
      </c>
      <c r="FB34">
        <f>SUBTOTAL(101,Table4[2025-03-06])</f>
        <v>54.25</v>
      </c>
      <c r="FC34">
        <f>SUBTOTAL(101,Table4[2025-03-07])</f>
        <v>54.25</v>
      </c>
      <c r="FD34">
        <f>SUBTOTAL(101,Table4[2025-03-08])</f>
        <v>54.25</v>
      </c>
      <c r="FE34">
        <f>SUBTOTAL(101,Table4[2025-03-09])</f>
        <v>54.25</v>
      </c>
      <c r="FF34">
        <f>SUBTOTAL(101,Table4[2025-03-10])</f>
        <v>54.25</v>
      </c>
      <c r="FG34">
        <f>SUBTOTAL(101,Table4[2025-03-11])</f>
        <v>54.25</v>
      </c>
      <c r="FH34">
        <f>SUBTOTAL(101,Table4[2025-03-12])</f>
        <v>54.25</v>
      </c>
      <c r="FI34">
        <f>SUBTOTAL(101,Table4[2025-03-13])</f>
        <v>54.25</v>
      </c>
      <c r="FJ34">
        <f>SUBTOTAL(101,Table4[2025-03-14])</f>
        <v>54.25</v>
      </c>
      <c r="FK34">
        <f>SUBTOTAL(101,Table4[2025-03-15])</f>
        <v>54.25</v>
      </c>
      <c r="FL34">
        <f>SUBTOTAL(101,Table4[2025-03-16])</f>
        <v>54.25</v>
      </c>
      <c r="FM34">
        <f>SUBTOTAL(101,Table4[2025-03-17])</f>
        <v>54.25</v>
      </c>
      <c r="FN34">
        <f>SUBTOTAL(101,Table4[2025-03-18])</f>
        <v>54.25</v>
      </c>
      <c r="FO34">
        <f>SUBTOTAL(101,Table4[2025-03-19])</f>
        <v>54.25</v>
      </c>
      <c r="FP34">
        <f>SUBTOTAL(101,Table4[2025-03-20])</f>
        <v>54.25</v>
      </c>
      <c r="FQ34">
        <f>SUBTOTAL(101,Table4[2025-03-21])</f>
        <v>54.25</v>
      </c>
      <c r="FR34">
        <f>SUBTOTAL(101,Table4[2025-03-22])</f>
        <v>54.25</v>
      </c>
      <c r="FS34">
        <f>SUBTOTAL(101,Table4[2025-03-23])</f>
        <v>54.25</v>
      </c>
      <c r="FT34">
        <f>SUBTOTAL(101,Table4[2025-03-24])</f>
        <v>54.25</v>
      </c>
      <c r="FU34">
        <f>SUBTOTAL(101,Table4[2025-03-25])</f>
        <v>54.25</v>
      </c>
      <c r="FV34">
        <f>SUBTOTAL(101,Table4[2025-03-26])</f>
        <v>54.25</v>
      </c>
      <c r="FW34">
        <f>SUBTOTAL(101,Table4[2025-03-27])</f>
        <v>54.25</v>
      </c>
      <c r="FX34">
        <f>SUBTOTAL(101,Table4[2025-03-28])</f>
        <v>54.25</v>
      </c>
      <c r="FY34">
        <f>SUBTOTAL(101,Table4[2025-03-29])</f>
        <v>54.25</v>
      </c>
      <c r="FZ34">
        <f>SUBTOTAL(101,Table4[2025-03-30])</f>
        <v>54.25</v>
      </c>
      <c r="GA34">
        <f>SUBTOTAL(101,Table4[2025-03-31])</f>
        <v>54.25</v>
      </c>
      <c r="GB34">
        <f>SUBTOTAL(101,Table4[2025-04-01])</f>
        <v>54.25</v>
      </c>
      <c r="GC34">
        <f>SUBTOTAL(101,Table4[2025-04-02])</f>
        <v>54.25</v>
      </c>
      <c r="GD34">
        <f>SUBTOTAL(101,Table4[2025-04-03])</f>
        <v>54.25</v>
      </c>
      <c r="GE34">
        <f>SUBTOTAL(101,Table4[2025-04-04])</f>
        <v>54.25</v>
      </c>
      <c r="GF34">
        <f>SUBTOTAL(101,Table4[2025-04-05])</f>
        <v>54.25</v>
      </c>
      <c r="GG34">
        <f>SUBTOTAL(101,Table4[2025-04-06])</f>
        <v>54.25</v>
      </c>
      <c r="GH34">
        <f>SUBTOTAL(101,Table4[2025-04-07])</f>
        <v>54.25</v>
      </c>
      <c r="GI34">
        <f>SUBTOTAL(101,Table4[2025-04-08])</f>
        <v>54.25</v>
      </c>
      <c r="GJ34">
        <f>SUBTOTAL(101,Table4[2025-04-09])</f>
        <v>54.25</v>
      </c>
      <c r="GK34">
        <f>SUBTOTAL(101,Table4[2025-04-10])</f>
        <v>54.25</v>
      </c>
      <c r="GL34">
        <f>SUBTOTAL(101,Table4[2025-04-11])</f>
        <v>54.25</v>
      </c>
      <c r="GM34">
        <f>SUBTOTAL(101,Table4[2025-04-12])</f>
        <v>54.25</v>
      </c>
      <c r="GN34">
        <f>SUBTOTAL(101,Table4[2025-04-13])</f>
        <v>54.25</v>
      </c>
      <c r="GO34">
        <f>SUBTOTAL(101,Table4[2025-04-14])</f>
        <v>54.25</v>
      </c>
      <c r="GP34">
        <f>SUBTOTAL(101,Table4[2025-04-15])</f>
        <v>54.25</v>
      </c>
      <c r="GQ34">
        <f>SUBTOTAL(101,Table4[2025-04-16])</f>
        <v>54.25</v>
      </c>
      <c r="GR34">
        <f>SUBTOTAL(101,Table4[2025-04-17])</f>
        <v>54.25</v>
      </c>
      <c r="GS34">
        <f>SUBTOTAL(101,Table4[2025-04-18])</f>
        <v>54.25</v>
      </c>
      <c r="GT34">
        <f>SUBTOTAL(101,Table4[2025-04-19])</f>
        <v>54.25</v>
      </c>
      <c r="GU34">
        <f>SUBTOTAL(101,Table4[2025-04-20])</f>
        <v>54.25</v>
      </c>
      <c r="JO34">
        <f>SUBTOTAL(103,Table4[2025-07-01])</f>
        <v>0</v>
      </c>
    </row>
  </sheetData>
  <phoneticPr fontId="1" type="noConversion"/>
  <conditionalFormatting sqref="D2:D33">
    <cfRule type="colorScale" priority="200">
      <colorScale>
        <cfvo type="min"/>
        <cfvo type="percentile" val="50"/>
        <cfvo type="max"/>
        <color rgb="FFF8696B"/>
        <color rgb="FFFFEB84"/>
        <color rgb="FF63BE7B"/>
      </colorScale>
    </cfRule>
  </conditionalFormatting>
  <conditionalFormatting sqref="D2:GU33">
    <cfRule type="colorScale" priority="202">
      <colorScale>
        <cfvo type="min"/>
        <cfvo type="percentile" val="50"/>
        <cfvo type="max"/>
        <color rgb="FFF8696B"/>
        <color rgb="FFFFEB84"/>
        <color rgb="FF63BE7B"/>
      </colorScale>
    </cfRule>
  </conditionalFormatting>
  <conditionalFormatting sqref="E2:E33">
    <cfRule type="colorScale" priority="199">
      <colorScale>
        <cfvo type="min"/>
        <cfvo type="percentile" val="50"/>
        <cfvo type="max"/>
        <color rgb="FFF8696B"/>
        <color rgb="FFFFEB84"/>
        <color rgb="FF63BE7B"/>
      </colorScale>
    </cfRule>
  </conditionalFormatting>
  <conditionalFormatting sqref="F2:F33">
    <cfRule type="colorScale" priority="198">
      <colorScale>
        <cfvo type="min"/>
        <cfvo type="percentile" val="50"/>
        <cfvo type="max"/>
        <color rgb="FFF8696B"/>
        <color rgb="FFFFEB84"/>
        <color rgb="FF63BE7B"/>
      </colorScale>
    </cfRule>
  </conditionalFormatting>
  <conditionalFormatting sqref="G2:G33">
    <cfRule type="colorScale" priority="197">
      <colorScale>
        <cfvo type="min"/>
        <cfvo type="percentile" val="50"/>
        <cfvo type="max"/>
        <color rgb="FFF8696B"/>
        <color rgb="FFFFEB84"/>
        <color rgb="FF63BE7B"/>
      </colorScale>
    </cfRule>
  </conditionalFormatting>
  <conditionalFormatting sqref="H2:H33">
    <cfRule type="colorScale" priority="196">
      <colorScale>
        <cfvo type="min"/>
        <cfvo type="percentile" val="50"/>
        <cfvo type="max"/>
        <color rgb="FFF8696B"/>
        <color rgb="FFFFEB84"/>
        <color rgb="FF63BE7B"/>
      </colorScale>
    </cfRule>
  </conditionalFormatting>
  <conditionalFormatting sqref="I2:I33">
    <cfRule type="colorScale" priority="195">
      <colorScale>
        <cfvo type="min"/>
        <cfvo type="percentile" val="50"/>
        <cfvo type="max"/>
        <color rgb="FFF8696B"/>
        <color rgb="FFFFEB84"/>
        <color rgb="FF63BE7B"/>
      </colorScale>
    </cfRule>
  </conditionalFormatting>
  <conditionalFormatting sqref="J2:J33">
    <cfRule type="colorScale" priority="194">
      <colorScale>
        <cfvo type="min"/>
        <cfvo type="percentile" val="50"/>
        <cfvo type="max"/>
        <color rgb="FFF8696B"/>
        <color rgb="FFFFEB84"/>
        <color rgb="FF63BE7B"/>
      </colorScale>
    </cfRule>
  </conditionalFormatting>
  <conditionalFormatting sqref="K2:K33">
    <cfRule type="colorScale" priority="193">
      <colorScale>
        <cfvo type="min"/>
        <cfvo type="percentile" val="50"/>
        <cfvo type="max"/>
        <color rgb="FFF8696B"/>
        <color rgb="FFFFEB84"/>
        <color rgb="FF63BE7B"/>
      </colorScale>
    </cfRule>
  </conditionalFormatting>
  <conditionalFormatting sqref="L2:L33">
    <cfRule type="colorScale" priority="192">
      <colorScale>
        <cfvo type="min"/>
        <cfvo type="percentile" val="50"/>
        <cfvo type="max"/>
        <color rgb="FFF8696B"/>
        <color rgb="FFFFEB84"/>
        <color rgb="FF63BE7B"/>
      </colorScale>
    </cfRule>
  </conditionalFormatting>
  <conditionalFormatting sqref="M2:M33">
    <cfRule type="colorScale" priority="191">
      <colorScale>
        <cfvo type="min"/>
        <cfvo type="percentile" val="50"/>
        <cfvo type="max"/>
        <color rgb="FFF8696B"/>
        <color rgb="FFFFEB84"/>
        <color rgb="FF63BE7B"/>
      </colorScale>
    </cfRule>
  </conditionalFormatting>
  <conditionalFormatting sqref="N2:N33">
    <cfRule type="colorScale" priority="190">
      <colorScale>
        <cfvo type="min"/>
        <cfvo type="percentile" val="50"/>
        <cfvo type="max"/>
        <color rgb="FFF8696B"/>
        <color rgb="FFFFEB84"/>
        <color rgb="FF63BE7B"/>
      </colorScale>
    </cfRule>
  </conditionalFormatting>
  <conditionalFormatting sqref="O2:O33">
    <cfRule type="colorScale" priority="189">
      <colorScale>
        <cfvo type="min"/>
        <cfvo type="percentile" val="50"/>
        <cfvo type="max"/>
        <color rgb="FFF8696B"/>
        <color rgb="FFFFEB84"/>
        <color rgb="FF63BE7B"/>
      </colorScale>
    </cfRule>
  </conditionalFormatting>
  <conditionalFormatting sqref="P2:P33">
    <cfRule type="colorScale" priority="188">
      <colorScale>
        <cfvo type="min"/>
        <cfvo type="percentile" val="50"/>
        <cfvo type="max"/>
        <color rgb="FFF8696B"/>
        <color rgb="FFFFEB84"/>
        <color rgb="FF63BE7B"/>
      </colorScale>
    </cfRule>
  </conditionalFormatting>
  <conditionalFormatting sqref="Q2:Q33">
    <cfRule type="colorScale" priority="187">
      <colorScale>
        <cfvo type="min"/>
        <cfvo type="percentile" val="50"/>
        <cfvo type="max"/>
        <color rgb="FFF8696B"/>
        <color rgb="FFFFEB84"/>
        <color rgb="FF63BE7B"/>
      </colorScale>
    </cfRule>
  </conditionalFormatting>
  <conditionalFormatting sqref="R2:R33">
    <cfRule type="colorScale" priority="186">
      <colorScale>
        <cfvo type="min"/>
        <cfvo type="percentile" val="50"/>
        <cfvo type="max"/>
        <color rgb="FFF8696B"/>
        <color rgb="FFFFEB84"/>
        <color rgb="FF63BE7B"/>
      </colorScale>
    </cfRule>
  </conditionalFormatting>
  <conditionalFormatting sqref="S2:S33">
    <cfRule type="colorScale" priority="185">
      <colorScale>
        <cfvo type="min"/>
        <cfvo type="percentile" val="50"/>
        <cfvo type="max"/>
        <color rgb="FFF8696B"/>
        <color rgb="FFFFEB84"/>
        <color rgb="FF63BE7B"/>
      </colorScale>
    </cfRule>
  </conditionalFormatting>
  <conditionalFormatting sqref="T2:T33">
    <cfRule type="colorScale" priority="184">
      <colorScale>
        <cfvo type="min"/>
        <cfvo type="percentile" val="50"/>
        <cfvo type="max"/>
        <color rgb="FFF8696B"/>
        <color rgb="FFFFEB84"/>
        <color rgb="FF63BE7B"/>
      </colorScale>
    </cfRule>
  </conditionalFormatting>
  <conditionalFormatting sqref="U2:U33">
    <cfRule type="colorScale" priority="183">
      <colorScale>
        <cfvo type="min"/>
        <cfvo type="percentile" val="50"/>
        <cfvo type="max"/>
        <color rgb="FFF8696B"/>
        <color rgb="FFFFEB84"/>
        <color rgb="FF63BE7B"/>
      </colorScale>
    </cfRule>
  </conditionalFormatting>
  <conditionalFormatting sqref="V2:V33">
    <cfRule type="colorScale" priority="182">
      <colorScale>
        <cfvo type="min"/>
        <cfvo type="percentile" val="50"/>
        <cfvo type="max"/>
        <color rgb="FFF8696B"/>
        <color rgb="FFFFEB84"/>
        <color rgb="FF63BE7B"/>
      </colorScale>
    </cfRule>
  </conditionalFormatting>
  <conditionalFormatting sqref="W2:W33">
    <cfRule type="colorScale" priority="181">
      <colorScale>
        <cfvo type="min"/>
        <cfvo type="percentile" val="50"/>
        <cfvo type="max"/>
        <color rgb="FFF8696B"/>
        <color rgb="FFFFEB84"/>
        <color rgb="FF63BE7B"/>
      </colorScale>
    </cfRule>
  </conditionalFormatting>
  <conditionalFormatting sqref="X2:X33">
    <cfRule type="colorScale" priority="180">
      <colorScale>
        <cfvo type="min"/>
        <cfvo type="percentile" val="50"/>
        <cfvo type="max"/>
        <color rgb="FFF8696B"/>
        <color rgb="FFFFEB84"/>
        <color rgb="FF63BE7B"/>
      </colorScale>
    </cfRule>
  </conditionalFormatting>
  <conditionalFormatting sqref="Y2:Y33">
    <cfRule type="colorScale" priority="179">
      <colorScale>
        <cfvo type="min"/>
        <cfvo type="percentile" val="50"/>
        <cfvo type="max"/>
        <color rgb="FFF8696B"/>
        <color rgb="FFFFEB84"/>
        <color rgb="FF63BE7B"/>
      </colorScale>
    </cfRule>
  </conditionalFormatting>
  <conditionalFormatting sqref="Z2:Z33">
    <cfRule type="colorScale" priority="178">
      <colorScale>
        <cfvo type="min"/>
        <cfvo type="percentile" val="50"/>
        <cfvo type="max"/>
        <color rgb="FFF8696B"/>
        <color rgb="FFFFEB84"/>
        <color rgb="FF63BE7B"/>
      </colorScale>
    </cfRule>
  </conditionalFormatting>
  <conditionalFormatting sqref="AA2:AA33">
    <cfRule type="colorScale" priority="177">
      <colorScale>
        <cfvo type="min"/>
        <cfvo type="percentile" val="50"/>
        <cfvo type="max"/>
        <color rgb="FFF8696B"/>
        <color rgb="FFFFEB84"/>
        <color rgb="FF63BE7B"/>
      </colorScale>
    </cfRule>
  </conditionalFormatting>
  <conditionalFormatting sqref="AB2:AB33">
    <cfRule type="colorScale" priority="176">
      <colorScale>
        <cfvo type="min"/>
        <cfvo type="percentile" val="50"/>
        <cfvo type="max"/>
        <color rgb="FFF8696B"/>
        <color rgb="FFFFEB84"/>
        <color rgb="FF63BE7B"/>
      </colorScale>
    </cfRule>
  </conditionalFormatting>
  <conditionalFormatting sqref="AC2:AC33">
    <cfRule type="colorScale" priority="175">
      <colorScale>
        <cfvo type="min"/>
        <cfvo type="percentile" val="50"/>
        <cfvo type="max"/>
        <color rgb="FFF8696B"/>
        <color rgb="FFFFEB84"/>
        <color rgb="FF63BE7B"/>
      </colorScale>
    </cfRule>
  </conditionalFormatting>
  <conditionalFormatting sqref="AD2:AD33">
    <cfRule type="colorScale" priority="174">
      <colorScale>
        <cfvo type="min"/>
        <cfvo type="percentile" val="50"/>
        <cfvo type="max"/>
        <color rgb="FFF8696B"/>
        <color rgb="FFFFEB84"/>
        <color rgb="FF63BE7B"/>
      </colorScale>
    </cfRule>
  </conditionalFormatting>
  <conditionalFormatting sqref="AE2:AE33">
    <cfRule type="colorScale" priority="173">
      <colorScale>
        <cfvo type="min"/>
        <cfvo type="percentile" val="50"/>
        <cfvo type="max"/>
        <color rgb="FFF8696B"/>
        <color rgb="FFFFEB84"/>
        <color rgb="FF63BE7B"/>
      </colorScale>
    </cfRule>
  </conditionalFormatting>
  <conditionalFormatting sqref="AF2:AF33">
    <cfRule type="colorScale" priority="172">
      <colorScale>
        <cfvo type="min"/>
        <cfvo type="percentile" val="50"/>
        <cfvo type="max"/>
        <color rgb="FFF8696B"/>
        <color rgb="FFFFEB84"/>
        <color rgb="FF63BE7B"/>
      </colorScale>
    </cfRule>
  </conditionalFormatting>
  <conditionalFormatting sqref="AG2:AG33">
    <cfRule type="colorScale" priority="171">
      <colorScale>
        <cfvo type="min"/>
        <cfvo type="percentile" val="50"/>
        <cfvo type="max"/>
        <color rgb="FFF8696B"/>
        <color rgb="FFFFEB84"/>
        <color rgb="FF63BE7B"/>
      </colorScale>
    </cfRule>
  </conditionalFormatting>
  <conditionalFormatting sqref="AH2:AH33">
    <cfRule type="colorScale" priority="170">
      <colorScale>
        <cfvo type="min"/>
        <cfvo type="percentile" val="50"/>
        <cfvo type="max"/>
        <color rgb="FFF8696B"/>
        <color rgb="FFFFEB84"/>
        <color rgb="FF63BE7B"/>
      </colorScale>
    </cfRule>
  </conditionalFormatting>
  <conditionalFormatting sqref="AI2:AI33">
    <cfRule type="colorScale" priority="169">
      <colorScale>
        <cfvo type="min"/>
        <cfvo type="percentile" val="50"/>
        <cfvo type="max"/>
        <color rgb="FFF8696B"/>
        <color rgb="FFFFEB84"/>
        <color rgb="FF63BE7B"/>
      </colorScale>
    </cfRule>
  </conditionalFormatting>
  <conditionalFormatting sqref="AJ2:AJ33">
    <cfRule type="colorScale" priority="168">
      <colorScale>
        <cfvo type="min"/>
        <cfvo type="percentile" val="50"/>
        <cfvo type="max"/>
        <color rgb="FFF8696B"/>
        <color rgb="FFFFEB84"/>
        <color rgb="FF63BE7B"/>
      </colorScale>
    </cfRule>
  </conditionalFormatting>
  <conditionalFormatting sqref="AK2:AK33">
    <cfRule type="colorScale" priority="167">
      <colorScale>
        <cfvo type="min"/>
        <cfvo type="percentile" val="50"/>
        <cfvo type="max"/>
        <color rgb="FFF8696B"/>
        <color rgb="FFFFEB84"/>
        <color rgb="FF63BE7B"/>
      </colorScale>
    </cfRule>
  </conditionalFormatting>
  <conditionalFormatting sqref="AL2:AL33">
    <cfRule type="colorScale" priority="166">
      <colorScale>
        <cfvo type="min"/>
        <cfvo type="percentile" val="50"/>
        <cfvo type="max"/>
        <color rgb="FFF8696B"/>
        <color rgb="FFFFEB84"/>
        <color rgb="FF63BE7B"/>
      </colorScale>
    </cfRule>
  </conditionalFormatting>
  <conditionalFormatting sqref="AM2:AM33">
    <cfRule type="colorScale" priority="165">
      <colorScale>
        <cfvo type="min"/>
        <cfvo type="percentile" val="50"/>
        <cfvo type="max"/>
        <color rgb="FFF8696B"/>
        <color rgb="FFFFEB84"/>
        <color rgb="FF63BE7B"/>
      </colorScale>
    </cfRule>
  </conditionalFormatting>
  <conditionalFormatting sqref="AN2:AN33">
    <cfRule type="colorScale" priority="164">
      <colorScale>
        <cfvo type="min"/>
        <cfvo type="percentile" val="50"/>
        <cfvo type="max"/>
        <color rgb="FFF8696B"/>
        <color rgb="FFFFEB84"/>
        <color rgb="FF63BE7B"/>
      </colorScale>
    </cfRule>
  </conditionalFormatting>
  <conditionalFormatting sqref="AO2:AO33">
    <cfRule type="colorScale" priority="163">
      <colorScale>
        <cfvo type="min"/>
        <cfvo type="percentile" val="50"/>
        <cfvo type="max"/>
        <color rgb="FFF8696B"/>
        <color rgb="FFFFEB84"/>
        <color rgb="FF63BE7B"/>
      </colorScale>
    </cfRule>
  </conditionalFormatting>
  <conditionalFormatting sqref="AP2:AP33">
    <cfRule type="colorScale" priority="162">
      <colorScale>
        <cfvo type="min"/>
        <cfvo type="percentile" val="50"/>
        <cfvo type="max"/>
        <color rgb="FFF8696B"/>
        <color rgb="FFFFEB84"/>
        <color rgb="FF63BE7B"/>
      </colorScale>
    </cfRule>
  </conditionalFormatting>
  <conditionalFormatting sqref="AQ2:AQ33">
    <cfRule type="colorScale" priority="161">
      <colorScale>
        <cfvo type="min"/>
        <cfvo type="percentile" val="50"/>
        <cfvo type="max"/>
        <color rgb="FFF8696B"/>
        <color rgb="FFFFEB84"/>
        <color rgb="FF63BE7B"/>
      </colorScale>
    </cfRule>
  </conditionalFormatting>
  <conditionalFormatting sqref="AR2:AR33">
    <cfRule type="colorScale" priority="160">
      <colorScale>
        <cfvo type="min"/>
        <cfvo type="percentile" val="50"/>
        <cfvo type="max"/>
        <color rgb="FFF8696B"/>
        <color rgb="FFFFEB84"/>
        <color rgb="FF63BE7B"/>
      </colorScale>
    </cfRule>
  </conditionalFormatting>
  <conditionalFormatting sqref="AS2:AS33">
    <cfRule type="colorScale" priority="159">
      <colorScale>
        <cfvo type="min"/>
        <cfvo type="percentile" val="50"/>
        <cfvo type="max"/>
        <color rgb="FFF8696B"/>
        <color rgb="FFFFEB84"/>
        <color rgb="FF63BE7B"/>
      </colorScale>
    </cfRule>
  </conditionalFormatting>
  <conditionalFormatting sqref="AT2:AT33">
    <cfRule type="colorScale" priority="158">
      <colorScale>
        <cfvo type="min"/>
        <cfvo type="percentile" val="50"/>
        <cfvo type="max"/>
        <color rgb="FFF8696B"/>
        <color rgb="FFFFEB84"/>
        <color rgb="FF63BE7B"/>
      </colorScale>
    </cfRule>
  </conditionalFormatting>
  <conditionalFormatting sqref="AU2:AU33">
    <cfRule type="colorScale" priority="157">
      <colorScale>
        <cfvo type="min"/>
        <cfvo type="percentile" val="50"/>
        <cfvo type="max"/>
        <color rgb="FFF8696B"/>
        <color rgb="FFFFEB84"/>
        <color rgb="FF63BE7B"/>
      </colorScale>
    </cfRule>
  </conditionalFormatting>
  <conditionalFormatting sqref="AV2:AV33">
    <cfRule type="colorScale" priority="156">
      <colorScale>
        <cfvo type="min"/>
        <cfvo type="percentile" val="50"/>
        <cfvo type="max"/>
        <color rgb="FFF8696B"/>
        <color rgb="FFFFEB84"/>
        <color rgb="FF63BE7B"/>
      </colorScale>
    </cfRule>
  </conditionalFormatting>
  <conditionalFormatting sqref="AW2:AW33">
    <cfRule type="colorScale" priority="155">
      <colorScale>
        <cfvo type="min"/>
        <cfvo type="percentile" val="50"/>
        <cfvo type="max"/>
        <color rgb="FFF8696B"/>
        <color rgb="FFFFEB84"/>
        <color rgb="FF63BE7B"/>
      </colorScale>
    </cfRule>
  </conditionalFormatting>
  <conditionalFormatting sqref="AX2:AX33">
    <cfRule type="colorScale" priority="154">
      <colorScale>
        <cfvo type="min"/>
        <cfvo type="percentile" val="50"/>
        <cfvo type="max"/>
        <color rgb="FFF8696B"/>
        <color rgb="FFFFEB84"/>
        <color rgb="FF63BE7B"/>
      </colorScale>
    </cfRule>
  </conditionalFormatting>
  <conditionalFormatting sqref="AY2:AY33">
    <cfRule type="colorScale" priority="153">
      <colorScale>
        <cfvo type="min"/>
        <cfvo type="percentile" val="50"/>
        <cfvo type="max"/>
        <color rgb="FFF8696B"/>
        <color rgb="FFFFEB84"/>
        <color rgb="FF63BE7B"/>
      </colorScale>
    </cfRule>
  </conditionalFormatting>
  <conditionalFormatting sqref="AZ2:AZ33">
    <cfRule type="colorScale" priority="152">
      <colorScale>
        <cfvo type="min"/>
        <cfvo type="percentile" val="50"/>
        <cfvo type="max"/>
        <color rgb="FFF8696B"/>
        <color rgb="FFFFEB84"/>
        <color rgb="FF63BE7B"/>
      </colorScale>
    </cfRule>
  </conditionalFormatting>
  <conditionalFormatting sqref="BA2:BA33">
    <cfRule type="colorScale" priority="151">
      <colorScale>
        <cfvo type="min"/>
        <cfvo type="percentile" val="50"/>
        <cfvo type="max"/>
        <color rgb="FFF8696B"/>
        <color rgb="FFFFEB84"/>
        <color rgb="FF63BE7B"/>
      </colorScale>
    </cfRule>
  </conditionalFormatting>
  <conditionalFormatting sqref="BB2:BB33">
    <cfRule type="colorScale" priority="150">
      <colorScale>
        <cfvo type="min"/>
        <cfvo type="percentile" val="50"/>
        <cfvo type="max"/>
        <color rgb="FFF8696B"/>
        <color rgb="FFFFEB84"/>
        <color rgb="FF63BE7B"/>
      </colorScale>
    </cfRule>
  </conditionalFormatting>
  <conditionalFormatting sqref="BC2:BC33">
    <cfRule type="colorScale" priority="149">
      <colorScale>
        <cfvo type="min"/>
        <cfvo type="percentile" val="50"/>
        <cfvo type="max"/>
        <color rgb="FFF8696B"/>
        <color rgb="FFFFEB84"/>
        <color rgb="FF63BE7B"/>
      </colorScale>
    </cfRule>
  </conditionalFormatting>
  <conditionalFormatting sqref="BD2:BD33">
    <cfRule type="colorScale" priority="148">
      <colorScale>
        <cfvo type="min"/>
        <cfvo type="percentile" val="50"/>
        <cfvo type="max"/>
        <color rgb="FFF8696B"/>
        <color rgb="FFFFEB84"/>
        <color rgb="FF63BE7B"/>
      </colorScale>
    </cfRule>
  </conditionalFormatting>
  <conditionalFormatting sqref="BE2:BE33">
    <cfRule type="colorScale" priority="147">
      <colorScale>
        <cfvo type="min"/>
        <cfvo type="percentile" val="50"/>
        <cfvo type="max"/>
        <color rgb="FFF8696B"/>
        <color rgb="FFFFEB84"/>
        <color rgb="FF63BE7B"/>
      </colorScale>
    </cfRule>
  </conditionalFormatting>
  <conditionalFormatting sqref="BF2:BF33">
    <cfRule type="colorScale" priority="146">
      <colorScale>
        <cfvo type="min"/>
        <cfvo type="percentile" val="50"/>
        <cfvo type="max"/>
        <color rgb="FFF8696B"/>
        <color rgb="FFFFEB84"/>
        <color rgb="FF63BE7B"/>
      </colorScale>
    </cfRule>
  </conditionalFormatting>
  <conditionalFormatting sqref="BG2:BG33">
    <cfRule type="colorScale" priority="145">
      <colorScale>
        <cfvo type="min"/>
        <cfvo type="percentile" val="50"/>
        <cfvo type="max"/>
        <color rgb="FFF8696B"/>
        <color rgb="FFFFEB84"/>
        <color rgb="FF63BE7B"/>
      </colorScale>
    </cfRule>
  </conditionalFormatting>
  <conditionalFormatting sqref="BH2:BH33">
    <cfRule type="colorScale" priority="144">
      <colorScale>
        <cfvo type="min"/>
        <cfvo type="percentile" val="50"/>
        <cfvo type="max"/>
        <color rgb="FFF8696B"/>
        <color rgb="FFFFEB84"/>
        <color rgb="FF63BE7B"/>
      </colorScale>
    </cfRule>
  </conditionalFormatting>
  <conditionalFormatting sqref="BI2:BI33">
    <cfRule type="colorScale" priority="143">
      <colorScale>
        <cfvo type="min"/>
        <cfvo type="percentile" val="50"/>
        <cfvo type="max"/>
        <color rgb="FFF8696B"/>
        <color rgb="FFFFEB84"/>
        <color rgb="FF63BE7B"/>
      </colorScale>
    </cfRule>
  </conditionalFormatting>
  <conditionalFormatting sqref="BJ2:BJ33">
    <cfRule type="colorScale" priority="142">
      <colorScale>
        <cfvo type="min"/>
        <cfvo type="percentile" val="50"/>
        <cfvo type="max"/>
        <color rgb="FFF8696B"/>
        <color rgb="FFFFEB84"/>
        <color rgb="FF63BE7B"/>
      </colorScale>
    </cfRule>
  </conditionalFormatting>
  <conditionalFormatting sqref="BK2:BK33">
    <cfRule type="colorScale" priority="141">
      <colorScale>
        <cfvo type="min"/>
        <cfvo type="percentile" val="50"/>
        <cfvo type="max"/>
        <color rgb="FFF8696B"/>
        <color rgb="FFFFEB84"/>
        <color rgb="FF63BE7B"/>
      </colorScale>
    </cfRule>
  </conditionalFormatting>
  <conditionalFormatting sqref="BL2:BL33">
    <cfRule type="colorScale" priority="140">
      <colorScale>
        <cfvo type="min"/>
        <cfvo type="percentile" val="50"/>
        <cfvo type="max"/>
        <color rgb="FFF8696B"/>
        <color rgb="FFFFEB84"/>
        <color rgb="FF63BE7B"/>
      </colorScale>
    </cfRule>
  </conditionalFormatting>
  <conditionalFormatting sqref="BM2:BM33">
    <cfRule type="colorScale" priority="139">
      <colorScale>
        <cfvo type="min"/>
        <cfvo type="percentile" val="50"/>
        <cfvo type="max"/>
        <color rgb="FFF8696B"/>
        <color rgb="FFFFEB84"/>
        <color rgb="FF63BE7B"/>
      </colorScale>
    </cfRule>
  </conditionalFormatting>
  <conditionalFormatting sqref="BN2:BN33">
    <cfRule type="colorScale" priority="138">
      <colorScale>
        <cfvo type="min"/>
        <cfvo type="percentile" val="50"/>
        <cfvo type="max"/>
        <color rgb="FFF8696B"/>
        <color rgb="FFFFEB84"/>
        <color rgb="FF63BE7B"/>
      </colorScale>
    </cfRule>
  </conditionalFormatting>
  <conditionalFormatting sqref="BO2:BO33">
    <cfRule type="colorScale" priority="137">
      <colorScale>
        <cfvo type="min"/>
        <cfvo type="percentile" val="50"/>
        <cfvo type="max"/>
        <color rgb="FFF8696B"/>
        <color rgb="FFFFEB84"/>
        <color rgb="FF63BE7B"/>
      </colorScale>
    </cfRule>
  </conditionalFormatting>
  <conditionalFormatting sqref="BP2:BP33">
    <cfRule type="colorScale" priority="136">
      <colorScale>
        <cfvo type="min"/>
        <cfvo type="percentile" val="50"/>
        <cfvo type="max"/>
        <color rgb="FFF8696B"/>
        <color rgb="FFFFEB84"/>
        <color rgb="FF63BE7B"/>
      </colorScale>
    </cfRule>
  </conditionalFormatting>
  <conditionalFormatting sqref="BQ2:BQ33">
    <cfRule type="colorScale" priority="135">
      <colorScale>
        <cfvo type="min"/>
        <cfvo type="percentile" val="50"/>
        <cfvo type="max"/>
        <color rgb="FFF8696B"/>
        <color rgb="FFFFEB84"/>
        <color rgb="FF63BE7B"/>
      </colorScale>
    </cfRule>
  </conditionalFormatting>
  <conditionalFormatting sqref="BR2:BR33">
    <cfRule type="colorScale" priority="134">
      <colorScale>
        <cfvo type="min"/>
        <cfvo type="percentile" val="50"/>
        <cfvo type="max"/>
        <color rgb="FFF8696B"/>
        <color rgb="FFFFEB84"/>
        <color rgb="FF63BE7B"/>
      </colorScale>
    </cfRule>
  </conditionalFormatting>
  <conditionalFormatting sqref="BS2:BS33">
    <cfRule type="colorScale" priority="133">
      <colorScale>
        <cfvo type="min"/>
        <cfvo type="percentile" val="50"/>
        <cfvo type="max"/>
        <color rgb="FFF8696B"/>
        <color rgb="FFFFEB84"/>
        <color rgb="FF63BE7B"/>
      </colorScale>
    </cfRule>
  </conditionalFormatting>
  <conditionalFormatting sqref="BT2:BT33">
    <cfRule type="colorScale" priority="132">
      <colorScale>
        <cfvo type="min"/>
        <cfvo type="percentile" val="50"/>
        <cfvo type="max"/>
        <color rgb="FFF8696B"/>
        <color rgb="FFFFEB84"/>
        <color rgb="FF63BE7B"/>
      </colorScale>
    </cfRule>
  </conditionalFormatting>
  <conditionalFormatting sqref="BU2:BU33">
    <cfRule type="colorScale" priority="131">
      <colorScale>
        <cfvo type="min"/>
        <cfvo type="percentile" val="50"/>
        <cfvo type="max"/>
        <color rgb="FFF8696B"/>
        <color rgb="FFFFEB84"/>
        <color rgb="FF63BE7B"/>
      </colorScale>
    </cfRule>
  </conditionalFormatting>
  <conditionalFormatting sqref="BV2:BV33">
    <cfRule type="colorScale" priority="130">
      <colorScale>
        <cfvo type="min"/>
        <cfvo type="percentile" val="50"/>
        <cfvo type="max"/>
        <color rgb="FFF8696B"/>
        <color rgb="FFFFEB84"/>
        <color rgb="FF63BE7B"/>
      </colorScale>
    </cfRule>
  </conditionalFormatting>
  <conditionalFormatting sqref="BW2:BW33">
    <cfRule type="colorScale" priority="129">
      <colorScale>
        <cfvo type="min"/>
        <cfvo type="percentile" val="50"/>
        <cfvo type="max"/>
        <color rgb="FFF8696B"/>
        <color rgb="FFFFEB84"/>
        <color rgb="FF63BE7B"/>
      </colorScale>
    </cfRule>
  </conditionalFormatting>
  <conditionalFormatting sqref="BX2:BX33">
    <cfRule type="colorScale" priority="128">
      <colorScale>
        <cfvo type="min"/>
        <cfvo type="percentile" val="50"/>
        <cfvo type="max"/>
        <color rgb="FFF8696B"/>
        <color rgb="FFFFEB84"/>
        <color rgb="FF63BE7B"/>
      </colorScale>
    </cfRule>
  </conditionalFormatting>
  <conditionalFormatting sqref="BY2:BY33">
    <cfRule type="colorScale" priority="127">
      <colorScale>
        <cfvo type="min"/>
        <cfvo type="percentile" val="50"/>
        <cfvo type="max"/>
        <color rgb="FFF8696B"/>
        <color rgb="FFFFEB84"/>
        <color rgb="FF63BE7B"/>
      </colorScale>
    </cfRule>
  </conditionalFormatting>
  <conditionalFormatting sqref="BZ2:BZ33">
    <cfRule type="colorScale" priority="126">
      <colorScale>
        <cfvo type="min"/>
        <cfvo type="percentile" val="50"/>
        <cfvo type="max"/>
        <color rgb="FFF8696B"/>
        <color rgb="FFFFEB84"/>
        <color rgb="FF63BE7B"/>
      </colorScale>
    </cfRule>
  </conditionalFormatting>
  <conditionalFormatting sqref="CA2:CA33">
    <cfRule type="colorScale" priority="125">
      <colorScale>
        <cfvo type="min"/>
        <cfvo type="percentile" val="50"/>
        <cfvo type="max"/>
        <color rgb="FFF8696B"/>
        <color rgb="FFFFEB84"/>
        <color rgb="FF63BE7B"/>
      </colorScale>
    </cfRule>
  </conditionalFormatting>
  <conditionalFormatting sqref="CB2:CB33">
    <cfRule type="colorScale" priority="124">
      <colorScale>
        <cfvo type="min"/>
        <cfvo type="percentile" val="50"/>
        <cfvo type="max"/>
        <color rgb="FFF8696B"/>
        <color rgb="FFFFEB84"/>
        <color rgb="FF63BE7B"/>
      </colorScale>
    </cfRule>
  </conditionalFormatting>
  <conditionalFormatting sqref="CC2:CC33">
    <cfRule type="colorScale" priority="123">
      <colorScale>
        <cfvo type="min"/>
        <cfvo type="percentile" val="50"/>
        <cfvo type="max"/>
        <color rgb="FFF8696B"/>
        <color rgb="FFFFEB84"/>
        <color rgb="FF63BE7B"/>
      </colorScale>
    </cfRule>
  </conditionalFormatting>
  <conditionalFormatting sqref="CD2:CD33">
    <cfRule type="colorScale" priority="122">
      <colorScale>
        <cfvo type="min"/>
        <cfvo type="percentile" val="50"/>
        <cfvo type="max"/>
        <color rgb="FFF8696B"/>
        <color rgb="FFFFEB84"/>
        <color rgb="FF63BE7B"/>
      </colorScale>
    </cfRule>
  </conditionalFormatting>
  <conditionalFormatting sqref="CE2:CE33">
    <cfRule type="colorScale" priority="121">
      <colorScale>
        <cfvo type="min"/>
        <cfvo type="percentile" val="50"/>
        <cfvo type="max"/>
        <color rgb="FFF8696B"/>
        <color rgb="FFFFEB84"/>
        <color rgb="FF63BE7B"/>
      </colorScale>
    </cfRule>
  </conditionalFormatting>
  <conditionalFormatting sqref="CF2:CF33">
    <cfRule type="colorScale" priority="120">
      <colorScale>
        <cfvo type="min"/>
        <cfvo type="percentile" val="50"/>
        <cfvo type="max"/>
        <color rgb="FFF8696B"/>
        <color rgb="FFFFEB84"/>
        <color rgb="FF63BE7B"/>
      </colorScale>
    </cfRule>
  </conditionalFormatting>
  <conditionalFormatting sqref="CG2:CG33">
    <cfRule type="colorScale" priority="119">
      <colorScale>
        <cfvo type="min"/>
        <cfvo type="percentile" val="50"/>
        <cfvo type="max"/>
        <color rgb="FFF8696B"/>
        <color rgb="FFFFEB84"/>
        <color rgb="FF63BE7B"/>
      </colorScale>
    </cfRule>
  </conditionalFormatting>
  <conditionalFormatting sqref="CH2:CH33">
    <cfRule type="colorScale" priority="118">
      <colorScale>
        <cfvo type="min"/>
        <cfvo type="percentile" val="50"/>
        <cfvo type="max"/>
        <color rgb="FFF8696B"/>
        <color rgb="FFFFEB84"/>
        <color rgb="FF63BE7B"/>
      </colorScale>
    </cfRule>
  </conditionalFormatting>
  <conditionalFormatting sqref="CI2:CI33">
    <cfRule type="colorScale" priority="117">
      <colorScale>
        <cfvo type="min"/>
        <cfvo type="percentile" val="50"/>
        <cfvo type="max"/>
        <color rgb="FFF8696B"/>
        <color rgb="FFFFEB84"/>
        <color rgb="FF63BE7B"/>
      </colorScale>
    </cfRule>
  </conditionalFormatting>
  <conditionalFormatting sqref="CJ2:CJ33">
    <cfRule type="colorScale" priority="116">
      <colorScale>
        <cfvo type="min"/>
        <cfvo type="percentile" val="50"/>
        <cfvo type="max"/>
        <color rgb="FFF8696B"/>
        <color rgb="FFFFEB84"/>
        <color rgb="FF63BE7B"/>
      </colorScale>
    </cfRule>
  </conditionalFormatting>
  <conditionalFormatting sqref="CK2:CK33">
    <cfRule type="colorScale" priority="115">
      <colorScale>
        <cfvo type="min"/>
        <cfvo type="percentile" val="50"/>
        <cfvo type="max"/>
        <color rgb="FFF8696B"/>
        <color rgb="FFFFEB84"/>
        <color rgb="FF63BE7B"/>
      </colorScale>
    </cfRule>
  </conditionalFormatting>
  <conditionalFormatting sqref="CL2:CL33">
    <cfRule type="colorScale" priority="114">
      <colorScale>
        <cfvo type="min"/>
        <cfvo type="percentile" val="50"/>
        <cfvo type="max"/>
        <color rgb="FFF8696B"/>
        <color rgb="FFFFEB84"/>
        <color rgb="FF63BE7B"/>
      </colorScale>
    </cfRule>
  </conditionalFormatting>
  <conditionalFormatting sqref="CM2:CM33">
    <cfRule type="colorScale" priority="113">
      <colorScale>
        <cfvo type="min"/>
        <cfvo type="percentile" val="50"/>
        <cfvo type="max"/>
        <color rgb="FFF8696B"/>
        <color rgb="FFFFEB84"/>
        <color rgb="FF63BE7B"/>
      </colorScale>
    </cfRule>
  </conditionalFormatting>
  <conditionalFormatting sqref="CN2:CN33">
    <cfRule type="colorScale" priority="112">
      <colorScale>
        <cfvo type="min"/>
        <cfvo type="percentile" val="50"/>
        <cfvo type="max"/>
        <color rgb="FFF8696B"/>
        <color rgb="FFFFEB84"/>
        <color rgb="FF63BE7B"/>
      </colorScale>
    </cfRule>
  </conditionalFormatting>
  <conditionalFormatting sqref="CO2:CO33">
    <cfRule type="colorScale" priority="111">
      <colorScale>
        <cfvo type="min"/>
        <cfvo type="percentile" val="50"/>
        <cfvo type="max"/>
        <color rgb="FFF8696B"/>
        <color rgb="FFFFEB84"/>
        <color rgb="FF63BE7B"/>
      </colorScale>
    </cfRule>
  </conditionalFormatting>
  <conditionalFormatting sqref="CP2:CP33">
    <cfRule type="colorScale" priority="110">
      <colorScale>
        <cfvo type="min"/>
        <cfvo type="percentile" val="50"/>
        <cfvo type="max"/>
        <color rgb="FFF8696B"/>
        <color rgb="FFFFEB84"/>
        <color rgb="FF63BE7B"/>
      </colorScale>
    </cfRule>
  </conditionalFormatting>
  <conditionalFormatting sqref="CQ2:CQ33">
    <cfRule type="colorScale" priority="109">
      <colorScale>
        <cfvo type="min"/>
        <cfvo type="percentile" val="50"/>
        <cfvo type="max"/>
        <color rgb="FFF8696B"/>
        <color rgb="FFFFEB84"/>
        <color rgb="FF63BE7B"/>
      </colorScale>
    </cfRule>
  </conditionalFormatting>
  <conditionalFormatting sqref="CR2:CR33">
    <cfRule type="colorScale" priority="108">
      <colorScale>
        <cfvo type="min"/>
        <cfvo type="percentile" val="50"/>
        <cfvo type="max"/>
        <color rgb="FFF8696B"/>
        <color rgb="FFFFEB84"/>
        <color rgb="FF63BE7B"/>
      </colorScale>
    </cfRule>
  </conditionalFormatting>
  <conditionalFormatting sqref="CS2:CS33">
    <cfRule type="colorScale" priority="107">
      <colorScale>
        <cfvo type="min"/>
        <cfvo type="percentile" val="50"/>
        <cfvo type="max"/>
        <color rgb="FFF8696B"/>
        <color rgb="FFFFEB84"/>
        <color rgb="FF63BE7B"/>
      </colorScale>
    </cfRule>
  </conditionalFormatting>
  <conditionalFormatting sqref="CT2:CT33">
    <cfRule type="colorScale" priority="106">
      <colorScale>
        <cfvo type="min"/>
        <cfvo type="percentile" val="50"/>
        <cfvo type="max"/>
        <color rgb="FFF8696B"/>
        <color rgb="FFFFEB84"/>
        <color rgb="FF63BE7B"/>
      </colorScale>
    </cfRule>
  </conditionalFormatting>
  <conditionalFormatting sqref="CU2:CU33">
    <cfRule type="colorScale" priority="105">
      <colorScale>
        <cfvo type="min"/>
        <cfvo type="percentile" val="50"/>
        <cfvo type="max"/>
        <color rgb="FFF8696B"/>
        <color rgb="FFFFEB84"/>
        <color rgb="FF63BE7B"/>
      </colorScale>
    </cfRule>
  </conditionalFormatting>
  <conditionalFormatting sqref="CV2:CV33">
    <cfRule type="colorScale" priority="104">
      <colorScale>
        <cfvo type="min"/>
        <cfvo type="percentile" val="50"/>
        <cfvo type="max"/>
        <color rgb="FFF8696B"/>
        <color rgb="FFFFEB84"/>
        <color rgb="FF63BE7B"/>
      </colorScale>
    </cfRule>
  </conditionalFormatting>
  <conditionalFormatting sqref="CW2:CW33">
    <cfRule type="colorScale" priority="103">
      <colorScale>
        <cfvo type="min"/>
        <cfvo type="percentile" val="50"/>
        <cfvo type="max"/>
        <color rgb="FFF8696B"/>
        <color rgb="FFFFEB84"/>
        <color rgb="FF63BE7B"/>
      </colorScale>
    </cfRule>
  </conditionalFormatting>
  <conditionalFormatting sqref="CX2:CX33">
    <cfRule type="colorScale" priority="102">
      <colorScale>
        <cfvo type="min"/>
        <cfvo type="percentile" val="50"/>
        <cfvo type="max"/>
        <color rgb="FFF8696B"/>
        <color rgb="FFFFEB84"/>
        <color rgb="FF63BE7B"/>
      </colorScale>
    </cfRule>
  </conditionalFormatting>
  <conditionalFormatting sqref="CY2:CY33">
    <cfRule type="colorScale" priority="101">
      <colorScale>
        <cfvo type="min"/>
        <cfvo type="percentile" val="50"/>
        <cfvo type="max"/>
        <color rgb="FFF8696B"/>
        <color rgb="FFFFEB84"/>
        <color rgb="FF63BE7B"/>
      </colorScale>
    </cfRule>
  </conditionalFormatting>
  <conditionalFormatting sqref="CZ2:CZ33">
    <cfRule type="colorScale" priority="100">
      <colorScale>
        <cfvo type="min"/>
        <cfvo type="percentile" val="50"/>
        <cfvo type="max"/>
        <color rgb="FFF8696B"/>
        <color rgb="FFFFEB84"/>
        <color rgb="FF63BE7B"/>
      </colorScale>
    </cfRule>
  </conditionalFormatting>
  <conditionalFormatting sqref="DA2:DA33">
    <cfRule type="colorScale" priority="99">
      <colorScale>
        <cfvo type="min"/>
        <cfvo type="percentile" val="50"/>
        <cfvo type="max"/>
        <color rgb="FFF8696B"/>
        <color rgb="FFFFEB84"/>
        <color rgb="FF63BE7B"/>
      </colorScale>
    </cfRule>
  </conditionalFormatting>
  <conditionalFormatting sqref="DB2:DB33">
    <cfRule type="colorScale" priority="98">
      <colorScale>
        <cfvo type="min"/>
        <cfvo type="percentile" val="50"/>
        <cfvo type="max"/>
        <color rgb="FFF8696B"/>
        <color rgb="FFFFEB84"/>
        <color rgb="FF63BE7B"/>
      </colorScale>
    </cfRule>
  </conditionalFormatting>
  <conditionalFormatting sqref="DC2:DC33">
    <cfRule type="colorScale" priority="97">
      <colorScale>
        <cfvo type="min"/>
        <cfvo type="percentile" val="50"/>
        <cfvo type="max"/>
        <color rgb="FFF8696B"/>
        <color rgb="FFFFEB84"/>
        <color rgb="FF63BE7B"/>
      </colorScale>
    </cfRule>
  </conditionalFormatting>
  <conditionalFormatting sqref="DD2:DD33">
    <cfRule type="colorScale" priority="96">
      <colorScale>
        <cfvo type="min"/>
        <cfvo type="percentile" val="50"/>
        <cfvo type="max"/>
        <color rgb="FFF8696B"/>
        <color rgb="FFFFEB84"/>
        <color rgb="FF63BE7B"/>
      </colorScale>
    </cfRule>
  </conditionalFormatting>
  <conditionalFormatting sqref="DE2:DE33">
    <cfRule type="colorScale" priority="95">
      <colorScale>
        <cfvo type="min"/>
        <cfvo type="percentile" val="50"/>
        <cfvo type="max"/>
        <color rgb="FFF8696B"/>
        <color rgb="FFFFEB84"/>
        <color rgb="FF63BE7B"/>
      </colorScale>
    </cfRule>
  </conditionalFormatting>
  <conditionalFormatting sqref="DF2:DF33">
    <cfRule type="colorScale" priority="94">
      <colorScale>
        <cfvo type="min"/>
        <cfvo type="percentile" val="50"/>
        <cfvo type="max"/>
        <color rgb="FFF8696B"/>
        <color rgb="FFFFEB84"/>
        <color rgb="FF63BE7B"/>
      </colorScale>
    </cfRule>
  </conditionalFormatting>
  <conditionalFormatting sqref="DG2:DG33">
    <cfRule type="colorScale" priority="93">
      <colorScale>
        <cfvo type="min"/>
        <cfvo type="percentile" val="50"/>
        <cfvo type="max"/>
        <color rgb="FFF8696B"/>
        <color rgb="FFFFEB84"/>
        <color rgb="FF63BE7B"/>
      </colorScale>
    </cfRule>
  </conditionalFormatting>
  <conditionalFormatting sqref="DH2:DH33">
    <cfRule type="colorScale" priority="92">
      <colorScale>
        <cfvo type="min"/>
        <cfvo type="percentile" val="50"/>
        <cfvo type="max"/>
        <color rgb="FFF8696B"/>
        <color rgb="FFFFEB84"/>
        <color rgb="FF63BE7B"/>
      </colorScale>
    </cfRule>
  </conditionalFormatting>
  <conditionalFormatting sqref="DI2:DI33">
    <cfRule type="colorScale" priority="91">
      <colorScale>
        <cfvo type="min"/>
        <cfvo type="percentile" val="50"/>
        <cfvo type="max"/>
        <color rgb="FFF8696B"/>
        <color rgb="FFFFEB84"/>
        <color rgb="FF63BE7B"/>
      </colorScale>
    </cfRule>
  </conditionalFormatting>
  <conditionalFormatting sqref="DJ2:DJ33">
    <cfRule type="colorScale" priority="90">
      <colorScale>
        <cfvo type="min"/>
        <cfvo type="percentile" val="50"/>
        <cfvo type="max"/>
        <color rgb="FFF8696B"/>
        <color rgb="FFFFEB84"/>
        <color rgb="FF63BE7B"/>
      </colorScale>
    </cfRule>
  </conditionalFormatting>
  <conditionalFormatting sqref="DK2:DK33">
    <cfRule type="colorScale" priority="89">
      <colorScale>
        <cfvo type="min"/>
        <cfvo type="percentile" val="50"/>
        <cfvo type="max"/>
        <color rgb="FFF8696B"/>
        <color rgb="FFFFEB84"/>
        <color rgb="FF63BE7B"/>
      </colorScale>
    </cfRule>
  </conditionalFormatting>
  <conditionalFormatting sqref="DL2:DL33">
    <cfRule type="colorScale" priority="88">
      <colorScale>
        <cfvo type="min"/>
        <cfvo type="percentile" val="50"/>
        <cfvo type="max"/>
        <color rgb="FFF8696B"/>
        <color rgb="FFFFEB84"/>
        <color rgb="FF63BE7B"/>
      </colorScale>
    </cfRule>
  </conditionalFormatting>
  <conditionalFormatting sqref="DM2:DM33">
    <cfRule type="colorScale" priority="87">
      <colorScale>
        <cfvo type="min"/>
        <cfvo type="percentile" val="50"/>
        <cfvo type="max"/>
        <color rgb="FFF8696B"/>
        <color rgb="FFFFEB84"/>
        <color rgb="FF63BE7B"/>
      </colorScale>
    </cfRule>
  </conditionalFormatting>
  <conditionalFormatting sqref="DN2:DN33">
    <cfRule type="colorScale" priority="86">
      <colorScale>
        <cfvo type="min"/>
        <cfvo type="percentile" val="50"/>
        <cfvo type="max"/>
        <color rgb="FFF8696B"/>
        <color rgb="FFFFEB84"/>
        <color rgb="FF63BE7B"/>
      </colorScale>
    </cfRule>
  </conditionalFormatting>
  <conditionalFormatting sqref="DO2:DO33">
    <cfRule type="colorScale" priority="85">
      <colorScale>
        <cfvo type="min"/>
        <cfvo type="percentile" val="50"/>
        <cfvo type="max"/>
        <color rgb="FFF8696B"/>
        <color rgb="FFFFEB84"/>
        <color rgb="FF63BE7B"/>
      </colorScale>
    </cfRule>
  </conditionalFormatting>
  <conditionalFormatting sqref="DP2:DP33">
    <cfRule type="colorScale" priority="84">
      <colorScale>
        <cfvo type="min"/>
        <cfvo type="percentile" val="50"/>
        <cfvo type="max"/>
        <color rgb="FFF8696B"/>
        <color rgb="FFFFEB84"/>
        <color rgb="FF63BE7B"/>
      </colorScale>
    </cfRule>
  </conditionalFormatting>
  <conditionalFormatting sqref="DQ2:DQ33">
    <cfRule type="colorScale" priority="83">
      <colorScale>
        <cfvo type="min"/>
        <cfvo type="percentile" val="50"/>
        <cfvo type="max"/>
        <color rgb="FFF8696B"/>
        <color rgb="FFFFEB84"/>
        <color rgb="FF63BE7B"/>
      </colorScale>
    </cfRule>
  </conditionalFormatting>
  <conditionalFormatting sqref="DR2:DR33">
    <cfRule type="colorScale" priority="82">
      <colorScale>
        <cfvo type="min"/>
        <cfvo type="percentile" val="50"/>
        <cfvo type="max"/>
        <color rgb="FFF8696B"/>
        <color rgb="FFFFEB84"/>
        <color rgb="FF63BE7B"/>
      </colorScale>
    </cfRule>
  </conditionalFormatting>
  <conditionalFormatting sqref="DS2:DS33">
    <cfRule type="colorScale" priority="81">
      <colorScale>
        <cfvo type="min"/>
        <cfvo type="percentile" val="50"/>
        <cfvo type="max"/>
        <color rgb="FFF8696B"/>
        <color rgb="FFFFEB84"/>
        <color rgb="FF63BE7B"/>
      </colorScale>
    </cfRule>
  </conditionalFormatting>
  <conditionalFormatting sqref="DT2:DT33">
    <cfRule type="colorScale" priority="80">
      <colorScale>
        <cfvo type="min"/>
        <cfvo type="percentile" val="50"/>
        <cfvo type="max"/>
        <color rgb="FFF8696B"/>
        <color rgb="FFFFEB84"/>
        <color rgb="FF63BE7B"/>
      </colorScale>
    </cfRule>
  </conditionalFormatting>
  <conditionalFormatting sqref="DU2:DU33">
    <cfRule type="colorScale" priority="79">
      <colorScale>
        <cfvo type="min"/>
        <cfvo type="percentile" val="50"/>
        <cfvo type="max"/>
        <color rgb="FFF8696B"/>
        <color rgb="FFFFEB84"/>
        <color rgb="FF63BE7B"/>
      </colorScale>
    </cfRule>
  </conditionalFormatting>
  <conditionalFormatting sqref="DV2:DV33">
    <cfRule type="colorScale" priority="78">
      <colorScale>
        <cfvo type="min"/>
        <cfvo type="percentile" val="50"/>
        <cfvo type="max"/>
        <color rgb="FFF8696B"/>
        <color rgb="FFFFEB84"/>
        <color rgb="FF63BE7B"/>
      </colorScale>
    </cfRule>
  </conditionalFormatting>
  <conditionalFormatting sqref="DW2:DW33">
    <cfRule type="colorScale" priority="77">
      <colorScale>
        <cfvo type="min"/>
        <cfvo type="percentile" val="50"/>
        <cfvo type="max"/>
        <color rgb="FFF8696B"/>
        <color rgb="FFFFEB84"/>
        <color rgb="FF63BE7B"/>
      </colorScale>
    </cfRule>
  </conditionalFormatting>
  <conditionalFormatting sqref="DX2:DX33">
    <cfRule type="colorScale" priority="76">
      <colorScale>
        <cfvo type="min"/>
        <cfvo type="percentile" val="50"/>
        <cfvo type="max"/>
        <color rgb="FFF8696B"/>
        <color rgb="FFFFEB84"/>
        <color rgb="FF63BE7B"/>
      </colorScale>
    </cfRule>
  </conditionalFormatting>
  <conditionalFormatting sqref="DY2:DY33">
    <cfRule type="colorScale" priority="75">
      <colorScale>
        <cfvo type="min"/>
        <cfvo type="percentile" val="50"/>
        <cfvo type="max"/>
        <color rgb="FFF8696B"/>
        <color rgb="FFFFEB84"/>
        <color rgb="FF63BE7B"/>
      </colorScale>
    </cfRule>
  </conditionalFormatting>
  <conditionalFormatting sqref="DZ2:DZ33">
    <cfRule type="colorScale" priority="74">
      <colorScale>
        <cfvo type="min"/>
        <cfvo type="percentile" val="50"/>
        <cfvo type="max"/>
        <color rgb="FFF8696B"/>
        <color rgb="FFFFEB84"/>
        <color rgb="FF63BE7B"/>
      </colorScale>
    </cfRule>
  </conditionalFormatting>
  <conditionalFormatting sqref="EA2:EA33">
    <cfRule type="colorScale" priority="73">
      <colorScale>
        <cfvo type="min"/>
        <cfvo type="percentile" val="50"/>
        <cfvo type="max"/>
        <color rgb="FFF8696B"/>
        <color rgb="FFFFEB84"/>
        <color rgb="FF63BE7B"/>
      </colorScale>
    </cfRule>
  </conditionalFormatting>
  <conditionalFormatting sqref="EB2:EB33">
    <cfRule type="colorScale" priority="72">
      <colorScale>
        <cfvo type="min"/>
        <cfvo type="percentile" val="50"/>
        <cfvo type="max"/>
        <color rgb="FFF8696B"/>
        <color rgb="FFFFEB84"/>
        <color rgb="FF63BE7B"/>
      </colorScale>
    </cfRule>
  </conditionalFormatting>
  <conditionalFormatting sqref="EC2:EC33">
    <cfRule type="colorScale" priority="71">
      <colorScale>
        <cfvo type="min"/>
        <cfvo type="percentile" val="50"/>
        <cfvo type="max"/>
        <color rgb="FFF8696B"/>
        <color rgb="FFFFEB84"/>
        <color rgb="FF63BE7B"/>
      </colorScale>
    </cfRule>
  </conditionalFormatting>
  <conditionalFormatting sqref="ED2:ED33">
    <cfRule type="colorScale" priority="70">
      <colorScale>
        <cfvo type="min"/>
        <cfvo type="percentile" val="50"/>
        <cfvo type="max"/>
        <color rgb="FFF8696B"/>
        <color rgb="FFFFEB84"/>
        <color rgb="FF63BE7B"/>
      </colorScale>
    </cfRule>
  </conditionalFormatting>
  <conditionalFormatting sqref="EE2:EE33">
    <cfRule type="colorScale" priority="69">
      <colorScale>
        <cfvo type="min"/>
        <cfvo type="percentile" val="50"/>
        <cfvo type="max"/>
        <color rgb="FFF8696B"/>
        <color rgb="FFFFEB84"/>
        <color rgb="FF63BE7B"/>
      </colorScale>
    </cfRule>
  </conditionalFormatting>
  <conditionalFormatting sqref="EF2:EF33">
    <cfRule type="colorScale" priority="68">
      <colorScale>
        <cfvo type="min"/>
        <cfvo type="percentile" val="50"/>
        <cfvo type="max"/>
        <color rgb="FFF8696B"/>
        <color rgb="FFFFEB84"/>
        <color rgb="FF63BE7B"/>
      </colorScale>
    </cfRule>
  </conditionalFormatting>
  <conditionalFormatting sqref="EG2:EG33">
    <cfRule type="colorScale" priority="67">
      <colorScale>
        <cfvo type="min"/>
        <cfvo type="percentile" val="50"/>
        <cfvo type="max"/>
        <color rgb="FFF8696B"/>
        <color rgb="FFFFEB84"/>
        <color rgb="FF63BE7B"/>
      </colorScale>
    </cfRule>
  </conditionalFormatting>
  <conditionalFormatting sqref="EH2:EH33">
    <cfRule type="colorScale" priority="66">
      <colorScale>
        <cfvo type="min"/>
        <cfvo type="percentile" val="50"/>
        <cfvo type="max"/>
        <color rgb="FFF8696B"/>
        <color rgb="FFFFEB84"/>
        <color rgb="FF63BE7B"/>
      </colorScale>
    </cfRule>
  </conditionalFormatting>
  <conditionalFormatting sqref="EI2:EI33">
    <cfRule type="colorScale" priority="65">
      <colorScale>
        <cfvo type="min"/>
        <cfvo type="percentile" val="50"/>
        <cfvo type="max"/>
        <color rgb="FFF8696B"/>
        <color rgb="FFFFEB84"/>
        <color rgb="FF63BE7B"/>
      </colorScale>
    </cfRule>
  </conditionalFormatting>
  <conditionalFormatting sqref="EJ2:EJ33">
    <cfRule type="colorScale" priority="64">
      <colorScale>
        <cfvo type="min"/>
        <cfvo type="percentile" val="50"/>
        <cfvo type="max"/>
        <color rgb="FFF8696B"/>
        <color rgb="FFFFEB84"/>
        <color rgb="FF63BE7B"/>
      </colorScale>
    </cfRule>
  </conditionalFormatting>
  <conditionalFormatting sqref="EK2:EK33">
    <cfRule type="colorScale" priority="63">
      <colorScale>
        <cfvo type="min"/>
        <cfvo type="percentile" val="50"/>
        <cfvo type="max"/>
        <color rgb="FFF8696B"/>
        <color rgb="FFFFEB84"/>
        <color rgb="FF63BE7B"/>
      </colorScale>
    </cfRule>
  </conditionalFormatting>
  <conditionalFormatting sqref="EL2:EL33">
    <cfRule type="colorScale" priority="62">
      <colorScale>
        <cfvo type="min"/>
        <cfvo type="percentile" val="50"/>
        <cfvo type="max"/>
        <color rgb="FFF8696B"/>
        <color rgb="FFFFEB84"/>
        <color rgb="FF63BE7B"/>
      </colorScale>
    </cfRule>
  </conditionalFormatting>
  <conditionalFormatting sqref="EM2:EM33">
    <cfRule type="colorScale" priority="61">
      <colorScale>
        <cfvo type="min"/>
        <cfvo type="percentile" val="50"/>
        <cfvo type="max"/>
        <color rgb="FFF8696B"/>
        <color rgb="FFFFEB84"/>
        <color rgb="FF63BE7B"/>
      </colorScale>
    </cfRule>
  </conditionalFormatting>
  <conditionalFormatting sqref="EN2:EN33">
    <cfRule type="colorScale" priority="60">
      <colorScale>
        <cfvo type="min"/>
        <cfvo type="percentile" val="50"/>
        <cfvo type="max"/>
        <color rgb="FFF8696B"/>
        <color rgb="FFFFEB84"/>
        <color rgb="FF63BE7B"/>
      </colorScale>
    </cfRule>
  </conditionalFormatting>
  <conditionalFormatting sqref="EO2:EO33">
    <cfRule type="colorScale" priority="59">
      <colorScale>
        <cfvo type="min"/>
        <cfvo type="percentile" val="50"/>
        <cfvo type="max"/>
        <color rgb="FFF8696B"/>
        <color rgb="FFFFEB84"/>
        <color rgb="FF63BE7B"/>
      </colorScale>
    </cfRule>
  </conditionalFormatting>
  <conditionalFormatting sqref="EP2:EP33">
    <cfRule type="colorScale" priority="58">
      <colorScale>
        <cfvo type="min"/>
        <cfvo type="percentile" val="50"/>
        <cfvo type="max"/>
        <color rgb="FFF8696B"/>
        <color rgb="FFFFEB84"/>
        <color rgb="FF63BE7B"/>
      </colorScale>
    </cfRule>
  </conditionalFormatting>
  <conditionalFormatting sqref="EQ2:EQ33">
    <cfRule type="colorScale" priority="57">
      <colorScale>
        <cfvo type="min"/>
        <cfvo type="percentile" val="50"/>
        <cfvo type="max"/>
        <color rgb="FFF8696B"/>
        <color rgb="FFFFEB84"/>
        <color rgb="FF63BE7B"/>
      </colorScale>
    </cfRule>
  </conditionalFormatting>
  <conditionalFormatting sqref="ER2:ER33">
    <cfRule type="colorScale" priority="56">
      <colorScale>
        <cfvo type="min"/>
        <cfvo type="percentile" val="50"/>
        <cfvo type="max"/>
        <color rgb="FFF8696B"/>
        <color rgb="FFFFEB84"/>
        <color rgb="FF63BE7B"/>
      </colorScale>
    </cfRule>
  </conditionalFormatting>
  <conditionalFormatting sqref="ES2:ES33">
    <cfRule type="colorScale" priority="55">
      <colorScale>
        <cfvo type="min"/>
        <cfvo type="percentile" val="50"/>
        <cfvo type="max"/>
        <color rgb="FFF8696B"/>
        <color rgb="FFFFEB84"/>
        <color rgb="FF63BE7B"/>
      </colorScale>
    </cfRule>
  </conditionalFormatting>
  <conditionalFormatting sqref="ET2:ET33">
    <cfRule type="colorScale" priority="54">
      <colorScale>
        <cfvo type="min"/>
        <cfvo type="percentile" val="50"/>
        <cfvo type="max"/>
        <color rgb="FFF8696B"/>
        <color rgb="FFFFEB84"/>
        <color rgb="FF63BE7B"/>
      </colorScale>
    </cfRule>
  </conditionalFormatting>
  <conditionalFormatting sqref="EU2:EU33">
    <cfRule type="colorScale" priority="53">
      <colorScale>
        <cfvo type="min"/>
        <cfvo type="percentile" val="50"/>
        <cfvo type="max"/>
        <color rgb="FFF8696B"/>
        <color rgb="FFFFEB84"/>
        <color rgb="FF63BE7B"/>
      </colorScale>
    </cfRule>
  </conditionalFormatting>
  <conditionalFormatting sqref="EV2:EV33">
    <cfRule type="colorScale" priority="52">
      <colorScale>
        <cfvo type="min"/>
        <cfvo type="percentile" val="50"/>
        <cfvo type="max"/>
        <color rgb="FFF8696B"/>
        <color rgb="FFFFEB84"/>
        <color rgb="FF63BE7B"/>
      </colorScale>
    </cfRule>
  </conditionalFormatting>
  <conditionalFormatting sqref="EW2:EW33">
    <cfRule type="colorScale" priority="51">
      <colorScale>
        <cfvo type="min"/>
        <cfvo type="percentile" val="50"/>
        <cfvo type="max"/>
        <color rgb="FFF8696B"/>
        <color rgb="FFFFEB84"/>
        <color rgb="FF63BE7B"/>
      </colorScale>
    </cfRule>
  </conditionalFormatting>
  <conditionalFormatting sqref="EX2:EX33">
    <cfRule type="colorScale" priority="50">
      <colorScale>
        <cfvo type="min"/>
        <cfvo type="percentile" val="50"/>
        <cfvo type="max"/>
        <color rgb="FFF8696B"/>
        <color rgb="FFFFEB84"/>
        <color rgb="FF63BE7B"/>
      </colorScale>
    </cfRule>
  </conditionalFormatting>
  <conditionalFormatting sqref="EY2:EY33">
    <cfRule type="colorScale" priority="49">
      <colorScale>
        <cfvo type="min"/>
        <cfvo type="percentile" val="50"/>
        <cfvo type="max"/>
        <color rgb="FFF8696B"/>
        <color rgb="FFFFEB84"/>
        <color rgb="FF63BE7B"/>
      </colorScale>
    </cfRule>
  </conditionalFormatting>
  <conditionalFormatting sqref="EZ2:EZ33">
    <cfRule type="colorScale" priority="48">
      <colorScale>
        <cfvo type="min"/>
        <cfvo type="percentile" val="50"/>
        <cfvo type="max"/>
        <color rgb="FFF8696B"/>
        <color rgb="FFFFEB84"/>
        <color rgb="FF63BE7B"/>
      </colorScale>
    </cfRule>
  </conditionalFormatting>
  <conditionalFormatting sqref="FA2:FA33">
    <cfRule type="colorScale" priority="47">
      <colorScale>
        <cfvo type="min"/>
        <cfvo type="percentile" val="50"/>
        <cfvo type="max"/>
        <color rgb="FFF8696B"/>
        <color rgb="FFFFEB84"/>
        <color rgb="FF63BE7B"/>
      </colorScale>
    </cfRule>
  </conditionalFormatting>
  <conditionalFormatting sqref="FB2:FB33">
    <cfRule type="colorScale" priority="46">
      <colorScale>
        <cfvo type="min"/>
        <cfvo type="percentile" val="50"/>
        <cfvo type="max"/>
        <color rgb="FFF8696B"/>
        <color rgb="FFFFEB84"/>
        <color rgb="FF63BE7B"/>
      </colorScale>
    </cfRule>
  </conditionalFormatting>
  <conditionalFormatting sqref="FC2:FC33">
    <cfRule type="colorScale" priority="45">
      <colorScale>
        <cfvo type="min"/>
        <cfvo type="percentile" val="50"/>
        <cfvo type="max"/>
        <color rgb="FFF8696B"/>
        <color rgb="FFFFEB84"/>
        <color rgb="FF63BE7B"/>
      </colorScale>
    </cfRule>
  </conditionalFormatting>
  <conditionalFormatting sqref="FD2:FD33">
    <cfRule type="colorScale" priority="44">
      <colorScale>
        <cfvo type="min"/>
        <cfvo type="percentile" val="50"/>
        <cfvo type="max"/>
        <color rgb="FFF8696B"/>
        <color rgb="FFFFEB84"/>
        <color rgb="FF63BE7B"/>
      </colorScale>
    </cfRule>
  </conditionalFormatting>
  <conditionalFormatting sqref="FE2:FE33">
    <cfRule type="colorScale" priority="43">
      <colorScale>
        <cfvo type="min"/>
        <cfvo type="percentile" val="50"/>
        <cfvo type="max"/>
        <color rgb="FFF8696B"/>
        <color rgb="FFFFEB84"/>
        <color rgb="FF63BE7B"/>
      </colorScale>
    </cfRule>
  </conditionalFormatting>
  <conditionalFormatting sqref="FF2:FF33">
    <cfRule type="colorScale" priority="42">
      <colorScale>
        <cfvo type="min"/>
        <cfvo type="percentile" val="50"/>
        <cfvo type="max"/>
        <color rgb="FFF8696B"/>
        <color rgb="FFFFEB84"/>
        <color rgb="FF63BE7B"/>
      </colorScale>
    </cfRule>
  </conditionalFormatting>
  <conditionalFormatting sqref="FG2:FG33">
    <cfRule type="colorScale" priority="41">
      <colorScale>
        <cfvo type="min"/>
        <cfvo type="percentile" val="50"/>
        <cfvo type="max"/>
        <color rgb="FFF8696B"/>
        <color rgb="FFFFEB84"/>
        <color rgb="FF63BE7B"/>
      </colorScale>
    </cfRule>
  </conditionalFormatting>
  <conditionalFormatting sqref="FH2:FH33">
    <cfRule type="colorScale" priority="40">
      <colorScale>
        <cfvo type="min"/>
        <cfvo type="percentile" val="50"/>
        <cfvo type="max"/>
        <color rgb="FFF8696B"/>
        <color rgb="FFFFEB84"/>
        <color rgb="FF63BE7B"/>
      </colorScale>
    </cfRule>
  </conditionalFormatting>
  <conditionalFormatting sqref="FI2:FI33">
    <cfRule type="colorScale" priority="39">
      <colorScale>
        <cfvo type="min"/>
        <cfvo type="percentile" val="50"/>
        <cfvo type="max"/>
        <color rgb="FFF8696B"/>
        <color rgb="FFFFEB84"/>
        <color rgb="FF63BE7B"/>
      </colorScale>
    </cfRule>
  </conditionalFormatting>
  <conditionalFormatting sqref="FJ2:FJ33">
    <cfRule type="colorScale" priority="38">
      <colorScale>
        <cfvo type="min"/>
        <cfvo type="percentile" val="50"/>
        <cfvo type="max"/>
        <color rgb="FFF8696B"/>
        <color rgb="FFFFEB84"/>
        <color rgb="FF63BE7B"/>
      </colorScale>
    </cfRule>
  </conditionalFormatting>
  <conditionalFormatting sqref="FK2:FK33">
    <cfRule type="colorScale" priority="37">
      <colorScale>
        <cfvo type="min"/>
        <cfvo type="percentile" val="50"/>
        <cfvo type="max"/>
        <color rgb="FFF8696B"/>
        <color rgb="FFFFEB84"/>
        <color rgb="FF63BE7B"/>
      </colorScale>
    </cfRule>
  </conditionalFormatting>
  <conditionalFormatting sqref="FL2:FL33">
    <cfRule type="colorScale" priority="36">
      <colorScale>
        <cfvo type="min"/>
        <cfvo type="percentile" val="50"/>
        <cfvo type="max"/>
        <color rgb="FFF8696B"/>
        <color rgb="FFFFEB84"/>
        <color rgb="FF63BE7B"/>
      </colorScale>
    </cfRule>
  </conditionalFormatting>
  <conditionalFormatting sqref="FM2:FM33">
    <cfRule type="colorScale" priority="35">
      <colorScale>
        <cfvo type="min"/>
        <cfvo type="percentile" val="50"/>
        <cfvo type="max"/>
        <color rgb="FFF8696B"/>
        <color rgb="FFFFEB84"/>
        <color rgb="FF63BE7B"/>
      </colorScale>
    </cfRule>
  </conditionalFormatting>
  <conditionalFormatting sqref="FN2:FN33">
    <cfRule type="colorScale" priority="34">
      <colorScale>
        <cfvo type="min"/>
        <cfvo type="percentile" val="50"/>
        <cfvo type="max"/>
        <color rgb="FFF8696B"/>
        <color rgb="FFFFEB84"/>
        <color rgb="FF63BE7B"/>
      </colorScale>
    </cfRule>
  </conditionalFormatting>
  <conditionalFormatting sqref="FO2:FO33">
    <cfRule type="colorScale" priority="33">
      <colorScale>
        <cfvo type="min"/>
        <cfvo type="percentile" val="50"/>
        <cfvo type="max"/>
        <color rgb="FFF8696B"/>
        <color rgb="FFFFEB84"/>
        <color rgb="FF63BE7B"/>
      </colorScale>
    </cfRule>
  </conditionalFormatting>
  <conditionalFormatting sqref="FP2:FP33">
    <cfRule type="colorScale" priority="32">
      <colorScale>
        <cfvo type="min"/>
        <cfvo type="percentile" val="50"/>
        <cfvo type="max"/>
        <color rgb="FFF8696B"/>
        <color rgb="FFFFEB84"/>
        <color rgb="FF63BE7B"/>
      </colorScale>
    </cfRule>
  </conditionalFormatting>
  <conditionalFormatting sqref="FQ2:FQ33">
    <cfRule type="colorScale" priority="31">
      <colorScale>
        <cfvo type="min"/>
        <cfvo type="percentile" val="50"/>
        <cfvo type="max"/>
        <color rgb="FFF8696B"/>
        <color rgb="FFFFEB84"/>
        <color rgb="FF63BE7B"/>
      </colorScale>
    </cfRule>
  </conditionalFormatting>
  <conditionalFormatting sqref="FR2:FR33">
    <cfRule type="colorScale" priority="30">
      <colorScale>
        <cfvo type="min"/>
        <cfvo type="percentile" val="50"/>
        <cfvo type="max"/>
        <color rgb="FFF8696B"/>
        <color rgb="FFFFEB84"/>
        <color rgb="FF63BE7B"/>
      </colorScale>
    </cfRule>
  </conditionalFormatting>
  <conditionalFormatting sqref="FS2:FS33">
    <cfRule type="colorScale" priority="29">
      <colorScale>
        <cfvo type="min"/>
        <cfvo type="percentile" val="50"/>
        <cfvo type="max"/>
        <color rgb="FFF8696B"/>
        <color rgb="FFFFEB84"/>
        <color rgb="FF63BE7B"/>
      </colorScale>
    </cfRule>
  </conditionalFormatting>
  <conditionalFormatting sqref="FT2:FT33">
    <cfRule type="colorScale" priority="28">
      <colorScale>
        <cfvo type="min"/>
        <cfvo type="percentile" val="50"/>
        <cfvo type="max"/>
        <color rgb="FFF8696B"/>
        <color rgb="FFFFEB84"/>
        <color rgb="FF63BE7B"/>
      </colorScale>
    </cfRule>
  </conditionalFormatting>
  <conditionalFormatting sqref="FU2:FV33">
    <cfRule type="colorScale" priority="27">
      <colorScale>
        <cfvo type="min"/>
        <cfvo type="percentile" val="50"/>
        <cfvo type="max"/>
        <color rgb="FFF8696B"/>
        <color rgb="FFFFEB84"/>
        <color rgb="FF63BE7B"/>
      </colorScale>
    </cfRule>
  </conditionalFormatting>
  <conditionalFormatting sqref="FV2:FV33">
    <cfRule type="colorScale" priority="26">
      <colorScale>
        <cfvo type="min"/>
        <cfvo type="percentile" val="50"/>
        <cfvo type="max"/>
        <color rgb="FFF8696B"/>
        <color rgb="FFFFEB84"/>
        <color rgb="FF63BE7B"/>
      </colorScale>
    </cfRule>
  </conditionalFormatting>
  <conditionalFormatting sqref="FW2:FW33">
    <cfRule type="colorScale" priority="25">
      <colorScale>
        <cfvo type="min"/>
        <cfvo type="percentile" val="50"/>
        <cfvo type="max"/>
        <color rgb="FFF8696B"/>
        <color rgb="FFFFEB84"/>
        <color rgb="FF63BE7B"/>
      </colorScale>
    </cfRule>
  </conditionalFormatting>
  <conditionalFormatting sqref="FX2:FX33">
    <cfRule type="colorScale" priority="24">
      <colorScale>
        <cfvo type="min"/>
        <cfvo type="percentile" val="50"/>
        <cfvo type="max"/>
        <color rgb="FFF8696B"/>
        <color rgb="FFFFEB84"/>
        <color rgb="FF63BE7B"/>
      </colorScale>
    </cfRule>
  </conditionalFormatting>
  <conditionalFormatting sqref="FY2:FY33">
    <cfRule type="colorScale" priority="23">
      <colorScale>
        <cfvo type="min"/>
        <cfvo type="percentile" val="50"/>
        <cfvo type="max"/>
        <color rgb="FFF8696B"/>
        <color rgb="FFFFEB84"/>
        <color rgb="FF63BE7B"/>
      </colorScale>
    </cfRule>
  </conditionalFormatting>
  <conditionalFormatting sqref="FZ2:FZ33">
    <cfRule type="colorScale" priority="22">
      <colorScale>
        <cfvo type="min"/>
        <cfvo type="percentile" val="50"/>
        <cfvo type="max"/>
        <color rgb="FFF8696B"/>
        <color rgb="FFFFEB84"/>
        <color rgb="FF63BE7B"/>
      </colorScale>
    </cfRule>
  </conditionalFormatting>
  <conditionalFormatting sqref="GA2:GA33">
    <cfRule type="colorScale" priority="21">
      <colorScale>
        <cfvo type="min"/>
        <cfvo type="percentile" val="50"/>
        <cfvo type="max"/>
        <color rgb="FFF8696B"/>
        <color rgb="FFFFEB84"/>
        <color rgb="FF63BE7B"/>
      </colorScale>
    </cfRule>
  </conditionalFormatting>
  <conditionalFormatting sqref="GB2:GB33">
    <cfRule type="colorScale" priority="20">
      <colorScale>
        <cfvo type="min"/>
        <cfvo type="percentile" val="50"/>
        <cfvo type="max"/>
        <color rgb="FFF8696B"/>
        <color rgb="FFFFEB84"/>
        <color rgb="FF63BE7B"/>
      </colorScale>
    </cfRule>
  </conditionalFormatting>
  <conditionalFormatting sqref="GC2:GC33">
    <cfRule type="colorScale" priority="19">
      <colorScale>
        <cfvo type="min"/>
        <cfvo type="percentile" val="50"/>
        <cfvo type="max"/>
        <color rgb="FFF8696B"/>
        <color rgb="FFFFEB84"/>
        <color rgb="FF63BE7B"/>
      </colorScale>
    </cfRule>
  </conditionalFormatting>
  <conditionalFormatting sqref="GD2:GD33">
    <cfRule type="colorScale" priority="18">
      <colorScale>
        <cfvo type="min"/>
        <cfvo type="percentile" val="50"/>
        <cfvo type="max"/>
        <color rgb="FFF8696B"/>
        <color rgb="FFFFEB84"/>
        <color rgb="FF63BE7B"/>
      </colorScale>
    </cfRule>
  </conditionalFormatting>
  <conditionalFormatting sqref="GE2:GE33">
    <cfRule type="colorScale" priority="17">
      <colorScale>
        <cfvo type="min"/>
        <cfvo type="percentile" val="50"/>
        <cfvo type="max"/>
        <color rgb="FFF8696B"/>
        <color rgb="FFFFEB84"/>
        <color rgb="FF63BE7B"/>
      </colorScale>
    </cfRule>
  </conditionalFormatting>
  <conditionalFormatting sqref="GF2:GF33">
    <cfRule type="colorScale" priority="16">
      <colorScale>
        <cfvo type="min"/>
        <cfvo type="percentile" val="50"/>
        <cfvo type="max"/>
        <color rgb="FFF8696B"/>
        <color rgb="FFFFEB84"/>
        <color rgb="FF63BE7B"/>
      </colorScale>
    </cfRule>
  </conditionalFormatting>
  <conditionalFormatting sqref="GG2:GG33">
    <cfRule type="colorScale" priority="15">
      <colorScale>
        <cfvo type="min"/>
        <cfvo type="percentile" val="50"/>
        <cfvo type="max"/>
        <color rgb="FFF8696B"/>
        <color rgb="FFFFEB84"/>
        <color rgb="FF63BE7B"/>
      </colorScale>
    </cfRule>
  </conditionalFormatting>
  <conditionalFormatting sqref="GH2:GH33">
    <cfRule type="colorScale" priority="14">
      <colorScale>
        <cfvo type="min"/>
        <cfvo type="percentile" val="50"/>
        <cfvo type="max"/>
        <color rgb="FFF8696B"/>
        <color rgb="FFFFEB84"/>
        <color rgb="FF63BE7B"/>
      </colorScale>
    </cfRule>
  </conditionalFormatting>
  <conditionalFormatting sqref="GI2:GI33">
    <cfRule type="colorScale" priority="13">
      <colorScale>
        <cfvo type="min"/>
        <cfvo type="percentile" val="50"/>
        <cfvo type="max"/>
        <color rgb="FFF8696B"/>
        <color rgb="FFFFEB84"/>
        <color rgb="FF63BE7B"/>
      </colorScale>
    </cfRule>
  </conditionalFormatting>
  <conditionalFormatting sqref="GJ2:GJ33">
    <cfRule type="colorScale" priority="12">
      <colorScale>
        <cfvo type="min"/>
        <cfvo type="percentile" val="50"/>
        <cfvo type="max"/>
        <color rgb="FFF8696B"/>
        <color rgb="FFFFEB84"/>
        <color rgb="FF63BE7B"/>
      </colorScale>
    </cfRule>
  </conditionalFormatting>
  <conditionalFormatting sqref="GK2:GK33">
    <cfRule type="colorScale" priority="11">
      <colorScale>
        <cfvo type="min"/>
        <cfvo type="percentile" val="50"/>
        <cfvo type="max"/>
        <color rgb="FFF8696B"/>
        <color rgb="FFFFEB84"/>
        <color rgb="FF63BE7B"/>
      </colorScale>
    </cfRule>
  </conditionalFormatting>
  <conditionalFormatting sqref="GL2:GL33">
    <cfRule type="colorScale" priority="10">
      <colorScale>
        <cfvo type="min"/>
        <cfvo type="percentile" val="50"/>
        <cfvo type="max"/>
        <color rgb="FFF8696B"/>
        <color rgb="FFFFEB84"/>
        <color rgb="FF63BE7B"/>
      </colorScale>
    </cfRule>
  </conditionalFormatting>
  <conditionalFormatting sqref="GM2:GM33">
    <cfRule type="colorScale" priority="9">
      <colorScale>
        <cfvo type="min"/>
        <cfvo type="percentile" val="50"/>
        <cfvo type="max"/>
        <color rgb="FFF8696B"/>
        <color rgb="FFFFEB84"/>
        <color rgb="FF63BE7B"/>
      </colorScale>
    </cfRule>
  </conditionalFormatting>
  <conditionalFormatting sqref="GN2:GN33">
    <cfRule type="colorScale" priority="8">
      <colorScale>
        <cfvo type="min"/>
        <cfvo type="percentile" val="50"/>
        <cfvo type="max"/>
        <color rgb="FFF8696B"/>
        <color rgb="FFFFEB84"/>
        <color rgb="FF63BE7B"/>
      </colorScale>
    </cfRule>
  </conditionalFormatting>
  <conditionalFormatting sqref="GO2:GO33">
    <cfRule type="colorScale" priority="7">
      <colorScale>
        <cfvo type="min"/>
        <cfvo type="percentile" val="50"/>
        <cfvo type="max"/>
        <color rgb="FFF8696B"/>
        <color rgb="FFFFEB84"/>
        <color rgb="FF63BE7B"/>
      </colorScale>
    </cfRule>
  </conditionalFormatting>
  <conditionalFormatting sqref="GP2:GP33">
    <cfRule type="colorScale" priority="6">
      <colorScale>
        <cfvo type="min"/>
        <cfvo type="percentile" val="50"/>
        <cfvo type="max"/>
        <color rgb="FFF8696B"/>
        <color rgb="FFFFEB84"/>
        <color rgb="FF63BE7B"/>
      </colorScale>
    </cfRule>
  </conditionalFormatting>
  <conditionalFormatting sqref="GQ2:GQ33">
    <cfRule type="colorScale" priority="5">
      <colorScale>
        <cfvo type="min"/>
        <cfvo type="percentile" val="50"/>
        <cfvo type="max"/>
        <color rgb="FFF8696B"/>
        <color rgb="FFFFEB84"/>
        <color rgb="FF63BE7B"/>
      </colorScale>
    </cfRule>
  </conditionalFormatting>
  <conditionalFormatting sqref="GR2:GR33">
    <cfRule type="colorScale" priority="4">
      <colorScale>
        <cfvo type="min"/>
        <cfvo type="percentile" val="50"/>
        <cfvo type="max"/>
        <color rgb="FFF8696B"/>
        <color rgb="FFFFEB84"/>
        <color rgb="FF63BE7B"/>
      </colorScale>
    </cfRule>
  </conditionalFormatting>
  <conditionalFormatting sqref="GS2:GS33">
    <cfRule type="colorScale" priority="3">
      <colorScale>
        <cfvo type="min"/>
        <cfvo type="percentile" val="50"/>
        <cfvo type="max"/>
        <color rgb="FFF8696B"/>
        <color rgb="FFFFEB84"/>
        <color rgb="FF63BE7B"/>
      </colorScale>
    </cfRule>
  </conditionalFormatting>
  <conditionalFormatting sqref="GT2:GT33">
    <cfRule type="colorScale" priority="2">
      <colorScale>
        <cfvo type="min"/>
        <cfvo type="percentile" val="50"/>
        <cfvo type="max"/>
        <color rgb="FFF8696B"/>
        <color rgb="FFFFEB84"/>
        <color rgb="FF63BE7B"/>
      </colorScale>
    </cfRule>
  </conditionalFormatting>
  <conditionalFormatting sqref="GU2:GU33">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24"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28">
        <f>BO3+BO4</f>
        <v>82</v>
      </c>
    </row>
    <row r="4" spans="1:68" ht="9.9499999999999993" customHeight="1" x14ac:dyDescent="0.25">
      <c r="A4" s="125"/>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28"/>
    </row>
    <row r="5" spans="1:68" ht="9.9499999999999993" customHeight="1" x14ac:dyDescent="0.25">
      <c r="A5" s="124"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28">
        <f t="shared" ref="BP5" si="1">BO5+BO6</f>
        <v>82</v>
      </c>
    </row>
    <row r="6" spans="1:68" ht="9.9499999999999993" customHeight="1" x14ac:dyDescent="0.25">
      <c r="A6" s="125"/>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28"/>
    </row>
    <row r="7" spans="1:68" ht="9.9499999999999993" customHeight="1" x14ac:dyDescent="0.25">
      <c r="A7" s="124"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28">
        <f t="shared" ref="BP7" si="2">BO7+BO8</f>
        <v>82</v>
      </c>
    </row>
    <row r="8" spans="1:68" ht="9.9499999999999993" customHeight="1" x14ac:dyDescent="0.25">
      <c r="A8" s="125"/>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28"/>
    </row>
    <row r="9" spans="1:68" ht="9.9499999999999993" customHeight="1" x14ac:dyDescent="0.25">
      <c r="A9" s="124"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28">
        <f t="shared" ref="BP9" si="3">BO9+BO10</f>
        <v>82</v>
      </c>
    </row>
    <row r="10" spans="1:68" ht="9.9499999999999993" customHeight="1" x14ac:dyDescent="0.25">
      <c r="A10" s="125"/>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28"/>
    </row>
    <row r="11" spans="1:68" ht="9.9499999999999993" customHeight="1" x14ac:dyDescent="0.25">
      <c r="A11" s="124"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28">
        <f t="shared" ref="BP11" si="4">BO11+BO12</f>
        <v>82</v>
      </c>
    </row>
    <row r="12" spans="1:68" ht="9.9499999999999993" customHeight="1" x14ac:dyDescent="0.25">
      <c r="A12" s="125"/>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28"/>
    </row>
    <row r="13" spans="1:68" ht="9.9499999999999993" customHeight="1" x14ac:dyDescent="0.25">
      <c r="A13" s="124"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28">
        <f t="shared" ref="BP13" si="5">BO13+BO14</f>
        <v>82</v>
      </c>
    </row>
    <row r="14" spans="1:68" ht="9.9499999999999993" customHeight="1" x14ac:dyDescent="0.25">
      <c r="A14" s="125"/>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28"/>
    </row>
    <row r="15" spans="1:68" ht="9.9499999999999993" customHeight="1" x14ac:dyDescent="0.25">
      <c r="A15" s="124"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28">
        <f t="shared" ref="BP15" si="6">BO15+BO16</f>
        <v>82</v>
      </c>
    </row>
    <row r="16" spans="1:68" ht="9.9499999999999993" customHeight="1" x14ac:dyDescent="0.25">
      <c r="A16" s="125"/>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28"/>
    </row>
    <row r="17" spans="1:68" ht="9.9499999999999993" customHeight="1" x14ac:dyDescent="0.25">
      <c r="A17" s="124"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28">
        <f t="shared" ref="BP17" si="7">BO17+BO18</f>
        <v>82</v>
      </c>
    </row>
    <row r="18" spans="1:68" ht="9.9499999999999993" customHeight="1" x14ac:dyDescent="0.25">
      <c r="A18" s="125"/>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28"/>
    </row>
    <row r="19" spans="1:68" ht="9.9499999999999993" customHeight="1" x14ac:dyDescent="0.25">
      <c r="A19" s="124"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28">
        <f t="shared" ref="BP19" si="8">BO19+BO20</f>
        <v>82</v>
      </c>
    </row>
    <row r="20" spans="1:68" ht="9.9499999999999993" customHeight="1" x14ac:dyDescent="0.25">
      <c r="A20" s="125"/>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28"/>
    </row>
    <row r="21" spans="1:68" ht="9.9499999999999993" customHeight="1" x14ac:dyDescent="0.25">
      <c r="A21" s="124"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28">
        <f t="shared" ref="BP21" si="9">BO21+BO22</f>
        <v>82</v>
      </c>
    </row>
    <row r="22" spans="1:68" ht="9.9499999999999993" customHeight="1" x14ac:dyDescent="0.25">
      <c r="A22" s="125"/>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28"/>
    </row>
    <row r="23" spans="1:68" ht="9.9499999999999993" customHeight="1" x14ac:dyDescent="0.25">
      <c r="A23" s="124"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28">
        <f t="shared" ref="BP23" si="10">BO23+BO24</f>
        <v>82</v>
      </c>
    </row>
    <row r="24" spans="1:68" ht="9.9499999999999993" customHeight="1" x14ac:dyDescent="0.25">
      <c r="A24" s="125"/>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28"/>
    </row>
    <row r="25" spans="1:68" ht="9.9499999999999993" customHeight="1" x14ac:dyDescent="0.25">
      <c r="A25" s="124"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28">
        <f t="shared" ref="BP25" si="11">BO25+BO26</f>
        <v>82</v>
      </c>
    </row>
    <row r="26" spans="1:68" ht="9.9499999999999993" customHeight="1" x14ac:dyDescent="0.25">
      <c r="A26" s="125"/>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28"/>
    </row>
    <row r="27" spans="1:68" ht="9.9499999999999993" customHeight="1" x14ac:dyDescent="0.25">
      <c r="A27" s="124"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28">
        <f t="shared" ref="BP27" si="12">BO27+BO28</f>
        <v>82</v>
      </c>
    </row>
    <row r="28" spans="1:68" ht="9.9499999999999993" customHeight="1" x14ac:dyDescent="0.25">
      <c r="A28" s="125"/>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28"/>
    </row>
    <row r="29" spans="1:68" ht="9.9499999999999993" customHeight="1" x14ac:dyDescent="0.25">
      <c r="A29" s="124"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28">
        <f t="shared" ref="BP29" si="13">BO29+BO30</f>
        <v>82</v>
      </c>
    </row>
    <row r="30" spans="1:68" ht="9.9499999999999993" customHeight="1" x14ac:dyDescent="0.25">
      <c r="A30" s="125"/>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28"/>
    </row>
    <row r="31" spans="1:68" ht="9.9499999999999993" customHeight="1" x14ac:dyDescent="0.25">
      <c r="A31" s="124"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28">
        <f t="shared" ref="BP31" si="14">BO31+BO32</f>
        <v>82</v>
      </c>
    </row>
    <row r="32" spans="1:68" ht="9.9499999999999993" customHeight="1" x14ac:dyDescent="0.25">
      <c r="A32" s="125"/>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28"/>
    </row>
    <row r="33" spans="1:68" ht="9.9499999999999993" customHeight="1" x14ac:dyDescent="0.25">
      <c r="A33" s="124"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28">
        <f t="shared" ref="BP33" si="15">BO33+BO34</f>
        <v>82</v>
      </c>
    </row>
    <row r="34" spans="1:68" ht="9.9499999999999993" customHeight="1" x14ac:dyDescent="0.25">
      <c r="A34" s="125"/>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28"/>
    </row>
    <row r="35" spans="1:68" ht="9.9499999999999993" customHeight="1" x14ac:dyDescent="0.25">
      <c r="A35" s="124"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28">
        <f t="shared" ref="BP35" si="16">BO35+BO36</f>
        <v>82</v>
      </c>
    </row>
    <row r="36" spans="1:68" ht="9.9499999999999993" customHeight="1" x14ac:dyDescent="0.25">
      <c r="A36" s="125"/>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28"/>
    </row>
    <row r="37" spans="1:68" ht="9.9499999999999993" customHeight="1" x14ac:dyDescent="0.25">
      <c r="A37" s="124"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28">
        <f t="shared" ref="BP37" si="17">BO37+BO38</f>
        <v>82</v>
      </c>
    </row>
    <row r="38" spans="1:68" ht="9.9499999999999993" customHeight="1" x14ac:dyDescent="0.25">
      <c r="A38" s="125"/>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28"/>
    </row>
    <row r="39" spans="1:68" ht="9.9499999999999993" customHeight="1" x14ac:dyDescent="0.25">
      <c r="A39" s="124"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28">
        <f t="shared" ref="BP39" si="18">BO39+BO40</f>
        <v>82</v>
      </c>
    </row>
    <row r="40" spans="1:68" ht="9.9499999999999993" customHeight="1" x14ac:dyDescent="0.25">
      <c r="A40" s="125"/>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28"/>
    </row>
    <row r="41" spans="1:68" ht="9.9499999999999993" customHeight="1" x14ac:dyDescent="0.25">
      <c r="A41" s="124"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28">
        <f t="shared" ref="BP41" si="19">BO41+BO42</f>
        <v>82</v>
      </c>
    </row>
    <row r="42" spans="1:68" ht="9.9499999999999993" customHeight="1" x14ac:dyDescent="0.25">
      <c r="A42" s="125"/>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28"/>
    </row>
    <row r="43" spans="1:68" ht="9.9499999999999993" customHeight="1" x14ac:dyDescent="0.25">
      <c r="A43" s="124"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28">
        <f t="shared" ref="BP43" si="20">BO43+BO44</f>
        <v>82</v>
      </c>
    </row>
    <row r="44" spans="1:68" ht="9.9499999999999993" customHeight="1" x14ac:dyDescent="0.25">
      <c r="A44" s="125"/>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28"/>
    </row>
    <row r="45" spans="1:68" ht="9.9499999999999993" customHeight="1" x14ac:dyDescent="0.25">
      <c r="A45" s="124"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28">
        <f t="shared" ref="BP45" si="21">BO45+BO46</f>
        <v>82</v>
      </c>
    </row>
    <row r="46" spans="1:68" ht="9.9499999999999993" customHeight="1" x14ac:dyDescent="0.25">
      <c r="A46" s="125"/>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28"/>
    </row>
    <row r="47" spans="1:68" ht="9.9499999999999993" customHeight="1" x14ac:dyDescent="0.25">
      <c r="A47" s="124"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28">
        <f t="shared" ref="BP47" si="22">BO47+BO48</f>
        <v>82</v>
      </c>
    </row>
    <row r="48" spans="1:68" ht="9.9499999999999993" customHeight="1" x14ac:dyDescent="0.25">
      <c r="A48" s="125"/>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28"/>
    </row>
    <row r="49" spans="1:68" ht="9.9499999999999993" customHeight="1" x14ac:dyDescent="0.25">
      <c r="A49" s="124"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28">
        <f t="shared" ref="BP49" si="23">BO49+BO50</f>
        <v>82</v>
      </c>
    </row>
    <row r="50" spans="1:68" ht="9.9499999999999993" customHeight="1" x14ac:dyDescent="0.25">
      <c r="A50" s="125"/>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28"/>
    </row>
    <row r="51" spans="1:68" ht="9.9499999999999993" customHeight="1" x14ac:dyDescent="0.25">
      <c r="A51" s="124"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28">
        <f t="shared" ref="BP51" si="24">BO51+BO52</f>
        <v>82</v>
      </c>
    </row>
    <row r="52" spans="1:68" ht="9.9499999999999993" customHeight="1" x14ac:dyDescent="0.25">
      <c r="A52" s="125"/>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28"/>
    </row>
    <row r="53" spans="1:68" ht="9.9499999999999993" customHeight="1" x14ac:dyDescent="0.25">
      <c r="A53" s="124"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28">
        <f t="shared" ref="BP53" si="25">BO53+BO54</f>
        <v>82</v>
      </c>
    </row>
    <row r="54" spans="1:68" ht="9.9499999999999993" customHeight="1" x14ac:dyDescent="0.25">
      <c r="A54" s="125"/>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28"/>
    </row>
    <row r="55" spans="1:68" ht="9.9499999999999993" customHeight="1" x14ac:dyDescent="0.25">
      <c r="A55" s="124"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28">
        <f t="shared" ref="BP55" si="26">BO55+BO56</f>
        <v>82</v>
      </c>
    </row>
    <row r="56" spans="1:68" ht="9.9499999999999993" customHeight="1" x14ac:dyDescent="0.25">
      <c r="A56" s="125"/>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28"/>
    </row>
    <row r="57" spans="1:68" ht="9.9499999999999993" customHeight="1" x14ac:dyDescent="0.25">
      <c r="A57" s="124"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28">
        <f t="shared" ref="BP57" si="27">BO57+BO58</f>
        <v>82</v>
      </c>
    </row>
    <row r="58" spans="1:68" ht="9.9499999999999993" customHeight="1" x14ac:dyDescent="0.25">
      <c r="A58" s="125"/>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28"/>
    </row>
    <row r="59" spans="1:68" ht="9.9499999999999993" customHeight="1" x14ac:dyDescent="0.25">
      <c r="A59" s="124"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28">
        <f t="shared" ref="BP59" si="28">BO59+BO60</f>
        <v>82</v>
      </c>
    </row>
    <row r="60" spans="1:68" ht="9.9499999999999993" customHeight="1" x14ac:dyDescent="0.25">
      <c r="A60" s="125"/>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28"/>
    </row>
    <row r="61" spans="1:68" ht="9.9499999999999993" customHeight="1" x14ac:dyDescent="0.25">
      <c r="A61" s="124"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28">
        <f t="shared" ref="BP61" si="29">BO61+BO62</f>
        <v>82</v>
      </c>
    </row>
    <row r="62" spans="1:68" ht="9.9499999999999993" customHeight="1" x14ac:dyDescent="0.25">
      <c r="A62" s="125"/>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28"/>
    </row>
    <row r="63" spans="1:68" ht="9.9499999999999993" customHeight="1" x14ac:dyDescent="0.25">
      <c r="A63" s="124"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28">
        <f t="shared" ref="BP63" si="30">BO63+BO64</f>
        <v>82</v>
      </c>
    </row>
    <row r="64" spans="1:68" ht="9.9499999999999993" customHeight="1" x14ac:dyDescent="0.25">
      <c r="A64" s="125"/>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28"/>
    </row>
    <row r="65" spans="1:68" ht="9.9499999999999993" customHeight="1" x14ac:dyDescent="0.25">
      <c r="A65" s="124"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28">
        <f t="shared" ref="BP65" si="31">BO65+BO66</f>
        <v>82</v>
      </c>
    </row>
    <row r="66" spans="1:68" ht="9.9499999999999993" customHeight="1" x14ac:dyDescent="0.25">
      <c r="A66" s="125"/>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28"/>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2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28">
        <f>BO3+BO4</f>
        <v>49</v>
      </c>
      <c r="BQ3" s="124">
        <f>82-BP3</f>
        <v>33</v>
      </c>
    </row>
    <row r="4" spans="1:69" ht="9.9499999999999993" customHeight="1" x14ac:dyDescent="0.25">
      <c r="A4" s="125"/>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28"/>
      <c r="BQ4" s="124"/>
    </row>
    <row r="5" spans="1:69" ht="9.9499999999999993" customHeight="1" x14ac:dyDescent="0.25">
      <c r="A5" s="12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28">
        <f t="shared" ref="BP5" si="1">BO5+BO6</f>
        <v>51</v>
      </c>
      <c r="BQ5" s="124">
        <f t="shared" ref="BQ5" si="2">82-BP5</f>
        <v>31</v>
      </c>
    </row>
    <row r="6" spans="1:69" ht="9.9499999999999993" customHeight="1" x14ac:dyDescent="0.25">
      <c r="A6" s="125"/>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28"/>
      <c r="BQ6" s="124"/>
    </row>
    <row r="7" spans="1:69" ht="9.9499999999999993" customHeight="1" x14ac:dyDescent="0.25">
      <c r="A7" s="12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28">
        <f t="shared" ref="BP7" si="3">BO7+BO8</f>
        <v>49</v>
      </c>
      <c r="BQ7" s="124">
        <f t="shared" ref="BQ7" si="4">82-BP7</f>
        <v>33</v>
      </c>
    </row>
    <row r="8" spans="1:69" ht="9.9499999999999993" customHeight="1" x14ac:dyDescent="0.25">
      <c r="A8" s="125"/>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28"/>
      <c r="BQ8" s="124"/>
    </row>
    <row r="9" spans="1:69" ht="9.9499999999999993" customHeight="1" x14ac:dyDescent="0.25">
      <c r="A9" s="12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28">
        <f t="shared" ref="BP9" si="5">BO9+BO10</f>
        <v>50</v>
      </c>
      <c r="BQ9" s="124">
        <f t="shared" ref="BQ9" si="6">82-BP9</f>
        <v>32</v>
      </c>
    </row>
    <row r="10" spans="1:69" ht="9.9499999999999993" customHeight="1" x14ac:dyDescent="0.25">
      <c r="A10" s="125"/>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28"/>
      <c r="BQ10" s="124"/>
    </row>
    <row r="11" spans="1:69" ht="9.9499999999999993" customHeight="1" x14ac:dyDescent="0.25">
      <c r="A11" s="12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28">
        <f t="shared" ref="BP11" si="7">BO11+BO12</f>
        <v>50</v>
      </c>
      <c r="BQ11" s="124">
        <f t="shared" ref="BQ11" si="8">82-BP11</f>
        <v>32</v>
      </c>
    </row>
    <row r="12" spans="1:69" ht="9.9499999999999993" customHeight="1" x14ac:dyDescent="0.25">
      <c r="A12" s="125"/>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28"/>
      <c r="BQ12" s="124"/>
    </row>
    <row r="13" spans="1:69" ht="9.9499999999999993" customHeight="1" x14ac:dyDescent="0.25">
      <c r="A13" s="12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28">
        <f t="shared" ref="BP13" si="9">BO13+BO14</f>
        <v>48</v>
      </c>
      <c r="BQ13" s="124">
        <f t="shared" ref="BQ13" si="10">82-BP13</f>
        <v>34</v>
      </c>
    </row>
    <row r="14" spans="1:69" ht="9.9499999999999993" customHeight="1" x14ac:dyDescent="0.25">
      <c r="A14" s="125"/>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28"/>
      <c r="BQ14" s="124"/>
    </row>
    <row r="15" spans="1:69" ht="9.9499999999999993" customHeight="1" x14ac:dyDescent="0.25">
      <c r="A15" s="12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28">
        <f t="shared" ref="BP15" si="11">BO15+BO16</f>
        <v>48</v>
      </c>
      <c r="BQ15" s="124">
        <f t="shared" ref="BQ15" si="12">82-BP15</f>
        <v>34</v>
      </c>
    </row>
    <row r="16" spans="1:69" ht="9.9499999999999993" customHeight="1" x14ac:dyDescent="0.25">
      <c r="A16" s="125"/>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1</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25</v>
      </c>
      <c r="BP16" s="128"/>
      <c r="BQ16" s="124"/>
    </row>
    <row r="17" spans="1:69" ht="9.9499999999999993" customHeight="1" x14ac:dyDescent="0.25">
      <c r="A17" s="12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0</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24</v>
      </c>
      <c r="BP17" s="128">
        <f t="shared" ref="BP17" si="13">BO17+BO18</f>
        <v>50</v>
      </c>
      <c r="BQ17" s="124">
        <f t="shared" ref="BQ17" si="14">82-BP17</f>
        <v>32</v>
      </c>
    </row>
    <row r="18" spans="1:69" ht="9.9499999999999993" customHeight="1" x14ac:dyDescent="0.25">
      <c r="A18" s="125"/>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28"/>
      <c r="BQ18" s="124"/>
    </row>
    <row r="19" spans="1:69" ht="9.9499999999999993" customHeight="1" x14ac:dyDescent="0.25">
      <c r="A19" s="12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28">
        <f t="shared" ref="BP19" si="15">BO19+BO20</f>
        <v>49</v>
      </c>
      <c r="BQ19" s="124">
        <f t="shared" ref="BQ19" si="16">82-BP19</f>
        <v>33</v>
      </c>
    </row>
    <row r="20" spans="1:69" ht="9.9499999999999993" customHeight="1" x14ac:dyDescent="0.25">
      <c r="A20" s="125"/>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28"/>
      <c r="BQ20" s="124"/>
    </row>
    <row r="21" spans="1:69" ht="9.9499999999999993" customHeight="1" x14ac:dyDescent="0.25">
      <c r="A21" s="12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28">
        <f t="shared" ref="BP21" si="17">BO21+BO22</f>
        <v>49</v>
      </c>
      <c r="BQ21" s="124">
        <f t="shared" ref="BQ21" si="18">82-BP21</f>
        <v>33</v>
      </c>
    </row>
    <row r="22" spans="1:69" ht="9.9499999999999993" customHeight="1" x14ac:dyDescent="0.25">
      <c r="A22" s="125"/>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0</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27</v>
      </c>
      <c r="BP22" s="128"/>
      <c r="BQ22" s="124"/>
    </row>
    <row r="23" spans="1:69" ht="9.9499999999999993" customHeight="1" x14ac:dyDescent="0.25">
      <c r="A23" s="12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28">
        <f t="shared" ref="BP23" si="19">BO23+BO24</f>
        <v>49</v>
      </c>
      <c r="BQ23" s="124">
        <f t="shared" ref="BQ23" si="20">82-BP23</f>
        <v>33</v>
      </c>
    </row>
    <row r="24" spans="1:69" ht="9.9499999999999993" customHeight="1" x14ac:dyDescent="0.25">
      <c r="A24" s="125"/>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0</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26</v>
      </c>
      <c r="BP24" s="128"/>
      <c r="BQ24" s="124"/>
    </row>
    <row r="25" spans="1:69" ht="9.9499999999999993" customHeight="1" x14ac:dyDescent="0.25">
      <c r="A25" s="12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0</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26</v>
      </c>
      <c r="BP25" s="128">
        <f t="shared" ref="BP25" si="21">BO25+BO26</f>
        <v>50</v>
      </c>
      <c r="BQ25" s="124">
        <f t="shared" ref="BQ25" si="22">82-BP25</f>
        <v>32</v>
      </c>
    </row>
    <row r="26" spans="1:69" ht="9.9499999999999993" customHeight="1" x14ac:dyDescent="0.25">
      <c r="A26" s="125"/>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28"/>
      <c r="BQ26" s="124"/>
    </row>
    <row r="27" spans="1:69" ht="9.9499999999999993" customHeight="1" x14ac:dyDescent="0.25">
      <c r="A27" s="12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0</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27</v>
      </c>
      <c r="BP27" s="128">
        <f t="shared" ref="BP27" si="23">BO27+BO28</f>
        <v>46</v>
      </c>
      <c r="BQ27" s="124">
        <f t="shared" ref="BQ27" si="24">82-BP27</f>
        <v>36</v>
      </c>
    </row>
    <row r="28" spans="1:69" ht="9.9499999999999993" customHeight="1" x14ac:dyDescent="0.25">
      <c r="A28" s="125"/>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28"/>
      <c r="BQ28" s="124"/>
    </row>
    <row r="29" spans="1:69" ht="9.9499999999999993" customHeight="1" x14ac:dyDescent="0.25">
      <c r="A29" s="12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1</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25</v>
      </c>
      <c r="BP29" s="128">
        <f t="shared" ref="BP29" si="25">BO29+BO30</f>
        <v>49</v>
      </c>
      <c r="BQ29" s="124">
        <f t="shared" ref="BQ29" si="26">82-BP29</f>
        <v>33</v>
      </c>
    </row>
    <row r="30" spans="1:69" ht="9.9499999999999993" customHeight="1" x14ac:dyDescent="0.25">
      <c r="A30" s="125"/>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28"/>
      <c r="BQ30" s="124"/>
    </row>
    <row r="31" spans="1:69" ht="9.9499999999999993" customHeight="1" x14ac:dyDescent="0.25">
      <c r="A31" s="12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28">
        <f t="shared" ref="BP31" si="27">BO31+BO32</f>
        <v>49</v>
      </c>
      <c r="BQ31" s="124">
        <f t="shared" ref="BQ31" si="28">82-BP31</f>
        <v>33</v>
      </c>
    </row>
    <row r="32" spans="1:69" ht="9.9499999999999993" customHeight="1" x14ac:dyDescent="0.25">
      <c r="A32" s="125"/>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28"/>
      <c r="BQ32" s="124"/>
    </row>
    <row r="33" spans="1:69" ht="9.9499999999999993" customHeight="1" x14ac:dyDescent="0.25">
      <c r="A33" s="12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0</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25</v>
      </c>
      <c r="BP33" s="128">
        <f t="shared" ref="BP33" si="29">BO33+BO34</f>
        <v>51</v>
      </c>
      <c r="BQ33" s="124">
        <f t="shared" ref="BQ33" si="30">82-BP33</f>
        <v>31</v>
      </c>
    </row>
    <row r="34" spans="1:69" ht="9.9499999999999993" customHeight="1" x14ac:dyDescent="0.25">
      <c r="A34" s="125"/>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28"/>
      <c r="BQ34" s="124"/>
    </row>
    <row r="35" spans="1:69" ht="9.9499999999999993" customHeight="1" x14ac:dyDescent="0.25">
      <c r="A35" s="12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28">
        <f t="shared" ref="BP35" si="31">BO35+BO36</f>
        <v>48</v>
      </c>
      <c r="BQ35" s="124">
        <f t="shared" ref="BQ35" si="32">82-BP35</f>
        <v>34</v>
      </c>
    </row>
    <row r="36" spans="1:69" ht="9.9499999999999993" customHeight="1" x14ac:dyDescent="0.25">
      <c r="A36" s="125"/>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28"/>
      <c r="BQ36" s="124"/>
    </row>
    <row r="37" spans="1:69" ht="9.9499999999999993" customHeight="1" x14ac:dyDescent="0.25">
      <c r="A37" s="12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28">
        <f t="shared" ref="BP37" si="33">BO37+BO38</f>
        <v>48</v>
      </c>
      <c r="BQ37" s="124">
        <f t="shared" ref="BQ37" si="34">82-BP37</f>
        <v>34</v>
      </c>
    </row>
    <row r="38" spans="1:69" ht="9.9499999999999993" customHeight="1" x14ac:dyDescent="0.25">
      <c r="A38" s="125"/>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28"/>
      <c r="BQ38" s="124"/>
    </row>
    <row r="39" spans="1:69" ht="9.9499999999999993" customHeight="1" x14ac:dyDescent="0.25">
      <c r="A39" s="12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28">
        <f t="shared" ref="BP39" si="35">BO39+BO40</f>
        <v>48</v>
      </c>
      <c r="BQ39" s="124">
        <f t="shared" ref="BQ39" si="36">82-BP39</f>
        <v>34</v>
      </c>
    </row>
    <row r="40" spans="1:69" ht="9.9499999999999993" customHeight="1" x14ac:dyDescent="0.25">
      <c r="A40" s="125"/>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0</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23</v>
      </c>
      <c r="BP40" s="128"/>
      <c r="BQ40" s="124"/>
    </row>
    <row r="41" spans="1:69" ht="9.9499999999999993" customHeight="1" x14ac:dyDescent="0.25">
      <c r="A41" s="12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28">
        <f t="shared" ref="BP41" si="37">BO41+BO42</f>
        <v>50</v>
      </c>
      <c r="BQ41" s="124">
        <f t="shared" ref="BQ41" si="38">82-BP41</f>
        <v>32</v>
      </c>
    </row>
    <row r="42" spans="1:69" ht="9.9499999999999993" customHeight="1" x14ac:dyDescent="0.25">
      <c r="A42" s="125"/>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28"/>
      <c r="BQ42" s="124"/>
    </row>
    <row r="43" spans="1:69" ht="9.9499999999999993" customHeight="1" x14ac:dyDescent="0.25">
      <c r="A43" s="12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28">
        <f t="shared" ref="BP43" si="39">BO43+BO44</f>
        <v>50</v>
      </c>
      <c r="BQ43" s="124">
        <f t="shared" ref="BQ43" si="40">82-BP43</f>
        <v>32</v>
      </c>
    </row>
    <row r="44" spans="1:69" ht="9.9499999999999993" customHeight="1" x14ac:dyDescent="0.25">
      <c r="A44" s="125"/>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0</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23</v>
      </c>
      <c r="BP44" s="128"/>
      <c r="BQ44" s="124"/>
    </row>
    <row r="45" spans="1:69" ht="9.9499999999999993" customHeight="1" x14ac:dyDescent="0.25">
      <c r="A45" s="12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28">
        <f t="shared" ref="BP45" si="41">BO45+BO46</f>
        <v>51</v>
      </c>
      <c r="BQ45" s="124">
        <f t="shared" ref="BQ45" si="42">82-BP45</f>
        <v>31</v>
      </c>
    </row>
    <row r="46" spans="1:69" ht="9.9499999999999993" customHeight="1" x14ac:dyDescent="0.25">
      <c r="A46" s="125"/>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28"/>
      <c r="BQ46" s="124"/>
    </row>
    <row r="47" spans="1:69" ht="9.9499999999999993" customHeight="1" x14ac:dyDescent="0.25">
      <c r="A47" s="12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0</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24</v>
      </c>
      <c r="BP47" s="128">
        <f t="shared" ref="BP47" si="43">BO47+BO48</f>
        <v>50</v>
      </c>
      <c r="BQ47" s="124">
        <f t="shared" ref="BQ47" si="44">82-BP47</f>
        <v>32</v>
      </c>
    </row>
    <row r="48" spans="1:69" ht="9.9499999999999993" customHeight="1" x14ac:dyDescent="0.25">
      <c r="A48" s="125"/>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28"/>
      <c r="BQ48" s="124"/>
    </row>
    <row r="49" spans="1:69" ht="9.9499999999999993" customHeight="1" x14ac:dyDescent="0.25">
      <c r="A49" s="12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28">
        <f t="shared" ref="BP49" si="45">BO49+BO50</f>
        <v>52</v>
      </c>
      <c r="BQ49" s="124">
        <f t="shared" ref="BQ49" si="46">82-BP49</f>
        <v>30</v>
      </c>
    </row>
    <row r="50" spans="1:69" ht="9.9499999999999993" customHeight="1" x14ac:dyDescent="0.25">
      <c r="A50" s="125"/>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25</v>
      </c>
      <c r="BP50" s="128"/>
      <c r="BQ50" s="124"/>
    </row>
    <row r="51" spans="1:69" ht="9.9499999999999993" customHeight="1" x14ac:dyDescent="0.25">
      <c r="A51" s="12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28">
        <f t="shared" ref="BP51" si="47">BO51+BO52</f>
        <v>50</v>
      </c>
      <c r="BQ51" s="124">
        <f t="shared" ref="BQ51" si="48">82-BP51</f>
        <v>32</v>
      </c>
    </row>
    <row r="52" spans="1:69" ht="9.9499999999999993" customHeight="1" x14ac:dyDescent="0.25">
      <c r="A52" s="125"/>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28"/>
      <c r="BQ52" s="124"/>
    </row>
    <row r="53" spans="1:69" ht="9.9499999999999993" customHeight="1" x14ac:dyDescent="0.25">
      <c r="A53" s="12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28">
        <f t="shared" ref="BP53" si="49">BO53+BO54</f>
        <v>48</v>
      </c>
      <c r="BQ53" s="124">
        <f t="shared" ref="BQ53" si="50">82-BP53</f>
        <v>34</v>
      </c>
    </row>
    <row r="54" spans="1:69" ht="9.9499999999999993" customHeight="1" x14ac:dyDescent="0.25">
      <c r="A54" s="125"/>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28"/>
      <c r="BQ54" s="124"/>
    </row>
    <row r="55" spans="1:69" ht="9.9499999999999993" customHeight="1" x14ac:dyDescent="0.25">
      <c r="A55" s="12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28">
        <f t="shared" ref="BP55" si="51">BO55+BO56</f>
        <v>50</v>
      </c>
      <c r="BQ55" s="124">
        <f t="shared" ref="BQ55" si="52">82-BP55</f>
        <v>32</v>
      </c>
    </row>
    <row r="56" spans="1:69" ht="9.9499999999999993" customHeight="1" x14ac:dyDescent="0.25">
      <c r="A56" s="125"/>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28"/>
      <c r="BQ56" s="124"/>
    </row>
    <row r="57" spans="1:69" ht="9.9499999999999993" customHeight="1" x14ac:dyDescent="0.25">
      <c r="A57" s="12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28">
        <f t="shared" ref="BP57" si="53">BO57+BO58</f>
        <v>49</v>
      </c>
      <c r="BQ57" s="124">
        <f t="shared" ref="BQ57" si="54">82-BP57</f>
        <v>33</v>
      </c>
    </row>
    <row r="58" spans="1:69" ht="9.9499999999999993" customHeight="1" x14ac:dyDescent="0.25">
      <c r="A58" s="125"/>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28"/>
      <c r="BQ58" s="124"/>
    </row>
    <row r="59" spans="1:69" ht="9.9499999999999993" customHeight="1" x14ac:dyDescent="0.25">
      <c r="A59" s="12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28">
        <f t="shared" ref="BP59" si="55">BO59+BO60</f>
        <v>48</v>
      </c>
      <c r="BQ59" s="124">
        <f t="shared" ref="BQ59" si="56">82-BP59</f>
        <v>34</v>
      </c>
    </row>
    <row r="60" spans="1:69" ht="9.9499999999999993" customHeight="1" x14ac:dyDescent="0.25">
      <c r="A60" s="125"/>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28"/>
      <c r="BQ60" s="124"/>
    </row>
    <row r="61" spans="1:69" ht="9.9499999999999993" customHeight="1" x14ac:dyDescent="0.25">
      <c r="A61" s="12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28">
        <f t="shared" ref="BP61" si="57">BO61+BO62</f>
        <v>49</v>
      </c>
      <c r="BQ61" s="124">
        <f t="shared" ref="BQ61" si="58">82-BP61</f>
        <v>33</v>
      </c>
    </row>
    <row r="62" spans="1:69" ht="9.9499999999999993" customHeight="1" x14ac:dyDescent="0.25">
      <c r="A62" s="125"/>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0</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25</v>
      </c>
      <c r="BP62" s="128"/>
      <c r="BQ62" s="124"/>
    </row>
    <row r="63" spans="1:69" ht="9.9499999999999993" customHeight="1" x14ac:dyDescent="0.25">
      <c r="A63" s="12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28">
        <f t="shared" ref="BP63" si="59">BO63+BO64</f>
        <v>51</v>
      </c>
      <c r="BQ63" s="124">
        <f t="shared" ref="BQ63" si="60">82-BP63</f>
        <v>31</v>
      </c>
    </row>
    <row r="64" spans="1:69" ht="9.9499999999999993" customHeight="1" x14ac:dyDescent="0.25">
      <c r="A64" s="125"/>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28"/>
      <c r="BQ64" s="124"/>
    </row>
    <row r="65" spans="1:69" ht="9.9499999999999993" customHeight="1" x14ac:dyDescent="0.25">
      <c r="A65" s="12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25</v>
      </c>
      <c r="BP65" s="128">
        <f t="shared" ref="BP65" si="61">BO65+BO66</f>
        <v>49</v>
      </c>
      <c r="BQ65" s="124">
        <f t="shared" ref="BQ65" si="62">82-BP65</f>
        <v>33</v>
      </c>
    </row>
    <row r="66" spans="1:69" ht="9.9499999999999993" customHeight="1" x14ac:dyDescent="0.25">
      <c r="A66" s="125"/>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28"/>
      <c r="BQ66" s="12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69" x14ac:dyDescent="0.25">
      <c r="BP68" s="50">
        <f>2*BP67/SUM(BP3:BQ66)</f>
        <v>0.60137195121951215</v>
      </c>
      <c r="BQ68" s="50">
        <f>2*BQ67/SUM(BP3:BQ66)</f>
        <v>0.3986280487804878</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28"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22" t="s">
        <v>47</v>
      </c>
      <c r="D1" s="123"/>
      <c r="E1" s="122" t="s">
        <v>24</v>
      </c>
      <c r="F1" s="123"/>
      <c r="G1" s="122" t="s">
        <v>23</v>
      </c>
      <c r="H1" s="123"/>
      <c r="I1" s="122" t="s">
        <v>28</v>
      </c>
      <c r="J1" s="123"/>
      <c r="K1" s="122" t="s">
        <v>12</v>
      </c>
      <c r="L1" s="123"/>
      <c r="M1" s="122" t="s">
        <v>38</v>
      </c>
      <c r="N1" s="123"/>
      <c r="O1" s="122" t="s">
        <v>25</v>
      </c>
      <c r="P1" s="123"/>
      <c r="Q1" s="122" t="s">
        <v>27</v>
      </c>
      <c r="R1" s="130"/>
      <c r="S1" s="122" t="s">
        <v>17</v>
      </c>
      <c r="T1" s="123"/>
      <c r="U1" s="122" t="s">
        <v>26</v>
      </c>
      <c r="V1" s="123"/>
      <c r="W1" s="122" t="s">
        <v>34</v>
      </c>
      <c r="X1" s="123"/>
      <c r="Y1" s="122" t="s">
        <v>37</v>
      </c>
      <c r="Z1" s="123"/>
      <c r="AA1" s="122" t="s">
        <v>35</v>
      </c>
      <c r="AB1" s="123"/>
      <c r="AC1" s="122" t="s">
        <v>13</v>
      </c>
      <c r="AD1" s="123"/>
      <c r="AE1" s="122" t="s">
        <v>15</v>
      </c>
      <c r="AF1" s="123"/>
      <c r="AG1" s="131" t="s">
        <v>22</v>
      </c>
      <c r="AH1" s="130"/>
      <c r="AI1" s="122" t="s">
        <v>44</v>
      </c>
      <c r="AJ1" s="123"/>
      <c r="AK1" s="122" t="s">
        <v>36</v>
      </c>
      <c r="AL1" s="123"/>
      <c r="AM1" s="122" t="s">
        <v>32</v>
      </c>
      <c r="AN1" s="123"/>
      <c r="AO1" s="122" t="s">
        <v>33</v>
      </c>
      <c r="AP1" s="123"/>
      <c r="AQ1" s="122" t="s">
        <v>20</v>
      </c>
      <c r="AR1" s="123"/>
      <c r="AS1" s="122" t="s">
        <v>45</v>
      </c>
      <c r="AT1" s="123"/>
      <c r="AU1" s="122" t="s">
        <v>21</v>
      </c>
      <c r="AV1" s="123"/>
      <c r="AW1" s="122" t="s">
        <v>46</v>
      </c>
      <c r="AX1" s="130"/>
      <c r="AY1" s="122" t="s">
        <v>16</v>
      </c>
      <c r="AZ1" s="123"/>
      <c r="BA1" s="122" t="s">
        <v>29</v>
      </c>
      <c r="BB1" s="123"/>
      <c r="BC1" s="122" t="s">
        <v>31</v>
      </c>
      <c r="BD1" s="123"/>
      <c r="BE1" s="122" t="s">
        <v>14</v>
      </c>
      <c r="BF1" s="122"/>
      <c r="BG1" s="126" t="s">
        <v>19</v>
      </c>
      <c r="BH1" s="127"/>
      <c r="BI1" s="122" t="s">
        <v>30</v>
      </c>
      <c r="BJ1" s="123"/>
      <c r="BK1" s="122" t="s">
        <v>43</v>
      </c>
      <c r="BL1" s="123"/>
      <c r="BM1" s="122" t="s">
        <v>18</v>
      </c>
      <c r="BN1" s="123"/>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8">
        <f>BO3+BO4</f>
        <v>49</v>
      </c>
      <c r="BQ3" s="124">
        <f>82-BP3</f>
        <v>33</v>
      </c>
      <c r="BR3" s="134">
        <f t="shared" ref="BR3" si="0">BP3/(BP3+BQ3)</f>
        <v>0.59756097560975607</v>
      </c>
    </row>
    <row r="4" spans="1:70" ht="9.9499999999999993" customHeight="1" x14ac:dyDescent="0.25">
      <c r="A4" s="12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8"/>
      <c r="BQ4" s="124"/>
      <c r="BR4" s="134"/>
    </row>
    <row r="5" spans="1:70" ht="9.9499999999999993"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28">
        <f t="shared" ref="BP5" si="2">BO5+BO6</f>
        <v>48</v>
      </c>
      <c r="BQ5" s="124">
        <f t="shared" ref="BQ5" si="3">82-BP5</f>
        <v>34</v>
      </c>
      <c r="BR5" s="134">
        <f t="shared" ref="BR5" si="4">BP5/(BP5+BQ5)</f>
        <v>0.58536585365853655</v>
      </c>
    </row>
    <row r="6" spans="1:70" ht="9.9499999999999993" customHeight="1" x14ac:dyDescent="0.25">
      <c r="A6" s="12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28"/>
      <c r="BQ6" s="124"/>
      <c r="BR6" s="134"/>
    </row>
    <row r="7" spans="1:70" ht="9.9499999999999993"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28">
        <f t="shared" ref="BP7" si="5">BO7+BO8</f>
        <v>49</v>
      </c>
      <c r="BQ7" s="124">
        <f t="shared" ref="BQ7" si="6">82-BP7</f>
        <v>33</v>
      </c>
      <c r="BR7" s="134">
        <f t="shared" ref="BR7" si="7">BP7/(BP7+BQ7)</f>
        <v>0.59756097560975607</v>
      </c>
    </row>
    <row r="8" spans="1:70" ht="9.9499999999999993" customHeight="1" x14ac:dyDescent="0.25">
      <c r="A8" s="12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26</v>
      </c>
      <c r="BP8" s="128"/>
      <c r="BQ8" s="124"/>
      <c r="BR8" s="134"/>
    </row>
    <row r="9" spans="1:70" ht="9.9499999999999993"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27</v>
      </c>
      <c r="BP9" s="128">
        <f t="shared" ref="BP9" si="8">BO9+BO10</f>
        <v>46</v>
      </c>
      <c r="BQ9" s="124">
        <f t="shared" ref="BQ9" si="9">82-BP9</f>
        <v>36</v>
      </c>
      <c r="BR9" s="134">
        <f t="shared" ref="BR9" si="10">BP9/(BP9+BQ9)</f>
        <v>0.56097560975609762</v>
      </c>
    </row>
    <row r="10" spans="1:70" ht="9.9499999999999993" customHeight="1" x14ac:dyDescent="0.25">
      <c r="A10" s="12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28"/>
      <c r="BQ10" s="124"/>
      <c r="BR10" s="134"/>
    </row>
    <row r="11" spans="1:70" ht="9.9499999999999993"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24</v>
      </c>
      <c r="BP11" s="128">
        <f t="shared" ref="BP11" si="11">BO11+BO12</f>
        <v>50</v>
      </c>
      <c r="BQ11" s="124">
        <f t="shared" ref="BQ11" si="12">82-BP11</f>
        <v>32</v>
      </c>
      <c r="BR11" s="134">
        <f t="shared" ref="BR11" si="13">BP11/(BP11+BQ11)</f>
        <v>0.6097560975609756</v>
      </c>
    </row>
    <row r="12" spans="1:70" ht="9.9499999999999993" customHeight="1" x14ac:dyDescent="0.25">
      <c r="A12" s="12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28"/>
      <c r="BQ12" s="124"/>
      <c r="BR12" s="134"/>
    </row>
    <row r="13" spans="1:70" ht="9.9499999999999993"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28">
        <f t="shared" ref="BP13" si="14">BO13+BO14</f>
        <v>52</v>
      </c>
      <c r="BQ13" s="124">
        <f t="shared" ref="BQ13" si="15">82-BP13</f>
        <v>30</v>
      </c>
      <c r="BR13" s="134">
        <f t="shared" ref="BR13" si="16">BP13/(BP13+BQ13)</f>
        <v>0.63414634146341464</v>
      </c>
    </row>
    <row r="14" spans="1:70" ht="9.9499999999999993" customHeight="1" x14ac:dyDescent="0.25">
      <c r="A14" s="12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25</v>
      </c>
      <c r="BP14" s="128"/>
      <c r="BQ14" s="124"/>
      <c r="BR14" s="134"/>
    </row>
    <row r="15" spans="1:70" ht="9.9499999999999993"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28">
        <f t="shared" ref="BP15" si="17">BO15+BO16</f>
        <v>48</v>
      </c>
      <c r="BQ15" s="124">
        <f t="shared" ref="BQ15" si="18">82-BP15</f>
        <v>34</v>
      </c>
      <c r="BR15" s="134">
        <f t="shared" ref="BR15" si="19">BP15/(BP15+BQ15)</f>
        <v>0.58536585365853655</v>
      </c>
    </row>
    <row r="16" spans="1:70" ht="9.9499999999999993" customHeight="1" x14ac:dyDescent="0.25">
      <c r="A16" s="12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28"/>
      <c r="BQ16" s="124"/>
      <c r="BR16" s="134"/>
    </row>
    <row r="17" spans="1:70" ht="9.9499999999999993"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28">
        <f t="shared" ref="BP17" si="20">BO17+BO18</f>
        <v>49</v>
      </c>
      <c r="BQ17" s="124">
        <f t="shared" ref="BQ17" si="21">82-BP17</f>
        <v>33</v>
      </c>
      <c r="BR17" s="134">
        <f t="shared" ref="BR17" si="22">BP17/(BP17+BQ17)</f>
        <v>0.59756097560975607</v>
      </c>
    </row>
    <row r="18" spans="1:70" ht="9.9499999999999993" customHeight="1" thickBot="1" x14ac:dyDescent="0.3">
      <c r="A18" s="12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25</v>
      </c>
      <c r="BP18" s="128"/>
      <c r="BQ18" s="124"/>
      <c r="BR18" s="134"/>
    </row>
    <row r="19" spans="1:70" ht="9.9499999999999993"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28">
        <f t="shared" ref="BP19" si="23">BO19+BO20</f>
        <v>48</v>
      </c>
      <c r="BQ19" s="124">
        <f t="shared" ref="BQ19" si="24">82-BP19</f>
        <v>34</v>
      </c>
      <c r="BR19" s="134">
        <f t="shared" ref="BR19" si="25">BP19/(BP19+BQ19)</f>
        <v>0.58536585365853655</v>
      </c>
    </row>
    <row r="20" spans="1:70" ht="9.9499999999999993" customHeight="1" x14ac:dyDescent="0.25">
      <c r="A20" s="12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25</v>
      </c>
      <c r="BP20" s="128"/>
      <c r="BQ20" s="124"/>
      <c r="BR20" s="134"/>
    </row>
    <row r="21" spans="1:70" ht="9.9499999999999993"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24</v>
      </c>
      <c r="BP21" s="128">
        <f t="shared" ref="BP21" si="26">BO21+BO22</f>
        <v>50</v>
      </c>
      <c r="BQ21" s="124">
        <f t="shared" ref="BQ21" si="27">82-BP21</f>
        <v>32</v>
      </c>
      <c r="BR21" s="134">
        <f t="shared" ref="BR21" si="28">BP21/(BP21+BQ21)</f>
        <v>0.6097560975609756</v>
      </c>
    </row>
    <row r="22" spans="1:70" ht="9.9499999999999993" customHeight="1" x14ac:dyDescent="0.25">
      <c r="A22" s="12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28"/>
      <c r="BQ22" s="124"/>
      <c r="BR22" s="134"/>
    </row>
    <row r="23" spans="1:70" ht="9.9499999999999993"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28">
        <f t="shared" ref="BP23" si="29">BO23+BO24</f>
        <v>49</v>
      </c>
      <c r="BQ23" s="124">
        <f t="shared" ref="BQ23" si="30">82-BP23</f>
        <v>33</v>
      </c>
      <c r="BR23" s="134">
        <f t="shared" ref="BR23" si="31">BP23/(BP23+BQ23)</f>
        <v>0.59756097560975607</v>
      </c>
    </row>
    <row r="24" spans="1:70" ht="9.9499999999999993" customHeight="1" x14ac:dyDescent="0.25">
      <c r="A24" s="12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28"/>
      <c r="BQ24" s="124"/>
      <c r="BR24" s="134"/>
    </row>
    <row r="25" spans="1:70" ht="9.9499999999999993"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25</v>
      </c>
      <c r="BP25" s="128">
        <f t="shared" ref="BP25" si="32">BO25+BO26</f>
        <v>49</v>
      </c>
      <c r="BQ25" s="124">
        <f t="shared" ref="BQ25" si="33">82-BP25</f>
        <v>33</v>
      </c>
      <c r="BR25" s="134">
        <f t="shared" ref="BR25" si="34">BP25/(BP25+BQ25)</f>
        <v>0.59756097560975607</v>
      </c>
    </row>
    <row r="26" spans="1:70" ht="9.9499999999999993" customHeight="1" x14ac:dyDescent="0.25">
      <c r="A26" s="12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28"/>
      <c r="BQ26" s="124"/>
      <c r="BR26" s="134"/>
    </row>
    <row r="27" spans="1:70" ht="9.9499999999999993"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28">
        <f t="shared" ref="BP27" si="35">BO27+BO28</f>
        <v>48</v>
      </c>
      <c r="BQ27" s="124">
        <f t="shared" ref="BQ27" si="36">82-BP27</f>
        <v>34</v>
      </c>
      <c r="BR27" s="134">
        <f t="shared" ref="BR27" si="37">BP27/(BP27+BQ27)</f>
        <v>0.58536585365853655</v>
      </c>
    </row>
    <row r="28" spans="1:70" ht="9.9499999999999993" customHeight="1" x14ac:dyDescent="0.25">
      <c r="A28" s="12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28"/>
      <c r="BQ28" s="124"/>
      <c r="BR28" s="134"/>
    </row>
    <row r="29" spans="1:70" ht="9.9499999999999993"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28">
        <f t="shared" ref="BP29" si="38">BO29+BO30</f>
        <v>50</v>
      </c>
      <c r="BQ29" s="124">
        <f t="shared" ref="BQ29" si="39">82-BP29</f>
        <v>32</v>
      </c>
      <c r="BR29" s="134">
        <f t="shared" ref="BR29" si="40">BP29/(BP29+BQ29)</f>
        <v>0.6097560975609756</v>
      </c>
    </row>
    <row r="30" spans="1:70" ht="9.9499999999999993" customHeight="1" x14ac:dyDescent="0.25">
      <c r="A30" s="12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28"/>
      <c r="BQ30" s="124"/>
      <c r="BR30" s="134"/>
    </row>
    <row r="31" spans="1:70" ht="9.9499999999999993"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28">
        <f t="shared" ref="BP31" si="41">BO31+BO32</f>
        <v>49</v>
      </c>
      <c r="BQ31" s="124">
        <f t="shared" ref="BQ31" si="42">82-BP31</f>
        <v>33</v>
      </c>
      <c r="BR31" s="134">
        <f t="shared" ref="BR31" si="43">BP31/(BP31+BQ31)</f>
        <v>0.59756097560975607</v>
      </c>
    </row>
    <row r="32" spans="1:70" ht="9.9499999999999993" customHeight="1" x14ac:dyDescent="0.25">
      <c r="A32" s="12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28"/>
      <c r="BQ32" s="124"/>
      <c r="BR32" s="134"/>
    </row>
    <row r="33" spans="1:70" ht="9.9499999999999993"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28">
        <f t="shared" ref="BP33" si="44">BO33+BO34</f>
        <v>51</v>
      </c>
      <c r="BQ33" s="124">
        <f t="shared" ref="BQ33" si="45">82-BP33</f>
        <v>31</v>
      </c>
      <c r="BR33" s="134">
        <f t="shared" ref="BR33" si="46">BP33/(BP33+BQ33)</f>
        <v>0.62195121951219512</v>
      </c>
    </row>
    <row r="34" spans="1:70" ht="9.9499999999999993" customHeight="1" thickBot="1" x14ac:dyDescent="0.3">
      <c r="A34" s="12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28"/>
      <c r="BQ34" s="124"/>
      <c r="BR34" s="134"/>
    </row>
    <row r="35" spans="1:70" ht="9.9499999999999993"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28">
        <f t="shared" ref="BP35" si="47">BO35+BO36</f>
        <v>50</v>
      </c>
      <c r="BQ35" s="124">
        <f t="shared" ref="BQ35" si="48">82-BP35</f>
        <v>32</v>
      </c>
      <c r="BR35" s="134">
        <f t="shared" ref="BR35" si="49">BP35/(BP35+BQ35)</f>
        <v>0.6097560975609756</v>
      </c>
    </row>
    <row r="36" spans="1:70" ht="9.9499999999999993" customHeight="1" x14ac:dyDescent="0.25">
      <c r="A36" s="12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28"/>
      <c r="BQ36" s="124"/>
      <c r="BR36" s="134"/>
    </row>
    <row r="37" spans="1:70" ht="9.9499999999999993"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28">
        <f t="shared" ref="BP37" si="50">BO37+BO38</f>
        <v>50</v>
      </c>
      <c r="BQ37" s="124">
        <f t="shared" ref="BQ37" si="51">82-BP37</f>
        <v>32</v>
      </c>
      <c r="BR37" s="134">
        <f t="shared" ref="BR37" si="52">BP37/(BP37+BQ37)</f>
        <v>0.6097560975609756</v>
      </c>
    </row>
    <row r="38" spans="1:70" ht="9.9499999999999993" customHeight="1" x14ac:dyDescent="0.25">
      <c r="A38" s="12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28"/>
      <c r="BQ38" s="124"/>
      <c r="BR38" s="134"/>
    </row>
    <row r="39" spans="1:70" ht="9.9499999999999993"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25</v>
      </c>
      <c r="BP39" s="128">
        <f t="shared" ref="BP39" si="53">BO39+BO40</f>
        <v>51</v>
      </c>
      <c r="BQ39" s="124">
        <f t="shared" ref="BQ39" si="54">82-BP39</f>
        <v>31</v>
      </c>
      <c r="BR39" s="134">
        <f t="shared" ref="BR39" si="55">BP39/(BP39+BQ39)</f>
        <v>0.62195121951219512</v>
      </c>
    </row>
    <row r="40" spans="1:70" ht="9.9499999999999993" customHeight="1" x14ac:dyDescent="0.25">
      <c r="A40" s="12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28"/>
      <c r="BQ40" s="124"/>
      <c r="BR40" s="134"/>
    </row>
    <row r="41" spans="1:70" ht="9.9499999999999993"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28">
        <f t="shared" ref="BP41" si="56">BO41+BO42</f>
        <v>48</v>
      </c>
      <c r="BQ41" s="124">
        <f t="shared" ref="BQ41" si="57">82-BP41</f>
        <v>34</v>
      </c>
      <c r="BR41" s="134">
        <f t="shared" ref="BR41" si="58">BP41/(BP41+BQ41)</f>
        <v>0.58536585365853655</v>
      </c>
    </row>
    <row r="42" spans="1:70" ht="9.9499999999999993" customHeight="1" x14ac:dyDescent="0.25">
      <c r="A42" s="12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28"/>
      <c r="BQ42" s="124"/>
      <c r="BR42" s="134"/>
    </row>
    <row r="43" spans="1:70" ht="9.9499999999999993"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28">
        <f t="shared" ref="BP43" si="59">BO43+BO44</f>
        <v>48</v>
      </c>
      <c r="BQ43" s="124">
        <f t="shared" ref="BQ43" si="60">82-BP43</f>
        <v>34</v>
      </c>
      <c r="BR43" s="134">
        <f t="shared" ref="BR43" si="61">BP43/(BP43+BQ43)</f>
        <v>0.58536585365853655</v>
      </c>
    </row>
    <row r="44" spans="1:70" ht="9.9499999999999993" customHeight="1" x14ac:dyDescent="0.25">
      <c r="A44" s="12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23</v>
      </c>
      <c r="BP44" s="128"/>
      <c r="BQ44" s="124"/>
      <c r="BR44" s="134"/>
    </row>
    <row r="45" spans="1:70" ht="9.9499999999999993"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28">
        <f t="shared" ref="BP45" si="62">BO45+BO46</f>
        <v>50</v>
      </c>
      <c r="BQ45" s="124">
        <f t="shared" ref="BQ45" si="63">82-BP45</f>
        <v>32</v>
      </c>
      <c r="BR45" s="134">
        <f t="shared" ref="BR45" si="64">BP45/(BP45+BQ45)</f>
        <v>0.6097560975609756</v>
      </c>
    </row>
    <row r="46" spans="1:70" ht="9.9499999999999993" customHeight="1" x14ac:dyDescent="0.25">
      <c r="A46" s="12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23</v>
      </c>
      <c r="BP46" s="128"/>
      <c r="BQ46" s="124"/>
      <c r="BR46" s="134"/>
    </row>
    <row r="47" spans="1:70" ht="9.9499999999999993"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28">
        <f t="shared" ref="BP47" si="65">BO47+BO48</f>
        <v>51</v>
      </c>
      <c r="BQ47" s="124">
        <f t="shared" ref="BQ47" si="66">82-BP47</f>
        <v>31</v>
      </c>
      <c r="BR47" s="134">
        <f t="shared" ref="BR47" si="67">BP47/(BP47+BQ47)</f>
        <v>0.62195121951219512</v>
      </c>
    </row>
    <row r="48" spans="1:70" ht="9.9499999999999993" customHeight="1" x14ac:dyDescent="0.25">
      <c r="A48" s="12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28"/>
      <c r="BQ48" s="124"/>
      <c r="BR48" s="134"/>
    </row>
    <row r="49" spans="1:70" ht="9.9499999999999993"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25</v>
      </c>
      <c r="BP49" s="128">
        <f t="shared" ref="BP49" si="68">BO49+BO50</f>
        <v>49</v>
      </c>
      <c r="BQ49" s="124">
        <f t="shared" ref="BQ49" si="69">82-BP49</f>
        <v>33</v>
      </c>
      <c r="BR49" s="134">
        <f t="shared" ref="BR49" si="70">BP49/(BP49+BQ49)</f>
        <v>0.59756097560975607</v>
      </c>
    </row>
    <row r="50" spans="1:70" ht="9.9499999999999993" customHeight="1" thickBot="1" x14ac:dyDescent="0.3">
      <c r="A50" s="13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28"/>
      <c r="BQ50" s="124"/>
      <c r="BR50" s="134"/>
    </row>
    <row r="51" spans="1:70" ht="9.9499999999999993" customHeight="1" thickTop="1" x14ac:dyDescent="0.25">
      <c r="A51" s="12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28">
        <f t="shared" ref="BP51" si="71">BO51+BO52</f>
        <v>51</v>
      </c>
      <c r="BQ51" s="124">
        <f t="shared" ref="BQ51" si="72">82-BP51</f>
        <v>31</v>
      </c>
      <c r="BR51" s="134">
        <f t="shared" ref="BR51" si="73">BP51/(BP51+BQ51)</f>
        <v>0.62195121951219512</v>
      </c>
    </row>
    <row r="52" spans="1:70" ht="9.9499999999999993" customHeight="1" x14ac:dyDescent="0.25">
      <c r="A52" s="12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28"/>
      <c r="BQ52" s="124"/>
      <c r="BR52" s="134"/>
    </row>
    <row r="53" spans="1:70" ht="9.9499999999999993"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28">
        <f t="shared" ref="BP53" si="74">BO53+BO54</f>
        <v>49</v>
      </c>
      <c r="BQ53" s="124">
        <f t="shared" ref="BQ53" si="75">82-BP53</f>
        <v>33</v>
      </c>
      <c r="BR53" s="134">
        <f t="shared" ref="BR53" si="76">BP53/(BP53+BQ53)</f>
        <v>0.59756097560975607</v>
      </c>
    </row>
    <row r="54" spans="1:70" ht="9.9499999999999993" customHeight="1" x14ac:dyDescent="0.25">
      <c r="A54" s="12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28"/>
      <c r="BQ54" s="124"/>
      <c r="BR54" s="134"/>
    </row>
    <row r="55" spans="1:70" ht="9.9499999999999993"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28">
        <f t="shared" ref="BP55" si="77">BO55+BO56</f>
        <v>49</v>
      </c>
      <c r="BQ55" s="124">
        <f t="shared" ref="BQ55" si="78">82-BP55</f>
        <v>33</v>
      </c>
      <c r="BR55" s="134">
        <f t="shared" ref="BR55" si="79">BP55/(BP55+BQ55)</f>
        <v>0.59756097560975607</v>
      </c>
    </row>
    <row r="56" spans="1:70" ht="9.9499999999999993" customHeight="1" x14ac:dyDescent="0.25">
      <c r="A56" s="12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27</v>
      </c>
      <c r="BP56" s="128"/>
      <c r="BQ56" s="124"/>
      <c r="BR56" s="134"/>
    </row>
    <row r="57" spans="1:70" ht="9.9499999999999993"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26</v>
      </c>
      <c r="BP57" s="128">
        <f t="shared" ref="BP57" si="80">BO57+BO58</f>
        <v>50</v>
      </c>
      <c r="BQ57" s="124">
        <f t="shared" ref="BQ57" si="81">82-BP57</f>
        <v>32</v>
      </c>
      <c r="BR57" s="134">
        <f t="shared" ref="BR57" si="82">BP57/(BP57+BQ57)</f>
        <v>0.6097560975609756</v>
      </c>
    </row>
    <row r="58" spans="1:70" ht="9.9499999999999993" customHeight="1" x14ac:dyDescent="0.25">
      <c r="A58" s="12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28"/>
      <c r="BQ58" s="124"/>
      <c r="BR58" s="134"/>
    </row>
    <row r="59" spans="1:70" ht="9.9499999999999993"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28">
        <f t="shared" ref="BP59" si="83">BO59+BO60</f>
        <v>49</v>
      </c>
      <c r="BQ59" s="124">
        <f t="shared" ref="BQ59" si="84">82-BP59</f>
        <v>33</v>
      </c>
      <c r="BR59" s="134">
        <f t="shared" ref="BR59" si="85">BP59/(BP59+BQ59)</f>
        <v>0.59756097560975607</v>
      </c>
    </row>
    <row r="60" spans="1:70" ht="9.9499999999999993" customHeight="1" x14ac:dyDescent="0.25">
      <c r="A60" s="12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28"/>
      <c r="BQ60" s="124"/>
      <c r="BR60" s="134"/>
    </row>
    <row r="61" spans="1:70" ht="9.9499999999999993"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28">
        <f t="shared" ref="BP61" si="86">BO61+BO62</f>
        <v>50</v>
      </c>
      <c r="BQ61" s="124">
        <f t="shared" ref="BQ61" si="87">82-BP61</f>
        <v>32</v>
      </c>
      <c r="BR61" s="134">
        <f t="shared" ref="BR61" si="88">BP61/(BP61+BQ61)</f>
        <v>0.6097560975609756</v>
      </c>
    </row>
    <row r="62" spans="1:70" ht="9.9499999999999993" customHeight="1" x14ac:dyDescent="0.25">
      <c r="A62" s="12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28"/>
      <c r="BQ62" s="124"/>
      <c r="BR62" s="134"/>
    </row>
    <row r="63" spans="1:70" ht="9.9499999999999993"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28">
        <f t="shared" ref="BP63" si="89">BO63+BO64</f>
        <v>48</v>
      </c>
      <c r="BQ63" s="124">
        <f t="shared" ref="BQ63" si="90">82-BP63</f>
        <v>34</v>
      </c>
      <c r="BR63" s="134">
        <f t="shared" ref="BR63" si="91">BP63/(BP63+BQ63)</f>
        <v>0.58536585365853655</v>
      </c>
    </row>
    <row r="64" spans="1:70" ht="9.9499999999999993" customHeight="1" x14ac:dyDescent="0.25">
      <c r="A64" s="12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28"/>
      <c r="BQ64" s="124"/>
      <c r="BR64" s="134"/>
    </row>
    <row r="65" spans="1:70" ht="9.9499999999999993"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28">
        <f t="shared" ref="BP65" si="92">BO65+BO66</f>
        <v>50</v>
      </c>
      <c r="BQ65" s="124">
        <f t="shared" ref="BQ65" si="93">82-BP65</f>
        <v>32</v>
      </c>
      <c r="BR65" s="134">
        <f>BP65/(BP65+BQ65)</f>
        <v>0.6097560975609756</v>
      </c>
    </row>
    <row r="66" spans="1:70" ht="9.9499999999999993" customHeight="1" x14ac:dyDescent="0.25">
      <c r="A66" s="12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28"/>
      <c r="BQ66" s="124"/>
      <c r="BR66" s="13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70" x14ac:dyDescent="0.25">
      <c r="BP68" s="50">
        <f>2*BP67/SUM(BP3:BQ66)</f>
        <v>0.60137195121951215</v>
      </c>
      <c r="BQ68" s="50">
        <f>2*BQ67/SUM(BP3:BQ66)</f>
        <v>0.3986280487804878</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2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28">
        <f>BO3+BO4</f>
        <v>40</v>
      </c>
      <c r="BQ3" s="124">
        <f>82-BP3</f>
        <v>42</v>
      </c>
      <c r="BT3" s="44">
        <f>DataRegularSeason20242025!$A$3:$A$8</f>
        <v>45569</v>
      </c>
    </row>
    <row r="4" spans="1:72" s="34" customFormat="1" ht="9.9499999999999993" customHeight="1" x14ac:dyDescent="0.2">
      <c r="A4" s="125"/>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28"/>
      <c r="BQ4" s="124"/>
      <c r="BT4" s="34" t="e">
        <f>D</f>
        <v>#NAME?</v>
      </c>
    </row>
    <row r="5" spans="1:72" s="34" customFormat="1" ht="9.9499999999999993" customHeight="1" x14ac:dyDescent="0.2">
      <c r="A5" s="12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28">
        <f t="shared" ref="BP5" si="1">BO5+BO6</f>
        <v>47</v>
      </c>
      <c r="BQ5" s="124">
        <f t="shared" ref="BQ5" si="2">82-BP5</f>
        <v>35</v>
      </c>
    </row>
    <row r="6" spans="1:72" s="34" customFormat="1" ht="9.9499999999999993" customHeight="1" x14ac:dyDescent="0.2">
      <c r="A6" s="125"/>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28"/>
      <c r="BQ6" s="124"/>
    </row>
    <row r="7" spans="1:72" s="34" customFormat="1" ht="9.9499999999999993" customHeight="1" x14ac:dyDescent="0.2">
      <c r="A7" s="12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28">
        <f t="shared" ref="BP7" si="3">BO7+BO8</f>
        <v>37</v>
      </c>
      <c r="BQ7" s="124">
        <f t="shared" ref="BQ7" si="4">82-BP7</f>
        <v>45</v>
      </c>
    </row>
    <row r="8" spans="1:72" s="34" customFormat="1" ht="9.9499999999999993" customHeight="1" x14ac:dyDescent="0.2">
      <c r="A8" s="125"/>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28"/>
      <c r="BQ8" s="124"/>
    </row>
    <row r="9" spans="1:72" s="34" customFormat="1" ht="9.9499999999999993" customHeight="1" x14ac:dyDescent="0.2">
      <c r="A9" s="12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28">
        <f t="shared" ref="BP9" si="5">BO9+BO10</f>
        <v>44</v>
      </c>
      <c r="BQ9" s="124">
        <f t="shared" ref="BQ9" si="6">82-BP9</f>
        <v>38</v>
      </c>
    </row>
    <row r="10" spans="1:72" s="34" customFormat="1" ht="9.9499999999999993" customHeight="1" x14ac:dyDescent="0.2">
      <c r="A10" s="125"/>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28"/>
      <c r="BQ10" s="124"/>
    </row>
    <row r="11" spans="1:72" s="34" customFormat="1" ht="9.9499999999999993" customHeight="1" x14ac:dyDescent="0.2">
      <c r="A11" s="12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28">
        <f t="shared" ref="BP11" si="7">BO11+BO12</f>
        <v>41</v>
      </c>
      <c r="BQ11" s="124">
        <f t="shared" ref="BQ11" si="8">82-BP11</f>
        <v>41</v>
      </c>
    </row>
    <row r="12" spans="1:72" s="34" customFormat="1" ht="9.9499999999999993" customHeight="1" x14ac:dyDescent="0.2">
      <c r="A12" s="125"/>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28"/>
      <c r="BQ12" s="124"/>
    </row>
    <row r="13" spans="1:72" s="34" customFormat="1" ht="9.9499999999999993" customHeight="1" x14ac:dyDescent="0.2">
      <c r="A13" s="12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28">
        <f t="shared" ref="BP13" si="9">BO13+BO14</f>
        <v>46</v>
      </c>
      <c r="BQ13" s="124">
        <f t="shared" ref="BQ13" si="10">82-BP13</f>
        <v>36</v>
      </c>
    </row>
    <row r="14" spans="1:72" s="34" customFormat="1" ht="9.9499999999999993" customHeight="1" x14ac:dyDescent="0.2">
      <c r="A14" s="125"/>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28"/>
      <c r="BQ14" s="124"/>
    </row>
    <row r="15" spans="1:72" s="34" customFormat="1" ht="9.9499999999999993" customHeight="1" x14ac:dyDescent="0.2">
      <c r="A15" s="12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28">
        <f t="shared" ref="BP15" si="11">BO15+BO16</f>
        <v>42</v>
      </c>
      <c r="BQ15" s="124">
        <f t="shared" ref="BQ15" si="12">82-BP15</f>
        <v>40</v>
      </c>
    </row>
    <row r="16" spans="1:72" s="34" customFormat="1" ht="9.9499999999999993" customHeight="1" x14ac:dyDescent="0.2">
      <c r="A16" s="125"/>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1</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21</v>
      </c>
      <c r="BP16" s="128"/>
      <c r="BQ16" s="124"/>
    </row>
    <row r="17" spans="1:69" s="34" customFormat="1" ht="9.9499999999999993" customHeight="1" x14ac:dyDescent="0.2">
      <c r="A17" s="12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0</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21</v>
      </c>
      <c r="BP17" s="128">
        <f t="shared" ref="BP17" si="13">BO17+BO18</f>
        <v>44</v>
      </c>
      <c r="BQ17" s="124">
        <f t="shared" ref="BQ17" si="14">82-BP17</f>
        <v>38</v>
      </c>
    </row>
    <row r="18" spans="1:69" s="34" customFormat="1" ht="9.9499999999999993" customHeight="1" x14ac:dyDescent="0.2">
      <c r="A18" s="125"/>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28"/>
      <c r="BQ18" s="124"/>
    </row>
    <row r="19" spans="1:69" s="34" customFormat="1" ht="9.9499999999999993" customHeight="1" x14ac:dyDescent="0.2">
      <c r="A19" s="12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28">
        <f t="shared" ref="BP19" si="15">BO19+BO20</f>
        <v>38</v>
      </c>
      <c r="BQ19" s="124">
        <f t="shared" ref="BQ19" si="16">82-BP19</f>
        <v>44</v>
      </c>
    </row>
    <row r="20" spans="1:69" s="34" customFormat="1" ht="9.9499999999999993" customHeight="1" x14ac:dyDescent="0.2">
      <c r="A20" s="125"/>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28"/>
      <c r="BQ20" s="124"/>
    </row>
    <row r="21" spans="1:69" s="34" customFormat="1" ht="9.9499999999999993" customHeight="1" x14ac:dyDescent="0.2">
      <c r="A21" s="12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28">
        <f t="shared" ref="BP21" si="17">BO21+BO22</f>
        <v>39</v>
      </c>
      <c r="BQ21" s="124">
        <f t="shared" ref="BQ21" si="18">82-BP21</f>
        <v>43</v>
      </c>
    </row>
    <row r="22" spans="1:69" s="34" customFormat="1" ht="9.9499999999999993" customHeight="1" x14ac:dyDescent="0.2">
      <c r="A22" s="125"/>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0</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21</v>
      </c>
      <c r="BP22" s="128"/>
      <c r="BQ22" s="124"/>
    </row>
    <row r="23" spans="1:69" s="34" customFormat="1" ht="9.9499999999999993" customHeight="1" x14ac:dyDescent="0.2">
      <c r="A23" s="12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28">
        <f t="shared" ref="BP23" si="19">BO23+BO24</f>
        <v>46</v>
      </c>
      <c r="BQ23" s="124">
        <f t="shared" ref="BQ23" si="20">82-BP23</f>
        <v>36</v>
      </c>
    </row>
    <row r="24" spans="1:69" s="34" customFormat="1" ht="9.9499999999999993" customHeight="1" x14ac:dyDescent="0.2">
      <c r="A24" s="125"/>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0</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24</v>
      </c>
      <c r="BP24" s="128"/>
      <c r="BQ24" s="124"/>
    </row>
    <row r="25" spans="1:69" s="34" customFormat="1" ht="9.9499999999999993" customHeight="1" x14ac:dyDescent="0.2">
      <c r="A25" s="12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0</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25</v>
      </c>
      <c r="BP25" s="128">
        <f t="shared" ref="BP25" si="21">BO25+BO26</f>
        <v>48</v>
      </c>
      <c r="BQ25" s="124">
        <f t="shared" ref="BQ25" si="22">82-BP25</f>
        <v>34</v>
      </c>
    </row>
    <row r="26" spans="1:69" s="34" customFormat="1" ht="9.9499999999999993" customHeight="1" x14ac:dyDescent="0.2">
      <c r="A26" s="125"/>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28"/>
      <c r="BQ26" s="124"/>
    </row>
    <row r="27" spans="1:69" s="34" customFormat="1" ht="9.9499999999999993" customHeight="1" x14ac:dyDescent="0.2">
      <c r="A27" s="12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0</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22</v>
      </c>
      <c r="BP27" s="128">
        <f t="shared" ref="BP27" si="23">BO27+BO28</f>
        <v>40</v>
      </c>
      <c r="BQ27" s="124">
        <f t="shared" ref="BQ27" si="24">82-BP27</f>
        <v>42</v>
      </c>
    </row>
    <row r="28" spans="1:69" s="34" customFormat="1" ht="9.9499999999999993" customHeight="1" x14ac:dyDescent="0.2">
      <c r="A28" s="125"/>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28"/>
      <c r="BQ28" s="124"/>
    </row>
    <row r="29" spans="1:69" s="34" customFormat="1" ht="9.9499999999999993" customHeight="1" x14ac:dyDescent="0.2">
      <c r="A29" s="12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1</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23</v>
      </c>
      <c r="BP29" s="128">
        <f t="shared" ref="BP29" si="25">BO29+BO30</f>
        <v>43</v>
      </c>
      <c r="BQ29" s="124">
        <f t="shared" ref="BQ29" si="26">82-BP29</f>
        <v>39</v>
      </c>
    </row>
    <row r="30" spans="1:69" s="34" customFormat="1" ht="9.9499999999999993" customHeight="1" x14ac:dyDescent="0.2">
      <c r="A30" s="125"/>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28"/>
      <c r="BQ30" s="124"/>
    </row>
    <row r="31" spans="1:69" s="34" customFormat="1" ht="9.9499999999999993" customHeight="1" x14ac:dyDescent="0.2">
      <c r="A31" s="12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28">
        <f t="shared" ref="BP31" si="27">BO31+BO32</f>
        <v>18</v>
      </c>
      <c r="BQ31" s="124">
        <f t="shared" ref="BQ31" si="28">82-BP31</f>
        <v>64</v>
      </c>
    </row>
    <row r="32" spans="1:69" s="34" customFormat="1" ht="9.9499999999999993" customHeight="1" x14ac:dyDescent="0.2">
      <c r="A32" s="125"/>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28"/>
      <c r="BQ32" s="124"/>
    </row>
    <row r="33" spans="1:69" s="34" customFormat="1" ht="9.9499999999999993" customHeight="1" x14ac:dyDescent="0.2">
      <c r="A33" s="12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0</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20</v>
      </c>
      <c r="BP33" s="128">
        <f t="shared" ref="BP33" si="29">BO33+BO34</f>
        <v>42</v>
      </c>
      <c r="BQ33" s="124">
        <f t="shared" ref="BQ33" si="30">82-BP33</f>
        <v>40</v>
      </c>
    </row>
    <row r="34" spans="1:69" s="34" customFormat="1" ht="9.9499999999999993" customHeight="1" x14ac:dyDescent="0.2">
      <c r="A34" s="125"/>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28"/>
      <c r="BQ34" s="124"/>
    </row>
    <row r="35" spans="1:69" s="34" customFormat="1" ht="9.9499999999999993" customHeight="1" x14ac:dyDescent="0.2">
      <c r="A35" s="12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28">
        <f t="shared" ref="BP35" si="31">BO35+BO36</f>
        <v>43</v>
      </c>
      <c r="BQ35" s="124">
        <f t="shared" ref="BQ35" si="32">82-BP35</f>
        <v>39</v>
      </c>
    </row>
    <row r="36" spans="1:69" s="34" customFormat="1" ht="9.9499999999999993" customHeight="1" x14ac:dyDescent="0.2">
      <c r="A36" s="125"/>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28"/>
      <c r="BQ36" s="124"/>
    </row>
    <row r="37" spans="1:69" s="34" customFormat="1" ht="9.9499999999999993" customHeight="1" x14ac:dyDescent="0.2">
      <c r="A37" s="12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28">
        <f t="shared" ref="BP37" si="33">BO37+BO38</f>
        <v>37</v>
      </c>
      <c r="BQ37" s="124">
        <f t="shared" ref="BQ37" si="34">82-BP37</f>
        <v>45</v>
      </c>
    </row>
    <row r="38" spans="1:69" s="34" customFormat="1" ht="9.9499999999999993" customHeight="1" x14ac:dyDescent="0.2">
      <c r="A38" s="125"/>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28"/>
      <c r="BQ38" s="124"/>
    </row>
    <row r="39" spans="1:69" s="34" customFormat="1" ht="9.9499999999999993" customHeight="1" x14ac:dyDescent="0.2">
      <c r="A39" s="12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28">
        <f t="shared" ref="BP39" si="35">BO39+BO40</f>
        <v>39</v>
      </c>
      <c r="BQ39" s="124">
        <f t="shared" ref="BQ39" si="36">82-BP39</f>
        <v>43</v>
      </c>
    </row>
    <row r="40" spans="1:69" s="34" customFormat="1" ht="9.9499999999999993" customHeight="1" x14ac:dyDescent="0.2">
      <c r="A40" s="125"/>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0</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19</v>
      </c>
      <c r="BP40" s="128"/>
      <c r="BQ40" s="124"/>
    </row>
    <row r="41" spans="1:69" s="34" customFormat="1" ht="9.9499999999999993" customHeight="1" x14ac:dyDescent="0.2">
      <c r="A41" s="12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28">
        <f t="shared" ref="BP41" si="37">BO41+BO42</f>
        <v>14</v>
      </c>
      <c r="BQ41" s="124">
        <f t="shared" ref="BQ41" si="38">82-BP41</f>
        <v>68</v>
      </c>
    </row>
    <row r="42" spans="1:69" s="34" customFormat="1" ht="9.9499999999999993" customHeight="1" x14ac:dyDescent="0.2">
      <c r="A42" s="125"/>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28"/>
      <c r="BQ42" s="124"/>
    </row>
    <row r="43" spans="1:69" s="34" customFormat="1" ht="9.9499999999999993" customHeight="1" x14ac:dyDescent="0.2">
      <c r="A43" s="12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28">
        <f t="shared" ref="BP43" si="39">BO43+BO44</f>
        <v>44</v>
      </c>
      <c r="BQ43" s="124">
        <f t="shared" ref="BQ43" si="40">82-BP43</f>
        <v>38</v>
      </c>
    </row>
    <row r="44" spans="1:69" s="34" customFormat="1" ht="9.9499999999999993" customHeight="1" x14ac:dyDescent="0.2">
      <c r="A44" s="125"/>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0</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20</v>
      </c>
      <c r="BP44" s="128"/>
      <c r="BQ44" s="124"/>
    </row>
    <row r="45" spans="1:69" s="34" customFormat="1" ht="9.9499999999999993" customHeight="1" x14ac:dyDescent="0.2">
      <c r="A45" s="12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28">
        <f t="shared" ref="BP45" si="41">BO45+BO46</f>
        <v>46</v>
      </c>
      <c r="BQ45" s="124">
        <f t="shared" ref="BQ45" si="42">82-BP45</f>
        <v>36</v>
      </c>
    </row>
    <row r="46" spans="1:69" s="34" customFormat="1" ht="9.9499999999999993" customHeight="1" x14ac:dyDescent="0.2">
      <c r="A46" s="125"/>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28"/>
      <c r="BQ46" s="124"/>
    </row>
    <row r="47" spans="1:69" s="34" customFormat="1" ht="9.9499999999999993" customHeight="1" x14ac:dyDescent="0.2">
      <c r="A47" s="12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0</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20</v>
      </c>
      <c r="BP47" s="128">
        <f t="shared" ref="BP47" si="43">BO47+BO48</f>
        <v>41</v>
      </c>
      <c r="BQ47" s="124">
        <f t="shared" ref="BQ47" si="44">82-BP47</f>
        <v>41</v>
      </c>
    </row>
    <row r="48" spans="1:69" s="34" customFormat="1" ht="9.9499999999999993" customHeight="1" x14ac:dyDescent="0.2">
      <c r="A48" s="125"/>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28"/>
      <c r="BQ48" s="124"/>
    </row>
    <row r="49" spans="1:69" s="34" customFormat="1" ht="9.9499999999999993" customHeight="1" x14ac:dyDescent="0.2">
      <c r="A49" s="12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28">
        <f t="shared" ref="BP49" si="45">BO49+BO50</f>
        <v>43</v>
      </c>
      <c r="BQ49" s="124">
        <f t="shared" ref="BQ49" si="46">82-BP49</f>
        <v>39</v>
      </c>
    </row>
    <row r="50" spans="1:69" s="34" customFormat="1" ht="9.9499999999999993" customHeight="1" x14ac:dyDescent="0.2">
      <c r="A50" s="125"/>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21</v>
      </c>
      <c r="BP50" s="128"/>
      <c r="BQ50" s="124"/>
    </row>
    <row r="51" spans="1:69" s="34" customFormat="1" ht="9.9499999999999993" customHeight="1" x14ac:dyDescent="0.2">
      <c r="A51" s="12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28">
        <f t="shared" ref="BP51" si="47">BO51+BO52</f>
        <v>42</v>
      </c>
      <c r="BQ51" s="124">
        <f t="shared" ref="BQ51" si="48">82-BP51</f>
        <v>40</v>
      </c>
    </row>
    <row r="52" spans="1:69" s="34" customFormat="1" ht="9.9499999999999993" customHeight="1" x14ac:dyDescent="0.2">
      <c r="A52" s="125"/>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28"/>
      <c r="BQ52" s="124"/>
    </row>
    <row r="53" spans="1:69" s="34" customFormat="1" ht="9.9499999999999993" customHeight="1" x14ac:dyDescent="0.2">
      <c r="A53" s="12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28">
        <f t="shared" ref="BP53" si="49">BO53+BO54</f>
        <v>42</v>
      </c>
      <c r="BQ53" s="124">
        <f t="shared" ref="BQ53" si="50">82-BP53</f>
        <v>40</v>
      </c>
    </row>
    <row r="54" spans="1:69" s="34" customFormat="1" ht="9.9499999999999993" customHeight="1" x14ac:dyDescent="0.2">
      <c r="A54" s="125"/>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28"/>
      <c r="BQ54" s="124"/>
    </row>
    <row r="55" spans="1:69" s="34" customFormat="1" ht="9.9499999999999993" customHeight="1" x14ac:dyDescent="0.2">
      <c r="A55" s="12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28">
        <f t="shared" ref="BP55" si="51">BO55+BO56</f>
        <v>42</v>
      </c>
      <c r="BQ55" s="124">
        <f t="shared" ref="BQ55" si="52">82-BP55</f>
        <v>40</v>
      </c>
    </row>
    <row r="56" spans="1:69" s="34" customFormat="1" ht="9.9499999999999993" customHeight="1" x14ac:dyDescent="0.2">
      <c r="A56" s="125"/>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28"/>
      <c r="BQ56" s="124"/>
    </row>
    <row r="57" spans="1:69" s="34" customFormat="1" ht="9.9499999999999993" customHeight="1" x14ac:dyDescent="0.2">
      <c r="A57" s="12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28">
        <f t="shared" ref="BP57" si="53">BO57+BO58</f>
        <v>41</v>
      </c>
      <c r="BQ57" s="124">
        <f t="shared" ref="BQ57" si="54">82-BP57</f>
        <v>41</v>
      </c>
    </row>
    <row r="58" spans="1:69" s="34" customFormat="1" ht="9.9499999999999993" customHeight="1" x14ac:dyDescent="0.2">
      <c r="A58" s="125"/>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28"/>
      <c r="BQ58" s="124"/>
    </row>
    <row r="59" spans="1:69" s="34" customFormat="1" ht="9.9499999999999993" customHeight="1" x14ac:dyDescent="0.2">
      <c r="A59" s="12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28">
        <f t="shared" ref="BP59" si="55">BO59+BO60</f>
        <v>44</v>
      </c>
      <c r="BQ59" s="124">
        <f t="shared" ref="BQ59" si="56">82-BP59</f>
        <v>38</v>
      </c>
    </row>
    <row r="60" spans="1:69" s="34" customFormat="1" ht="9.9499999999999993" customHeight="1" x14ac:dyDescent="0.2">
      <c r="A60" s="125"/>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28"/>
      <c r="BQ60" s="124"/>
    </row>
    <row r="61" spans="1:69" s="34" customFormat="1" ht="9.9499999999999993" customHeight="1" x14ac:dyDescent="0.2">
      <c r="A61" s="12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28">
        <f t="shared" ref="BP61" si="57">BO61+BO62</f>
        <v>41</v>
      </c>
      <c r="BQ61" s="124">
        <f t="shared" ref="BQ61" si="58">82-BP61</f>
        <v>41</v>
      </c>
    </row>
    <row r="62" spans="1:69" s="34" customFormat="1" ht="9.9499999999999993" customHeight="1" x14ac:dyDescent="0.2">
      <c r="A62" s="125"/>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0</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20</v>
      </c>
      <c r="BP62" s="128"/>
      <c r="BQ62" s="124"/>
    </row>
    <row r="63" spans="1:69" s="34" customFormat="1" ht="9.9499999999999993" customHeight="1" x14ac:dyDescent="0.2">
      <c r="A63" s="12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28">
        <f t="shared" ref="BP63" si="59">BO63+BO64</f>
        <v>49</v>
      </c>
      <c r="BQ63" s="124">
        <f t="shared" ref="BQ63" si="60">82-BP63</f>
        <v>33</v>
      </c>
    </row>
    <row r="64" spans="1:69" s="34" customFormat="1" ht="9.9499999999999993" customHeight="1" x14ac:dyDescent="0.2">
      <c r="A64" s="125"/>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28"/>
      <c r="BQ64" s="124"/>
    </row>
    <row r="65" spans="1:69" s="34" customFormat="1" ht="9.9499999999999993" customHeight="1" x14ac:dyDescent="0.2">
      <c r="A65" s="12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22</v>
      </c>
      <c r="BP65" s="128">
        <f t="shared" ref="BP65" si="61">BO65+BO66</f>
        <v>41</v>
      </c>
      <c r="BQ65" s="124">
        <f t="shared" ref="BQ65" si="62">82-BP65</f>
        <v>41</v>
      </c>
    </row>
    <row r="66" spans="1:69" s="34" customFormat="1" ht="9.9499999999999993" customHeight="1" x14ac:dyDescent="0.2">
      <c r="A66" s="125"/>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28"/>
      <c r="BQ66" s="124"/>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652</v>
      </c>
      <c r="BQ67" s="33">
        <f>SUM(BQ3:BQ66)/2</f>
        <v>660</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K15" sqref="K15"/>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3"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28</v>
      </c>
      <c r="B2" t="s">
        <v>97</v>
      </c>
      <c r="C2" t="s">
        <v>100</v>
      </c>
      <c r="D2">
        <f>COUNTIFS(DataRegularSeason20242025!$D$3:$D$1315,$A2,DataRegularSeason20242025!$R$3:$R$1315,1,DataRegularSeason20242025!$N$3:$N$1315,1) + COUNTIFS(DataRegularSeason20242025!$E$3:$E$1315,$A2,DataRegularSeason20242025!$R$3:$R$1315,1,DataRegularSeason20242025!$N$3:$N$1315,1)</f>
        <v>40</v>
      </c>
      <c r="E2" s="15">
        <f>Table3[[#This Row],[Watched]]/Table3[[#This Row],[GP]]</f>
        <v>0.86956521739130432</v>
      </c>
      <c r="F2">
        <f>COUNTIFS(DataRegularSeason20242025!$N$3:$N$1315,1,DataRegularSeason20242025!$D$3:$D$1315,$A2)</f>
        <v>27</v>
      </c>
      <c r="G2">
        <f>41-Table3[[#This Row],[GP_A]]</f>
        <v>14</v>
      </c>
      <c r="H2">
        <f>COUNTIFS(DataRegularSeason20242025!$E$3:$E$1315,$A2,DataRegularSeason20242025!$N$3:$N$1315,1)</f>
        <v>19</v>
      </c>
      <c r="I2">
        <f>41-Table3[[#This Row],[GP_H]]</f>
        <v>22</v>
      </c>
      <c r="J2">
        <f t="shared" ref="J2:J33" si="0">F2+H2</f>
        <v>46</v>
      </c>
      <c r="K2">
        <f>82-Table3[[#This Row],[GP]]</f>
        <v>36</v>
      </c>
      <c r="L2">
        <f>COUNTIFS(DataRegularSeason20242025!$D$3:$D$1315,$A2, DataRegularSeason20242025!$L$3:$L$1315, $A2,DataRegularSeason20242025!$N$3:$N$1315,1)</f>
        <v>11</v>
      </c>
      <c r="M2">
        <f>COUNTIFS(DataRegularSeason20242025!$D$3:$D$1315,$A2, DataRegularSeason20242025!$L$3:$L$1315, $A2,DataRegularSeason20242025!$N$3:$N$1315,1,DataRegularSeason20242025!$M$3:$M$1315,"REG")</f>
        <v>10</v>
      </c>
      <c r="N2">
        <f>COUNTIFS(DataRegularSeason20242025!$D$3:$D$1315,$A2, DataRegularSeason20242025!$L$3:$L$1315, $A2,DataRegularSeason20242025!$N$3:$N$1315,1,DataRegularSeason20242025!$M$3:$M$1315,"OT")</f>
        <v>1</v>
      </c>
      <c r="O2">
        <f>COUNTIFS(DataRegularSeason20242025!$D$3:$D$1315,$A2, DataRegularSeason20242025!$L$3:$L$1315, $A2,DataRegularSeason20242025!$N$3:$N$1315,1,DataRegularSeason20242025!$M$3:$M$1315,"SO")</f>
        <v>0</v>
      </c>
      <c r="P2">
        <f t="shared" ref="P2:P33" si="1">F2-L2</f>
        <v>16</v>
      </c>
      <c r="Q2">
        <f>COUNTIFS(DataRegularSeason20242025!$D$3:$D$1315,$A2, DataRegularSeason20242025!$S$3:$S$1315, $A2,DataRegularSeason20242025!$M$3:$M$1315,"REG")</f>
        <v>11</v>
      </c>
      <c r="R2">
        <f>COUNTIFS(DataRegularSeason20242025!$D$3:$D$1315,$A2, DataRegularSeason20242025!$S$3:$S$1315, $A2,DataRegularSeason20242025!$M$3:$M$1315,"OT")</f>
        <v>5</v>
      </c>
      <c r="S2">
        <f>COUNTIFS(DataRegularSeason20242025!$D$3:$D$1315,$A2, DataRegularSeason20242025!$S$3:$S$1315, $A2,DataRegularSeason20242025!$M$3:$M$1315,"SO")</f>
        <v>0</v>
      </c>
      <c r="T2">
        <f>COUNTIFS(DataRegularSeason20242025!$E$3:$E$1315,$A2, DataRegularSeason20242025!$L$3:$L$1315, $A2, DataRegularSeason20242025!$N$3:$N$1315,1)</f>
        <v>15</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1</v>
      </c>
      <c r="W2">
        <f>COUNTIFS(DataRegularSeason20242025!$E$3:$E$1315,$A2, DataRegularSeason20242025!$L$3:$L$1315, $A2,DataRegularSeason20242025!$N$3:$N$1315,1,DataRegularSeason20242025!$M$3:$M$1315,"SO")</f>
        <v>0</v>
      </c>
      <c r="X2">
        <f t="shared" ref="X2:X33" si="2">H2-T2</f>
        <v>4</v>
      </c>
      <c r="Y2">
        <f>COUNTIFS(DataRegularSeason20242025!$E$3:$E$1315,$A2, DataRegularSeason20242025!$S$3:$S$1315, $A2,DataRegularSeason20242025!$M$3:$M$1315,"REG")</f>
        <v>3</v>
      </c>
      <c r="Z2">
        <f>COUNTIFS(DataRegularSeason20242025!$E$3:$E$1315,$A2, DataRegularSeason20242025!$S$3:$S$1315, $A2,DataRegularSeason20242025!$M$3:$M$1315,"OT")</f>
        <v>0</v>
      </c>
      <c r="AA2">
        <f>COUNTIFS(DataRegularSeason20242025!$E$3:$E$1315,$A2, DataRegularSeason20242025!$S$3:$S$1315, $A2,DataRegularSeason20242025!$M$3:$M$1315,"SO")</f>
        <v>1</v>
      </c>
      <c r="AB2">
        <f>Table3[[#This Row],[W_A]]+Table3[[#This Row],[W_H]]</f>
        <v>26</v>
      </c>
      <c r="AC2">
        <f>Table3[[#This Row],[L_A]]+Table3[[#This Row],[L_H]]</f>
        <v>20</v>
      </c>
      <c r="AD2">
        <f>Table3[[#This Row],[RW_A]]+Table3[[#This Row],[RW_H]]</f>
        <v>24</v>
      </c>
      <c r="AE2">
        <f>Table3[[#This Row],[RL_A]]+Table3[[#This Row],[RL_H]]</f>
        <v>14</v>
      </c>
      <c r="AF2">
        <f>Table3[[#This Row],[OTW_A]]+Table3[[#This Row],[OTW_H]]</f>
        <v>2</v>
      </c>
      <c r="AG2">
        <f>Table3[[#This Row],[OTL_A]]+Table3[[#This Row],[OTL_H]]</f>
        <v>5</v>
      </c>
      <c r="AH2">
        <f>Table3[[#This Row],[SOW_A]]+Table3[[#This Row],[SOW_H]]</f>
        <v>0</v>
      </c>
      <c r="AI2">
        <f>Table3[[#This Row],[SOL_A]]+Table3[[#This Row],[SOL_H]]</f>
        <v>1</v>
      </c>
      <c r="AJ2" s="20" t="str">
        <f>_xlfn.CONCAT(TEXT(Table3[[#This Row],[OTW]]+Table3[[#This Row],[SOW]], "0"), "-", TEXT(Table3[[#This Row],[OTL]]+Table3[[#This Row],[SOL]],"0"))</f>
        <v>2-6</v>
      </c>
      <c r="AK2">
        <f>(2*(Table3[[#This Row],[W_A]]+Table3[[#This Row],[W_H]]))+Table3[[#This Row],[OTL_A]]+Table3[[#This Row],[SOL_A]]+Table3[[#This Row],[OTL_H]]+Table3[[#This Row],[SOL_H]]</f>
        <v>58</v>
      </c>
      <c r="AL2">
        <f>(3*(Table3[[#This Row],[RW_A]]+Table3[[#This Row],[RW_H]]))+(2*(Table3[[#This Row],[OTW_A]]+Table3[[#This Row],[SOW_A]]+Table3[[#This Row],[OTW_H]]+Table3[[#This Row],[SOW_H]]))+Table3[[#This Row],[OTL_A]]+Table3[[#This Row],[SOL_A]]+Table3[[#This Row],[OTL_H]]+Table3[[#This Row],[SOL_H]]</f>
        <v>82</v>
      </c>
      <c r="AM2" s="15">
        <f>Table3[[#This Row],[PTS]]/(2*Table3[[#This Row],[GP]])</f>
        <v>0.63043478260869568</v>
      </c>
      <c r="AN2" s="15">
        <f>Table3[[#This Row],[PTS2]]/(3*Table3[[#This Row],[GP]])</f>
        <v>0.59420289855072461</v>
      </c>
      <c r="AO2">
        <f>(2*Table3[[#This Row],[GR]])+Table3[[#This Row],[PTS]]</f>
        <v>130</v>
      </c>
      <c r="AP2">
        <f>(3*Table3[[#This Row],[GR]])+Table3[[#This Row],[PTS2]]</f>
        <v>190</v>
      </c>
      <c r="AQ2">
        <f>Table3[[#This Row],[PTS]]+(2 * Table3[[#This Row],[GR]] * Table3[[#This Row],[PTS%]])</f>
        <v>103.39130434782609</v>
      </c>
      <c r="AR2">
        <f>Table3[[#This Row],[PTS2]]+(3 * Table3[[#This Row],[GR]] * Table3[[#This Row],[PTS%2]])</f>
        <v>146.17391304347825</v>
      </c>
      <c r="AS2" s="20" t="str">
        <f>_xlfn.CONCAT(TEXT(Table3[[#This Row],[W]], "0"), "-", TEXT(Table3[[#This Row],[RL]],"0"), "-", TEXT(Table3[[#This Row],[OTL]]+Table3[[#This Row],[SOL]], "0"))</f>
        <v>26-14-6</v>
      </c>
      <c r="AT2">
        <f>COUNTIFS(DataRegularSeason20242025!$D$3:$D$1315,Table3[[#This Row],[Teams]],DataRegularSeason20242025!$K$3:$K$1315,0)</f>
        <v>1</v>
      </c>
      <c r="AU2">
        <f>SUMIF(DataRegularSeason20242025!$D$3:$D$1315,$A2, DataRegularSeason20242025!$J$3:$J$1315)</f>
        <v>72</v>
      </c>
      <c r="AV2">
        <f>SUMIF(DataRegularSeason20242025!$D$3:$D$1315,$A2, DataRegularSeason20242025!$K$3:$K$1315)</f>
        <v>74</v>
      </c>
      <c r="AW2">
        <f t="shared" ref="AW2:AW33" si="3">AU2-AV2</f>
        <v>-2</v>
      </c>
      <c r="AX2">
        <f>COUNTIFS(DataRegularSeason20242025!$E$3:$E$1315,Table3[[#This Row],[Teams]],DataRegularSeason20242025!$J$3:$J$1315,0)</f>
        <v>1</v>
      </c>
      <c r="AY2">
        <f>SUMIF(DataRegularSeason20242025!$E$3:$E$1315,$A2,DataRegularSeason20242025!$K$3:$K$1315)</f>
        <v>61</v>
      </c>
      <c r="AZ2">
        <f>SUMIF(DataRegularSeason20242025!$E$3:$E$1315,$A2,DataRegularSeason20242025!$J$3:$J$1315)</f>
        <v>40</v>
      </c>
      <c r="BA2">
        <f t="shared" ref="BA2:BA33" si="4">AY2-AZ2</f>
        <v>21</v>
      </c>
      <c r="BB2">
        <f t="shared" ref="BB2:BB33" si="5">AU2+AY2</f>
        <v>133</v>
      </c>
      <c r="BC2">
        <f t="shared" ref="BC2:BC33" si="6">AV2+AZ2</f>
        <v>114</v>
      </c>
      <c r="BD2">
        <f t="shared" ref="BD2:BD33" si="7">BB2-BC2</f>
        <v>19</v>
      </c>
      <c r="BE2" s="17">
        <f>Table3[[#This Row],[GF]]/Table3[[#This Row],[GP]]</f>
        <v>2.8913043478260869</v>
      </c>
      <c r="BF2" s="17">
        <f>Table3[[#This Row],[GA]]/Table3[[#This Row],[GP]]</f>
        <v>2.4782608695652173</v>
      </c>
      <c r="BG2" s="17">
        <f>(Table3[[#This Row],[GF]]-Table3[[#This Row],[GA]])/Table3[[#This Row],[GP]]</f>
        <v>0.41304347826086957</v>
      </c>
      <c r="BH2" s="49" t="str">
        <f>_xlfn.CONCAT(TEXT(Table3[[#This Row],[W_H]], "0"), "-", TEXT(Table3[[#This Row],[RL_H]],"0"), "-", TEXT(Table3[[#This Row],[OTL_H]]+Table3[[#This Row],[SOL_H]], "0"))</f>
        <v>15-3-1</v>
      </c>
      <c r="BI2" s="49" t="str">
        <f>_xlfn.CONCAT(TEXT(Table3[[#This Row],[W_A]], "0"), "-", TEXT(Table3[[#This Row],[RL_A]],"0"), "-", TEXT(Table3[[#This Row],[OTL_A]]+Table3[[#This Row],[SOL_A]], "0"))</f>
        <v>11-11-5</v>
      </c>
      <c r="BJ2" s="49">
        <f>((2*(Table3[[#This Row],[W_H]]))+Table3[[#This Row],[OTL_H]]+Table3[[#This Row],[SOL_H]])/(2*Table3[[#This Row],[GP_H]])</f>
        <v>0.81578947368421051</v>
      </c>
      <c r="BK2" s="49">
        <f>((2*(Table3[[#This Row],[W_A]]))+Table3[[#This Row],[OTL_A]]+Table3[[#This Row],[SOL_A]])/(2*Table3[[#This Row],[GP_A]])</f>
        <v>0.5</v>
      </c>
      <c r="BL2" s="21">
        <f>(Table3[[#This Row],[W]]*$CG$3)+(Table3[[#This Row],[L]]*$CG$4)+(Table3[[#This Row],[GF]]*$CG$5)+(Table3[[#This Row],[GA]]*$CG$6)</f>
        <v>50.35</v>
      </c>
      <c r="BM2" s="21">
        <f>(82*(((Table3[[#This Row],[PTS%]]*$CG$3)+((1-Table3[[#This Row],[PTS%]])*$CG$4)+(Table3[[#This Row],[GF]]*$CG$5)+(Table3[[#This Row],[GA]]*$CG$6))/Table3[[#This Row],[GP]])) + (Table3[[#This Row],[W]]*$CG$3)+(Table3[[#This Row],[L]]*$CG$4)+(Table3[[#This Row],[GF]]*$CG$5)+(Table3[[#This Row],[GA]]*$CG$6)</f>
        <v>106.99432892249528</v>
      </c>
      <c r="BN2">
        <f>COUNTIFS(DataRegularSeason20242025!$D$3:$D$1315,$A2,DataRegularSeason20242025!$H$3:$H$1315, $A2)</f>
        <v>12</v>
      </c>
      <c r="BO2">
        <f>COUNTIFS(DataRegularSeason20242025!$E$3:$E$1315,$A2,DataRegularSeason20242025!$H$3:$H$1315, $A2)</f>
        <v>9</v>
      </c>
      <c r="BP2">
        <f t="shared" ref="BP2:BP33" si="8">BN2+BO2</f>
        <v>21</v>
      </c>
      <c r="BQ2">
        <f t="shared" ref="BQ2:BQ33" si="9">F2-BN2</f>
        <v>15</v>
      </c>
      <c r="BR2">
        <f t="shared" ref="BR2:BR33" si="10">H2-BO2</f>
        <v>10</v>
      </c>
      <c r="BS2">
        <f t="shared" ref="BS2:BS33" si="11">BQ2+BR2</f>
        <v>25</v>
      </c>
      <c r="BV2">
        <v>2014</v>
      </c>
      <c r="BW2" t="e">
        <f>INDEX(Table2[AwayTeam], Table3[[#This Row],[Column2]])</f>
        <v>#VALUE!</v>
      </c>
      <c r="BX2" t="e">
        <f>LARGE((Table2[[#This Row],[AwayTeam]]=Table3[[#This Row],[Teams]]), 1)</f>
        <v>#VALUE!</v>
      </c>
      <c r="CA2" t="s">
        <v>1461</v>
      </c>
      <c r="CB2">
        <f>SUM($J$2:$J$33)/2</f>
        <v>789</v>
      </c>
      <c r="CF2" t="s">
        <v>63</v>
      </c>
      <c r="CG2" s="19" t="s">
        <v>1472</v>
      </c>
      <c r="CH2">
        <f>INDEX($J$2:$J$33,MATCH("CGY",$A$2:$A$33,0),1)</f>
        <v>48</v>
      </c>
    </row>
    <row r="3" spans="1:95" x14ac:dyDescent="0.25">
      <c r="A3" t="s">
        <v>43</v>
      </c>
      <c r="B3" t="s">
        <v>98</v>
      </c>
      <c r="C3" t="s">
        <v>81</v>
      </c>
      <c r="D3">
        <f>COUNTIFS(DataRegularSeason20242025!$D$3:$D$1315,$A3,DataRegularSeason20242025!$R$3:$R$1315,1,DataRegularSeason20242025!$N$3:$N$1315,1) + COUNTIFS(DataRegularSeason20242025!$E$3:$E$1315,$A3,DataRegularSeason20242025!$R$3:$R$1315,1,DataRegularSeason20242025!$N$3:$N$1315,1)</f>
        <v>42</v>
      </c>
      <c r="E3" s="15">
        <f>Table3[[#This Row],[Watched]]/Table3[[#This Row],[GP]]</f>
        <v>0.875</v>
      </c>
      <c r="F3">
        <f>COUNTIFS(DataRegularSeason20242025!$N$3:$N$1315,1,DataRegularSeason20242025!$D$3:$D$1315,$A3)</f>
        <v>26</v>
      </c>
      <c r="G3">
        <f>41-Table3[[#This Row],[GP_A]]</f>
        <v>15</v>
      </c>
      <c r="H3">
        <f>COUNTIFS(DataRegularSeason20242025!$E$3:$E$1315,$A3,DataRegularSeason20242025!$N$3:$N$1315,1)</f>
        <v>22</v>
      </c>
      <c r="I3">
        <f>41-Table3[[#This Row],[GP_H]]</f>
        <v>19</v>
      </c>
      <c r="J3">
        <f t="shared" si="0"/>
        <v>48</v>
      </c>
      <c r="K3">
        <f>82-Table3[[#This Row],[GP]]</f>
        <v>34</v>
      </c>
      <c r="L3">
        <f>COUNTIFS(DataRegularSeason20242025!$D$3:$D$1315,$A3, DataRegularSeason20242025!$L$3:$L$1315, $A3,DataRegularSeason20242025!$N$3:$N$1315,1)</f>
        <v>11</v>
      </c>
      <c r="M3">
        <f>COUNTIFS(DataRegularSeason20242025!$D$3:$D$1315,$A3, DataRegularSeason20242025!$L$3:$L$1315, $A3,DataRegularSeason20242025!$N$3:$N$1315,1,DataRegularSeason20242025!$M$3:$M$1315,"REG")</f>
        <v>8</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 t="shared" si="1"/>
        <v>15</v>
      </c>
      <c r="Q3">
        <f>COUNTIFS(DataRegularSeason20242025!$D$3:$D$1315,$A3, DataRegularSeason20242025!$S$3:$S$1315, $A3,DataRegularSeason20242025!$M$3:$M$1315,"REG")</f>
        <v>13</v>
      </c>
      <c r="R3">
        <f>COUNTIFS(DataRegularSeason20242025!$D$3:$D$1315,$A3, DataRegularSeason20242025!$S$3:$S$1315, $A3,DataRegularSeason20242025!$M$3:$M$1315,"OT")</f>
        <v>2</v>
      </c>
      <c r="S3">
        <f>COUNTIFS(DataRegularSeason20242025!$D$3:$D$1315,$A3, DataRegularSeason20242025!$S$3:$S$1315, $A3,DataRegularSeason20242025!$M$3:$M$1315,"SO")</f>
        <v>0</v>
      </c>
      <c r="T3">
        <f>COUNTIFS(DataRegularSeason20242025!$E$3:$E$1315,$A3, DataRegularSeason20242025!$L$3:$L$1315, $A3, DataRegularSeason20242025!$N$3:$N$1315,1)</f>
        <v>15</v>
      </c>
      <c r="U3">
        <f>COUNTIFS(DataRegularSeason20242025!$E$3:$E$1315,$A3, DataRegularSeason20242025!$L$3:$L$1315, $A3,DataRegularSeason20242025!$N$3:$N$1315,1,DataRegularSeason20242025!$M$3:$M$1315,"REG")</f>
        <v>13</v>
      </c>
      <c r="V3">
        <f>COUNTIFS(DataRegularSeason20242025!$E$3:$E$1315,$A3, DataRegularSeason20242025!$L$3:$L$1315, $A3,DataRegularSeason20242025!$N$3:$N$1315,1,DataRegularSeason20242025!$M$3:$M$1315,"OT")</f>
        <v>1</v>
      </c>
      <c r="W3">
        <f>COUNTIFS(DataRegularSeason20242025!$E$3:$E$1315,$A3, DataRegularSeason20242025!$L$3:$L$1315, $A3,DataRegularSeason20242025!$N$3:$N$1315,1,DataRegularSeason20242025!$M$3:$M$1315,"SO")</f>
        <v>1</v>
      </c>
      <c r="X3">
        <f t="shared" si="2"/>
        <v>7</v>
      </c>
      <c r="Y3">
        <f>COUNTIFS(DataRegularSeason20242025!$E$3:$E$1315,$A3, DataRegularSeason20242025!$S$3:$S$1315, $A3,DataRegularSeason20242025!$M$3:$M$1315,"REG")</f>
        <v>6</v>
      </c>
      <c r="Z3">
        <f>COUNTIFS(DataRegularSeason20242025!$E$3:$E$1315,$A3, DataRegularSeason20242025!$S$3:$S$1315, $A3,DataRegularSeason20242025!$M$3:$M$1315,"OT")</f>
        <v>0</v>
      </c>
      <c r="AA3">
        <f>COUNTIFS(DataRegularSeason20242025!$E$3:$E$1315,$A3, DataRegularSeason20242025!$S$3:$S$1315, $A3,DataRegularSeason20242025!$M$3:$M$1315,"SO")</f>
        <v>1</v>
      </c>
      <c r="AB3">
        <f>Table3[[#This Row],[W_A]]+Table3[[#This Row],[W_H]]</f>
        <v>26</v>
      </c>
      <c r="AC3">
        <f>Table3[[#This Row],[L_A]]+Table3[[#This Row],[L_H]]</f>
        <v>22</v>
      </c>
      <c r="AD3">
        <f>Table3[[#This Row],[RW_A]]+Table3[[#This Row],[RW_H]]</f>
        <v>21</v>
      </c>
      <c r="AE3">
        <f>Table3[[#This Row],[RL_A]]+Table3[[#This Row],[RL_H]]</f>
        <v>19</v>
      </c>
      <c r="AF3">
        <f>Table3[[#This Row],[OTW_A]]+Table3[[#This Row],[OTW_H]]</f>
        <v>4</v>
      </c>
      <c r="AG3">
        <f>Table3[[#This Row],[OTL_A]]+Table3[[#This Row],[OTL_H]]</f>
        <v>2</v>
      </c>
      <c r="AH3">
        <f>Table3[[#This Row],[SOW_A]]+Table3[[#This Row],[SOW_H]]</f>
        <v>1</v>
      </c>
      <c r="AI3">
        <f>Table3[[#This Row],[SOL_A]]+Table3[[#This Row],[SOL_H]]</f>
        <v>1</v>
      </c>
      <c r="AJ3" s="20" t="str">
        <f>_xlfn.CONCAT(TEXT(Table3[[#This Row],[OTW]]+Table3[[#This Row],[SOW]], "0"), "-", TEXT(Table3[[#This Row],[OTL]]+Table3[[#This Row],[SOL]],"0"))</f>
        <v>5-3</v>
      </c>
      <c r="AK3">
        <f>(2*(Table3[[#This Row],[W_A]]+Table3[[#This Row],[W_H]]))+Table3[[#This Row],[OTL_A]]+Table3[[#This Row],[SOL_A]]+Table3[[#This Row],[OTL_H]]+Table3[[#This Row],[SOL_H]]</f>
        <v>55</v>
      </c>
      <c r="AL3">
        <f>(3*(Table3[[#This Row],[RW_A]]+Table3[[#This Row],[RW_H]]))+(2*(Table3[[#This Row],[OTW_A]]+Table3[[#This Row],[SOW_A]]+Table3[[#This Row],[OTW_H]]+Table3[[#This Row],[SOW_H]]))+Table3[[#This Row],[OTL_A]]+Table3[[#This Row],[SOL_A]]+Table3[[#This Row],[OTL_H]]+Table3[[#This Row],[SOL_H]]</f>
        <v>76</v>
      </c>
      <c r="AM3" s="15">
        <f>Table3[[#This Row],[PTS]]/(2*Table3[[#This Row],[GP]])</f>
        <v>0.57291666666666663</v>
      </c>
      <c r="AN3" s="15">
        <f>Table3[[#This Row],[PTS2]]/(3*Table3[[#This Row],[GP]])</f>
        <v>0.52777777777777779</v>
      </c>
      <c r="AO3">
        <f>(2*Table3[[#This Row],[GR]])+Table3[[#This Row],[PTS]]</f>
        <v>123</v>
      </c>
      <c r="AP3">
        <f>(3*Table3[[#This Row],[GR]])+Table3[[#This Row],[PTS2]]</f>
        <v>178</v>
      </c>
      <c r="AQ3">
        <f>Table3[[#This Row],[PTS]]+(2 * Table3[[#This Row],[GR]] * Table3[[#This Row],[PTS%]])</f>
        <v>93.958333333333329</v>
      </c>
      <c r="AR3">
        <f>Table3[[#This Row],[PTS2]]+(3 * Table3[[#This Row],[GR]] * Table3[[#This Row],[PTS%2]])</f>
        <v>129.83333333333334</v>
      </c>
      <c r="AS3" s="20" t="str">
        <f>_xlfn.CONCAT(TEXT(Table3[[#This Row],[W]], "0"), "-", TEXT(Table3[[#This Row],[RL]],"0"), "-", TEXT(Table3[[#This Row],[OTL]]+Table3[[#This Row],[SOL]], "0"))</f>
        <v>26-19-3</v>
      </c>
      <c r="AT3">
        <f>COUNTIFS(DataRegularSeason20242025!$D$3:$D$1315,Table3[[#This Row],[Teams]],DataRegularSeason20242025!$K$3:$K$1315,0)</f>
        <v>1</v>
      </c>
      <c r="AU3">
        <f>SUMIF(DataRegularSeason20242025!$D$3:$D$1315,$A3, DataRegularSeason20242025!$J$3:$J$1315)</f>
        <v>87</v>
      </c>
      <c r="AV3">
        <f>SUMIF(DataRegularSeason20242025!$D$3:$D$1315,$A3, DataRegularSeason20242025!$K$3:$K$1315)</f>
        <v>84</v>
      </c>
      <c r="AW3">
        <f t="shared" si="3"/>
        <v>3</v>
      </c>
      <c r="AX3">
        <f>COUNTIFS(DataRegularSeason20242025!$E$3:$E$1315,Table3[[#This Row],[Teams]],DataRegularSeason20242025!$J$3:$J$1315,0)</f>
        <v>2</v>
      </c>
      <c r="AY3">
        <f>SUMIF(DataRegularSeason20242025!$E$3:$E$1315,$A3,DataRegularSeason20242025!$K$3:$K$1315)</f>
        <v>84</v>
      </c>
      <c r="AZ3">
        <f>SUMIF(DataRegularSeason20242025!$E$3:$E$1315,$A3,DataRegularSeason20242025!$J$3:$J$1315)</f>
        <v>52</v>
      </c>
      <c r="BA3">
        <f t="shared" si="4"/>
        <v>32</v>
      </c>
      <c r="BB3">
        <f t="shared" si="5"/>
        <v>171</v>
      </c>
      <c r="BC3">
        <f t="shared" si="6"/>
        <v>136</v>
      </c>
      <c r="BD3">
        <f t="shared" si="7"/>
        <v>35</v>
      </c>
      <c r="BE3" s="17">
        <f>Table3[[#This Row],[GF]]/Table3[[#This Row],[GP]]</f>
        <v>3.5625</v>
      </c>
      <c r="BF3" s="17">
        <f>Table3[[#This Row],[GA]]/Table3[[#This Row],[GP]]</f>
        <v>2.8333333333333335</v>
      </c>
      <c r="BG3" s="17">
        <f>(Table3[[#This Row],[GF]]-Table3[[#This Row],[GA]])/Table3[[#This Row],[GP]]</f>
        <v>0.72916666666666663</v>
      </c>
      <c r="BH3" s="49" t="str">
        <f>_xlfn.CONCAT(TEXT(Table3[[#This Row],[W_H]], "0"), "-", TEXT(Table3[[#This Row],[RL_H]],"0"), "-", TEXT(Table3[[#This Row],[OTL_H]]+Table3[[#This Row],[SOL_H]], "0"))</f>
        <v>15-6-1</v>
      </c>
      <c r="BI3" s="49" t="str">
        <f>_xlfn.CONCAT(TEXT(Table3[[#This Row],[W_A]], "0"), "-", TEXT(Table3[[#This Row],[RL_A]],"0"), "-", TEXT(Table3[[#This Row],[OTL_A]]+Table3[[#This Row],[SOL_A]], "0"))</f>
        <v>11-13-2</v>
      </c>
      <c r="BJ3" s="49">
        <f>((2*(Table3[[#This Row],[W_H]]))+Table3[[#This Row],[OTL_H]]+Table3[[#This Row],[SOL_H]])/(2*Table3[[#This Row],[GP_H]])</f>
        <v>0.70454545454545459</v>
      </c>
      <c r="BK3" s="49">
        <f>((2*(Table3[[#This Row],[W_A]]))+Table3[[#This Row],[OTL_A]]+Table3[[#This Row],[SOL_A]])/(2*Table3[[#This Row],[GP_A]])</f>
        <v>0.46153846153846156</v>
      </c>
      <c r="BL3" s="21">
        <f>(Table3[[#This Row],[W]]*$CG$3)+(Table3[[#This Row],[L]]*$CG$4)+(Table3[[#This Row],[GF]]*$CG$5)+(Table3[[#This Row],[GA]]*$CG$6)</f>
        <v>58.85</v>
      </c>
      <c r="BM3" s="21">
        <f>(82*(((Table3[[#This Row],[PTS%]]*$CG$3)+((1-Table3[[#This Row],[PTS%]])*$CG$4)+(Table3[[#This Row],[GF]]*$CG$5)+(Table3[[#This Row],[GA]]*$CG$6))/Table3[[#This Row],[GP]])) + (Table3[[#This Row],[W]]*$CG$3)+(Table3[[#This Row],[L]]*$CG$4)+(Table3[[#This Row],[GF]]*$CG$5)+(Table3[[#This Row],[GA]]*$CG$6)</f>
        <v>126.6103298611111</v>
      </c>
      <c r="BN3">
        <f>COUNTIFS(DataRegularSeason20242025!$D$3:$D$1315,$A3,DataRegularSeason20242025!$H$3:$H$1315, $A3)</f>
        <v>13</v>
      </c>
      <c r="BO3">
        <f>COUNTIFS(DataRegularSeason20242025!$E$3:$E$1315,$A3,DataRegularSeason20242025!$H$3:$H$1315, $A3)</f>
        <v>12</v>
      </c>
      <c r="BP3">
        <f t="shared" si="8"/>
        <v>25</v>
      </c>
      <c r="BQ3">
        <f t="shared" si="9"/>
        <v>13</v>
      </c>
      <c r="BR3">
        <f t="shared" si="10"/>
        <v>10</v>
      </c>
      <c r="BS3">
        <f t="shared" si="11"/>
        <v>23</v>
      </c>
      <c r="BV3">
        <v>2021</v>
      </c>
      <c r="BW3" t="str">
        <f>INDEX(Table2[AwayTeam], Table3[[#This Row],[Column2]])</f>
        <v>NJD</v>
      </c>
      <c r="BX3">
        <f>LARGE((Table2[[#This Row],[AwayTeam]]=Table3[[#This Row],[Teams]]), 1)</f>
        <v>0</v>
      </c>
      <c r="CA3" t="s">
        <v>1459</v>
      </c>
      <c r="CB3">
        <f>SUM($D$2:$D$33)/2</f>
        <v>652</v>
      </c>
      <c r="CF3" t="s">
        <v>97</v>
      </c>
      <c r="CG3" s="21">
        <v>0.5</v>
      </c>
      <c r="CH3">
        <f>INDEX($AB$2:$AB$33,MATCH("CGY",$A$2:$A$33,0),1)</f>
        <v>24</v>
      </c>
      <c r="CJ3" s="21">
        <f>CG3*CH3</f>
        <v>12</v>
      </c>
      <c r="CK3" s="15">
        <f>CJ3/$CJ$7</f>
        <v>0.22514071294559101</v>
      </c>
    </row>
    <row r="4" spans="1:95" x14ac:dyDescent="0.25">
      <c r="A4" t="s">
        <v>24</v>
      </c>
      <c r="B4" t="s">
        <v>97</v>
      </c>
      <c r="C4" t="s">
        <v>100</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0.95833333333333337</v>
      </c>
      <c r="F4">
        <f>COUNTIFS(DataRegularSeason20242025!$N$3:$N$1315,1,DataRegularSeason20242025!$D$3:$D$1315,$A4)</f>
        <v>24</v>
      </c>
      <c r="G4">
        <f>41-Table3[[#This Row],[GP_A]]</f>
        <v>17</v>
      </c>
      <c r="H4">
        <f>COUNTIFS(DataRegularSeason20242025!$E$3:$E$1315,$A4,DataRegularSeason20242025!$N$3:$N$1315,1)</f>
        <v>24</v>
      </c>
      <c r="I4">
        <f>41-Table3[[#This Row],[GP_H]]</f>
        <v>17</v>
      </c>
      <c r="J4">
        <f t="shared" si="0"/>
        <v>48</v>
      </c>
      <c r="K4">
        <f>82-Table3[[#This Row],[GP]]</f>
        <v>34</v>
      </c>
      <c r="L4">
        <f>COUNTIFS(DataRegularSeason20242025!$D$3:$D$1315,$A4, DataRegularSeason20242025!$L$3:$L$1315, $A4,DataRegularSeason20242025!$N$3:$N$1315,1)</f>
        <v>9</v>
      </c>
      <c r="M4">
        <f>COUNTIFS(DataRegularSeason20242025!$D$3:$D$1315,$A4, DataRegularSeason20242025!$L$3:$L$1315, $A4,DataRegularSeason20242025!$N$3:$N$1315,1,DataRegularSeason20242025!$M$3:$M$1315,"REG")</f>
        <v>6</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 t="shared" si="1"/>
        <v>15</v>
      </c>
      <c r="Q4">
        <f>COUNTIFS(DataRegularSeason20242025!$D$3:$D$1315,$A4, DataRegularSeason20242025!$S$3:$S$1315, $A4,DataRegularSeason20242025!$M$3:$M$1315,"REG")</f>
        <v>11</v>
      </c>
      <c r="R4">
        <f>COUNTIFS(DataRegularSeason20242025!$D$3:$D$1315,$A4, DataRegularSeason20242025!$S$3:$S$1315, $A4,DataRegularSeason20242025!$M$3:$M$1315,"OT")</f>
        <v>3</v>
      </c>
      <c r="S4">
        <f>COUNTIFS(DataRegularSeason20242025!$D$3:$D$1315,$A4, DataRegularSeason20242025!$S$3:$S$1315, $A4,DataRegularSeason20242025!$M$3:$M$1315,"SO")</f>
        <v>1</v>
      </c>
      <c r="T4">
        <f>COUNTIFS(DataRegularSeason20242025!$E$3:$E$1315,$A4, DataRegularSeason20242025!$L$3:$L$1315, $A4, DataRegularSeason20242025!$N$3:$N$1315,1)</f>
        <v>15</v>
      </c>
      <c r="U4">
        <f>COUNTIFS(DataRegularSeason20242025!$E$3:$E$1315,$A4, DataRegularSeason20242025!$L$3:$L$1315, $A4,DataRegularSeason20242025!$N$3:$N$1315,1,DataRegularSeason20242025!$M$3:$M$1315,"REG")</f>
        <v>12</v>
      </c>
      <c r="V4">
        <f>COUNTIFS(DataRegularSeason20242025!$E$3:$E$1315,$A4, DataRegularSeason20242025!$L$3:$L$1315, $A4,DataRegularSeason20242025!$N$3:$N$1315,1,DataRegularSeason20242025!$M$3:$M$1315,"OT")</f>
        <v>0</v>
      </c>
      <c r="W4">
        <f>COUNTIFS(DataRegularSeason20242025!$E$3:$E$1315,$A4, DataRegularSeason20242025!$L$3:$L$1315, $A4,DataRegularSeason20242025!$N$3:$N$1315,1,DataRegularSeason20242025!$M$3:$M$1315,"SO")</f>
        <v>3</v>
      </c>
      <c r="X4">
        <f t="shared" si="2"/>
        <v>9</v>
      </c>
      <c r="Y4">
        <f>COUNTIFS(DataRegularSeason20242025!$E$3:$E$1315,$A4, DataRegularSeason20242025!$S$3:$S$1315, $A4,DataRegularSeason20242025!$M$3:$M$1315,"REG")</f>
        <v>6</v>
      </c>
      <c r="Z4">
        <f>COUNTIFS(DataRegularSeason20242025!$E$3:$E$1315,$A4, DataRegularSeason20242025!$S$3:$S$1315, $A4,DataRegularSeason20242025!$M$3:$M$1315,"OT")</f>
        <v>3</v>
      </c>
      <c r="AA4">
        <f>COUNTIFS(DataRegularSeason20242025!$E$3:$E$1315,$A4, DataRegularSeason20242025!$S$3:$S$1315, $A4,DataRegularSeason20242025!$M$3:$M$1315,"SO")</f>
        <v>0</v>
      </c>
      <c r="AB4">
        <f>Table3[[#This Row],[W_A]]+Table3[[#This Row],[W_H]]</f>
        <v>24</v>
      </c>
      <c r="AC4">
        <f>Table3[[#This Row],[L_A]]+Table3[[#This Row],[L_H]]</f>
        <v>24</v>
      </c>
      <c r="AD4">
        <f>Table3[[#This Row],[RW_A]]+Table3[[#This Row],[RW_H]]</f>
        <v>18</v>
      </c>
      <c r="AE4">
        <f>Table3[[#This Row],[RL_A]]+Table3[[#This Row],[RL_H]]</f>
        <v>17</v>
      </c>
      <c r="AF4">
        <f>Table3[[#This Row],[OTW_A]]+Table3[[#This Row],[OTW_H]]</f>
        <v>3</v>
      </c>
      <c r="AG4">
        <f>Table3[[#This Row],[OTL_A]]+Table3[[#This Row],[OTL_H]]</f>
        <v>6</v>
      </c>
      <c r="AH4">
        <f>Table3[[#This Row],[SOW_A]]+Table3[[#This Row],[SOW_H]]</f>
        <v>3</v>
      </c>
      <c r="AI4">
        <f>Table3[[#This Row],[SOL_A]]+Table3[[#This Row],[SOL_H]]</f>
        <v>1</v>
      </c>
      <c r="AJ4" s="20" t="str">
        <f>_xlfn.CONCAT(TEXT(Table3[[#This Row],[OTW]]+Table3[[#This Row],[SOW]], "0"), "-", TEXT(Table3[[#This Row],[OTL]]+Table3[[#This Row],[SOL]],"0"))</f>
        <v>6-7</v>
      </c>
      <c r="AK4">
        <f>(2*(Table3[[#This Row],[W_A]]+Table3[[#This Row],[W_H]]))+Table3[[#This Row],[OTL_A]]+Table3[[#This Row],[SOL_A]]+Table3[[#This Row],[OTL_H]]+Table3[[#This Row],[SOL_H]]</f>
        <v>55</v>
      </c>
      <c r="AL4">
        <f>(3*(Table3[[#This Row],[RW_A]]+Table3[[#This Row],[RW_H]]))+(2*(Table3[[#This Row],[OTW_A]]+Table3[[#This Row],[SOW_A]]+Table3[[#This Row],[OTW_H]]+Table3[[#This Row],[SOW_H]]))+Table3[[#This Row],[OTL_A]]+Table3[[#This Row],[SOL_A]]+Table3[[#This Row],[OTL_H]]+Table3[[#This Row],[SOL_H]]</f>
        <v>73</v>
      </c>
      <c r="AM4" s="15">
        <f>Table3[[#This Row],[PTS]]/(2*Table3[[#This Row],[GP]])</f>
        <v>0.57291666666666663</v>
      </c>
      <c r="AN4" s="15">
        <f>Table3[[#This Row],[PTS2]]/(3*Table3[[#This Row],[GP]])</f>
        <v>0.50694444444444442</v>
      </c>
      <c r="AO4">
        <f>(2*Table3[[#This Row],[GR]])+Table3[[#This Row],[PTS]]</f>
        <v>123</v>
      </c>
      <c r="AP4">
        <f>(3*Table3[[#This Row],[GR]])+Table3[[#This Row],[PTS2]]</f>
        <v>175</v>
      </c>
      <c r="AQ4">
        <f>Table3[[#This Row],[PTS]]+(2 * Table3[[#This Row],[GR]] * Table3[[#This Row],[PTS%]])</f>
        <v>93.958333333333329</v>
      </c>
      <c r="AR4">
        <f>Table3[[#This Row],[PTS2]]+(3 * Table3[[#This Row],[GR]] * Table3[[#This Row],[PTS%2]])</f>
        <v>124.70833333333333</v>
      </c>
      <c r="AS4" s="20" t="str">
        <f>_xlfn.CONCAT(TEXT(Table3[[#This Row],[W]], "0"), "-", TEXT(Table3[[#This Row],[RL]],"0"), "-", TEXT(Table3[[#This Row],[OTL]]+Table3[[#This Row],[SOL]], "0"))</f>
        <v>24-17-7</v>
      </c>
      <c r="AT4">
        <f>COUNTIFS(DataRegularSeason20242025!$D$3:$D$1315,Table3[[#This Row],[Teams]],DataRegularSeason20242025!$K$3:$K$1315,0)</f>
        <v>0</v>
      </c>
      <c r="AU4">
        <f>SUMIF(DataRegularSeason20242025!$D$3:$D$1315,$A4, DataRegularSeason20242025!$J$3:$J$1315)</f>
        <v>58</v>
      </c>
      <c r="AV4">
        <f>SUMIF(DataRegularSeason20242025!$D$3:$D$1315,$A4, DataRegularSeason20242025!$K$3:$K$1315)</f>
        <v>80</v>
      </c>
      <c r="AW4">
        <f t="shared" si="3"/>
        <v>-22</v>
      </c>
      <c r="AX4">
        <f>COUNTIFS(DataRegularSeason20242025!$E$3:$E$1315,Table3[[#This Row],[Teams]],DataRegularSeason20242025!$J$3:$J$1315,0)</f>
        <v>4</v>
      </c>
      <c r="AY4">
        <f>SUMIF(DataRegularSeason20242025!$E$3:$E$1315,$A4,DataRegularSeason20242025!$K$3:$K$1315)</f>
        <v>74</v>
      </c>
      <c r="AZ4">
        <f>SUMIF(DataRegularSeason20242025!$E$3:$E$1315,$A4,DataRegularSeason20242025!$J$3:$J$1315)</f>
        <v>63</v>
      </c>
      <c r="BA4">
        <f t="shared" si="4"/>
        <v>11</v>
      </c>
      <c r="BB4">
        <f t="shared" si="5"/>
        <v>132</v>
      </c>
      <c r="BC4">
        <f t="shared" si="6"/>
        <v>143</v>
      </c>
      <c r="BD4">
        <f t="shared" si="7"/>
        <v>-11</v>
      </c>
      <c r="BE4" s="17">
        <f>Table3[[#This Row],[GF]]/Table3[[#This Row],[GP]]</f>
        <v>2.75</v>
      </c>
      <c r="BF4" s="17">
        <f>Table3[[#This Row],[GA]]/Table3[[#This Row],[GP]]</f>
        <v>2.9791666666666665</v>
      </c>
      <c r="BG4" s="17">
        <f>(Table3[[#This Row],[GF]]-Table3[[#This Row],[GA]])/Table3[[#This Row],[GP]]</f>
        <v>-0.22916666666666666</v>
      </c>
      <c r="BH4" s="49" t="str">
        <f>_xlfn.CONCAT(TEXT(Table3[[#This Row],[W_H]], "0"), "-", TEXT(Table3[[#This Row],[RL_H]],"0"), "-", TEXT(Table3[[#This Row],[OTL_H]]+Table3[[#This Row],[SOL_H]], "0"))</f>
        <v>15-6-3</v>
      </c>
      <c r="BI4" s="49" t="str">
        <f>_xlfn.CONCAT(TEXT(Table3[[#This Row],[W_A]], "0"), "-", TEXT(Table3[[#This Row],[RL_A]],"0"), "-", TEXT(Table3[[#This Row],[OTL_A]]+Table3[[#This Row],[SOL_A]], "0"))</f>
        <v>9-11-4</v>
      </c>
      <c r="BJ4" s="49">
        <f>((2*(Table3[[#This Row],[W_H]]))+Table3[[#This Row],[OTL_H]]+Table3[[#This Row],[SOL_H]])/(2*Table3[[#This Row],[GP_H]])</f>
        <v>0.6875</v>
      </c>
      <c r="BK4" s="49">
        <f>((2*(Table3[[#This Row],[W_A]]))+Table3[[#This Row],[OTL_A]]+Table3[[#This Row],[SOL_A]])/(2*Table3[[#This Row],[GP_A]])</f>
        <v>0.45833333333333331</v>
      </c>
      <c r="BL4" s="21">
        <f>(Table3[[#This Row],[W]]*$CG$3)+(Table3[[#This Row],[L]]*$CG$4)+(Table3[[#This Row],[GF]]*$CG$5)+(Table3[[#This Row],[GA]]*$CG$6)</f>
        <v>53.3</v>
      </c>
      <c r="BM4" s="21">
        <f>(82*(((Table3[[#This Row],[PTS%]]*$CG$3)+((1-Table3[[#This Row],[PTS%]])*$CG$4)+(Table3[[#This Row],[GF]]*$CG$5)+(Table3[[#This Row],[GA]]*$CG$6))/Table3[[#This Row],[GP]])) + (Table3[[#This Row],[W]]*$CG$3)+(Table3[[#This Row],[L]]*$CG$4)+(Table3[[#This Row],[GF]]*$CG$5)+(Table3[[#This Row],[GA]]*$CG$6)</f>
        <v>112.26241319444445</v>
      </c>
      <c r="BN4">
        <f>COUNTIFS(DataRegularSeason20242025!$D$3:$D$1315,$A4,DataRegularSeason20242025!$H$3:$H$1315, $A4)</f>
        <v>24</v>
      </c>
      <c r="BO4">
        <f>COUNTIFS(DataRegularSeason20242025!$E$3:$E$1315,$A4,DataRegularSeason20242025!$H$3:$H$1315, $A4)</f>
        <v>24</v>
      </c>
      <c r="BP4">
        <f t="shared" si="8"/>
        <v>48</v>
      </c>
      <c r="BQ4">
        <f t="shared" si="9"/>
        <v>0</v>
      </c>
      <c r="BR4">
        <f t="shared" si="10"/>
        <v>0</v>
      </c>
      <c r="BS4">
        <f t="shared" si="11"/>
        <v>0</v>
      </c>
      <c r="BV4">
        <v>1989</v>
      </c>
      <c r="BW4" t="str">
        <f>INDEX(Table2[AwayTeam], Table3[[#This Row],[Column2]])</f>
        <v>BUF</v>
      </c>
      <c r="BX4">
        <f>LARGE((Table2[[#This Row],[AwayTeam]]=Table3[[#This Row],[Teams]]), 1)</f>
        <v>0</v>
      </c>
      <c r="CA4" t="s">
        <v>1460</v>
      </c>
      <c r="CB4">
        <f>$CB$2-$CB$3</f>
        <v>137</v>
      </c>
      <c r="CF4" t="s">
        <v>1434</v>
      </c>
      <c r="CG4" s="21">
        <v>0.3</v>
      </c>
      <c r="CH4">
        <f>INDEX($AC$2:$AC$33,MATCH("CGY",$A$2:$A$33,0),1)</f>
        <v>24</v>
      </c>
      <c r="CJ4" s="21">
        <f>CG4*CH4</f>
        <v>7.1999999999999993</v>
      </c>
      <c r="CK4" s="15">
        <f>CJ4/$CJ$7</f>
        <v>0.1350844277673546</v>
      </c>
    </row>
    <row r="5" spans="1:95" x14ac:dyDescent="0.25">
      <c r="A5" t="s">
        <v>20</v>
      </c>
      <c r="B5" t="s">
        <v>98</v>
      </c>
      <c r="C5" t="s">
        <v>99</v>
      </c>
      <c r="D5">
        <f>COUNTIFS(DataRegularSeason20242025!$D$3:$D$1315,$A5,DataRegularSeason20242025!$R$3:$R$1315,1,DataRegularSeason20242025!$N$3:$N$1315,1) + COUNTIFS(DataRegularSeason20242025!$E$3:$E$1315,$A5,DataRegularSeason20242025!$R$3:$R$1315,1,DataRegularSeason20242025!$N$3:$N$1315,1)</f>
        <v>39</v>
      </c>
      <c r="E5" s="15">
        <f>Table3[[#This Row],[Watched]]/Table3[[#This Row],[GP]]</f>
        <v>0.8125</v>
      </c>
      <c r="F5">
        <f>COUNTIFS(DataRegularSeason20242025!$N$3:$N$1315,1,DataRegularSeason20242025!$D$3:$D$1315,$A5)</f>
        <v>25</v>
      </c>
      <c r="G5">
        <f>41-Table3[[#This Row],[GP_A]]</f>
        <v>16</v>
      </c>
      <c r="H5">
        <f>COUNTIFS(DataRegularSeason20242025!$E$3:$E$1315,$A5,DataRegularSeason20242025!$N$3:$N$1315,1)</f>
        <v>23</v>
      </c>
      <c r="I5">
        <f>41-Table3[[#This Row],[GP_H]]</f>
        <v>18</v>
      </c>
      <c r="J5">
        <f t="shared" si="0"/>
        <v>48</v>
      </c>
      <c r="K5">
        <f>82-Table3[[#This Row],[GP]]</f>
        <v>34</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0</v>
      </c>
      <c r="O5">
        <f>COUNTIFS(DataRegularSeason20242025!$D$3:$D$1315,$A5, DataRegularSeason20242025!$L$3:$L$1315, $A5,DataRegularSeason20242025!$N$3:$N$1315,1,DataRegularSeason20242025!$M$3:$M$1315,"SO")</f>
        <v>0</v>
      </c>
      <c r="P5">
        <f t="shared" si="1"/>
        <v>13</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12</v>
      </c>
      <c r="U5">
        <f>COUNTIFS(DataRegularSeason20242025!$E$3:$E$1315,$A5, DataRegularSeason20242025!$L$3:$L$1315, $A5,DataRegularSeason20242025!$N$3:$N$1315,1,DataRegularSeason20242025!$M$3:$M$1315,"REG")</f>
        <v>10</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1</v>
      </c>
      <c r="X5">
        <f t="shared" si="2"/>
        <v>11</v>
      </c>
      <c r="Y5">
        <f>COUNTIFS(DataRegularSeason20242025!$E$3:$E$1315,$A5, DataRegularSeason20242025!$S$3:$S$1315, $A5,DataRegularSeason20242025!$M$3:$M$1315,"REG")</f>
        <v>9</v>
      </c>
      <c r="Z5">
        <f>COUNTIFS(DataRegularSeason20242025!$E$3:$E$1315,$A5, DataRegularSeason20242025!$S$3:$S$1315, $A5,DataRegularSeason20242025!$M$3:$M$1315,"OT")</f>
        <v>2</v>
      </c>
      <c r="AA5">
        <f>COUNTIFS(DataRegularSeason20242025!$E$3:$E$1315,$A5, DataRegularSeason20242025!$S$3:$S$1315, $A5,DataRegularSeason20242025!$M$3:$M$1315,"SO")</f>
        <v>0</v>
      </c>
      <c r="AB5">
        <f>Table3[[#This Row],[W_A]]+Table3[[#This Row],[W_H]]</f>
        <v>24</v>
      </c>
      <c r="AC5">
        <f>Table3[[#This Row],[L_A]]+Table3[[#This Row],[L_H]]</f>
        <v>24</v>
      </c>
      <c r="AD5">
        <f>Table3[[#This Row],[RW_A]]+Table3[[#This Row],[RW_H]]</f>
        <v>22</v>
      </c>
      <c r="AE5">
        <f>Table3[[#This Row],[RL_A]]+Table3[[#This Row],[RL_H]]</f>
        <v>20</v>
      </c>
      <c r="AF5">
        <f>Table3[[#This Row],[OTW_A]]+Table3[[#This Row],[OTW_H]]</f>
        <v>1</v>
      </c>
      <c r="AG5">
        <f>Table3[[#This Row],[OTL_A]]+Table3[[#This Row],[OTL_H]]</f>
        <v>4</v>
      </c>
      <c r="AH5">
        <f>Table3[[#This Row],[SOW_A]]+Table3[[#This Row],[SOW_H]]</f>
        <v>1</v>
      </c>
      <c r="AI5">
        <f>Table3[[#This Row],[SOL_A]]+Table3[[#This Row],[SOL_H]]</f>
        <v>0</v>
      </c>
      <c r="AJ5" s="20" t="str">
        <f>_xlfn.CONCAT(TEXT(Table3[[#This Row],[OTW]]+Table3[[#This Row],[SOW]], "0"), "-", TEXT(Table3[[#This Row],[OTL]]+Table3[[#This Row],[SOL]],"0"))</f>
        <v>2-4</v>
      </c>
      <c r="AK5">
        <f>(2*(Table3[[#This Row],[W_A]]+Table3[[#This Row],[W_H]]))+Table3[[#This Row],[OTL_A]]+Table3[[#This Row],[SOL_A]]+Table3[[#This Row],[OTL_H]]+Table3[[#This Row],[SOL_H]]</f>
        <v>52</v>
      </c>
      <c r="AL5">
        <f>(3*(Table3[[#This Row],[RW_A]]+Table3[[#This Row],[RW_H]]))+(2*(Table3[[#This Row],[OTW_A]]+Table3[[#This Row],[SOW_A]]+Table3[[#This Row],[OTW_H]]+Table3[[#This Row],[SOW_H]]))+Table3[[#This Row],[OTL_A]]+Table3[[#This Row],[SOL_A]]+Table3[[#This Row],[OTL_H]]+Table3[[#This Row],[SOL_H]]</f>
        <v>74</v>
      </c>
      <c r="AM5" s="15">
        <f>Table3[[#This Row],[PTS]]/(2*Table3[[#This Row],[GP]])</f>
        <v>0.54166666666666663</v>
      </c>
      <c r="AN5" s="15">
        <f>Table3[[#This Row],[PTS2]]/(3*Table3[[#This Row],[GP]])</f>
        <v>0.51388888888888884</v>
      </c>
      <c r="AO5">
        <f>(2*Table3[[#This Row],[GR]])+Table3[[#This Row],[PTS]]</f>
        <v>120</v>
      </c>
      <c r="AP5">
        <f>(3*Table3[[#This Row],[GR]])+Table3[[#This Row],[PTS2]]</f>
        <v>176</v>
      </c>
      <c r="AQ5">
        <f>Table3[[#This Row],[PTS]]+(2 * Table3[[#This Row],[GR]] * Table3[[#This Row],[PTS%]])</f>
        <v>88.833333333333329</v>
      </c>
      <c r="AR5">
        <f>Table3[[#This Row],[PTS2]]+(3 * Table3[[#This Row],[GR]] * Table3[[#This Row],[PTS%2]])</f>
        <v>126.41666666666666</v>
      </c>
      <c r="AS5" s="20" t="str">
        <f>_xlfn.CONCAT(TEXT(Table3[[#This Row],[W]], "0"), "-", TEXT(Table3[[#This Row],[RL]],"0"), "-", TEXT(Table3[[#This Row],[OTL]]+Table3[[#This Row],[SOL]], "0"))</f>
        <v>24-20-4</v>
      </c>
      <c r="AT5">
        <f>COUNTIFS(DataRegularSeason20242025!$D$3:$D$1315,Table3[[#This Row],[Teams]],DataRegularSeason20242025!$K$3:$K$1315,0)</f>
        <v>3</v>
      </c>
      <c r="AU5">
        <f>SUMIF(DataRegularSeason20242025!$D$3:$D$1315,$A5, DataRegularSeason20242025!$J$3:$J$1315)</f>
        <v>79</v>
      </c>
      <c r="AV5">
        <f>SUMIF(DataRegularSeason20242025!$D$3:$D$1315,$A5, DataRegularSeason20242025!$K$3:$K$1315)</f>
        <v>74</v>
      </c>
      <c r="AW5">
        <f t="shared" si="3"/>
        <v>5</v>
      </c>
      <c r="AX5">
        <f>COUNTIFS(DataRegularSeason20242025!$E$3:$E$1315,Table3[[#This Row],[Teams]],DataRegularSeason20242025!$J$3:$J$1315,0)</f>
        <v>2</v>
      </c>
      <c r="AY5">
        <f>SUMIF(DataRegularSeason20242025!$E$3:$E$1315,$A5,DataRegularSeason20242025!$K$3:$K$1315)</f>
        <v>66</v>
      </c>
      <c r="AZ5">
        <f>SUMIF(DataRegularSeason20242025!$E$3:$E$1315,$A5,DataRegularSeason20242025!$J$3:$J$1315)</f>
        <v>69</v>
      </c>
      <c r="BA5">
        <f t="shared" si="4"/>
        <v>-3</v>
      </c>
      <c r="BB5">
        <f t="shared" si="5"/>
        <v>145</v>
      </c>
      <c r="BC5">
        <f t="shared" si="6"/>
        <v>143</v>
      </c>
      <c r="BD5">
        <f t="shared" si="7"/>
        <v>2</v>
      </c>
      <c r="BE5" s="17">
        <f>Table3[[#This Row],[GF]]/Table3[[#This Row],[GP]]</f>
        <v>3.0208333333333335</v>
      </c>
      <c r="BF5" s="17">
        <f>Table3[[#This Row],[GA]]/Table3[[#This Row],[GP]]</f>
        <v>2.9791666666666665</v>
      </c>
      <c r="BG5" s="17">
        <f>(Table3[[#This Row],[GF]]-Table3[[#This Row],[GA]])/Table3[[#This Row],[GP]]</f>
        <v>4.1666666666666664E-2</v>
      </c>
      <c r="BH5" s="49" t="str">
        <f>_xlfn.CONCAT(TEXT(Table3[[#This Row],[W_H]], "0"), "-", TEXT(Table3[[#This Row],[RL_H]],"0"), "-", TEXT(Table3[[#This Row],[OTL_H]]+Table3[[#This Row],[SOL_H]], "0"))</f>
        <v>12-9-2</v>
      </c>
      <c r="BI5" s="49" t="str">
        <f>_xlfn.CONCAT(TEXT(Table3[[#This Row],[W_A]], "0"), "-", TEXT(Table3[[#This Row],[RL_A]],"0"), "-", TEXT(Table3[[#This Row],[OTL_A]]+Table3[[#This Row],[SOL_A]], "0"))</f>
        <v>12-11-2</v>
      </c>
      <c r="BJ5" s="49">
        <f>((2*(Table3[[#This Row],[W_H]]))+Table3[[#This Row],[OTL_H]]+Table3[[#This Row],[SOL_H]])/(2*Table3[[#This Row],[GP_H]])</f>
        <v>0.56521739130434778</v>
      </c>
      <c r="BK5" s="49">
        <f>((2*(Table3[[#This Row],[W_A]]))+Table3[[#This Row],[OTL_A]]+Table3[[#This Row],[SOL_A]])/(2*Table3[[#This Row],[GP_A]])</f>
        <v>0.52</v>
      </c>
      <c r="BL5" s="21">
        <f>(Table3[[#This Row],[W]]*$CG$3)+(Table3[[#This Row],[L]]*$CG$4)+(Table3[[#This Row],[GF]]*$CG$5)+(Table3[[#This Row],[GA]]*$CG$6)</f>
        <v>55.25</v>
      </c>
      <c r="BM5" s="21">
        <f>(82*(((Table3[[#This Row],[PTS%]]*$CG$3)+((1-Table3[[#This Row],[PTS%]])*$CG$4)+(Table3[[#This Row],[GF]]*$CG$5)+(Table3[[#This Row],[GA]]*$CG$6))/Table3[[#This Row],[GP]])) + (Table3[[#This Row],[W]]*$CG$3)+(Table3[[#This Row],[L]]*$CG$4)+(Table3[[#This Row],[GF]]*$CG$5)+(Table3[[#This Row],[GA]]*$CG$6)</f>
        <v>117.53298611111111</v>
      </c>
      <c r="BN5">
        <f>COUNTIFS(DataRegularSeason20242025!$D$3:$D$1315,$A5,DataRegularSeason20242025!$H$3:$H$1315, $A5)</f>
        <v>10</v>
      </c>
      <c r="BO5">
        <f>COUNTIFS(DataRegularSeason20242025!$E$3:$E$1315,$A5,DataRegularSeason20242025!$H$3:$H$1315, $A5)</f>
        <v>15</v>
      </c>
      <c r="BP5">
        <f t="shared" si="8"/>
        <v>25</v>
      </c>
      <c r="BQ5">
        <f t="shared" si="9"/>
        <v>15</v>
      </c>
      <c r="BR5">
        <f t="shared" si="10"/>
        <v>8</v>
      </c>
      <c r="BS5">
        <f t="shared" si="11"/>
        <v>23</v>
      </c>
      <c r="BV5">
        <v>1994</v>
      </c>
      <c r="BW5" t="str">
        <f>INDEX(Table2[AwayTeam], Table3[[#This Row],[Column2]])</f>
        <v>STL</v>
      </c>
      <c r="BX5">
        <f>LARGE((Table2[[#This Row],[AwayTeam]]=Table3[[#This Row],[Teams]]), 1)</f>
        <v>0</v>
      </c>
      <c r="CA5" t="s">
        <v>1462</v>
      </c>
      <c r="CB5">
        <f>SUM($BB$2:$BB$33)</f>
        <v>4756</v>
      </c>
      <c r="CF5" t="s">
        <v>73</v>
      </c>
      <c r="CG5" s="21">
        <v>0.15</v>
      </c>
      <c r="CH5">
        <f>INDEX($BB$2:$BB$33,MATCH("CGY",$A$2:$A$33,0),1)</f>
        <v>132</v>
      </c>
      <c r="CI5">
        <f>CH5/CH2</f>
        <v>2.75</v>
      </c>
      <c r="CJ5" s="21">
        <f>CG5*CH5</f>
        <v>19.8</v>
      </c>
      <c r="CK5" s="15">
        <f>CJ5/$CJ$7</f>
        <v>0.37148217636022518</v>
      </c>
    </row>
    <row r="6" spans="1:95" ht="15.75" thickBot="1" x14ac:dyDescent="0.3">
      <c r="A6" t="s">
        <v>25</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0.91666666666666663</v>
      </c>
      <c r="F6">
        <f>COUNTIFS(DataRegularSeason20242025!$N$3:$N$1315,1,DataRegularSeason20242025!$D$3:$D$1315,$A6)</f>
        <v>23</v>
      </c>
      <c r="G6">
        <f>41-Table3[[#This Row],[GP_A]]</f>
        <v>18</v>
      </c>
      <c r="H6">
        <f>COUNTIFS(DataRegularSeason20242025!$E$3:$E$1315,$A6,DataRegularSeason20242025!$N$3:$N$1315,1)</f>
        <v>25</v>
      </c>
      <c r="I6">
        <f>41-Table3[[#This Row],[GP_H]]</f>
        <v>16</v>
      </c>
      <c r="J6">
        <f t="shared" si="0"/>
        <v>48</v>
      </c>
      <c r="K6">
        <f>82-Table3[[#This Row],[GP]]</f>
        <v>34</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8</v>
      </c>
      <c r="N6">
        <f>COUNTIFS(DataRegularSeason20242025!$D$3:$D$1315,$A6, DataRegularSeason20242025!$L$3:$L$1315, $A6,DataRegularSeason20242025!$N$3:$N$1315,1,DataRegularSeason20242025!$M$3:$M$1315,"OT")</f>
        <v>3</v>
      </c>
      <c r="O6">
        <f>COUNTIFS(DataRegularSeason20242025!$D$3:$D$1315,$A6, DataRegularSeason20242025!$L$3:$L$1315, $A6,DataRegularSeason20242025!$N$3:$N$1315,1,DataRegularSeason20242025!$M$3:$M$1315,"SO")</f>
        <v>1</v>
      </c>
      <c r="P6">
        <f t="shared" si="1"/>
        <v>11</v>
      </c>
      <c r="Q6">
        <f>COUNTIFS(DataRegularSeason20242025!$D$3:$D$1315,$A6, DataRegularSeason20242025!$S$3:$S$1315, $A6,DataRegularSeason20242025!$M$3:$M$1315,"REG")</f>
        <v>7</v>
      </c>
      <c r="R6">
        <f>COUNTIFS(DataRegularSeason20242025!$D$3:$D$1315,$A6, DataRegularSeason20242025!$S$3:$S$1315, $A6,DataRegularSeason20242025!$M$3:$M$1315,"OT")</f>
        <v>4</v>
      </c>
      <c r="S6">
        <f>COUNTIFS(DataRegularSeason20242025!$D$3:$D$1315,$A6, DataRegularSeason20242025!$S$3:$S$1315, $A6,DataRegularSeason20242025!$M$3:$M$1315,"SO")</f>
        <v>0</v>
      </c>
      <c r="T6">
        <f>COUNTIFS(DataRegularSeason20242025!$E$3:$E$1315,$A6, DataRegularSeason20242025!$L$3:$L$1315, $A6, DataRegularSeason20242025!$N$3:$N$1315,1)</f>
        <v>9</v>
      </c>
      <c r="U6">
        <f>COUNTIFS(DataRegularSeason20242025!$E$3:$E$1315,$A6, DataRegularSeason20242025!$L$3:$L$1315, $A6,DataRegularSeason20242025!$N$3:$N$1315,1,DataRegularSeason20242025!$M$3:$M$1315,"REG")</f>
        <v>9</v>
      </c>
      <c r="V6">
        <f>COUNTIFS(DataRegularSeason20242025!$E$3:$E$1315,$A6, DataRegularSeason20242025!$L$3:$L$1315, $A6,DataRegularSeason20242025!$N$3:$N$1315,1,DataRegularSeason20242025!$M$3:$M$1315,"OT")</f>
        <v>0</v>
      </c>
      <c r="W6">
        <f>COUNTIFS(DataRegularSeason20242025!$E$3:$E$1315,$A6, DataRegularSeason20242025!$L$3:$L$1315, $A6,DataRegularSeason20242025!$N$3:$N$1315,1,DataRegularSeason20242025!$M$3:$M$1315,"SO")</f>
        <v>0</v>
      </c>
      <c r="X6">
        <f t="shared" si="2"/>
        <v>16</v>
      </c>
      <c r="Y6">
        <f>COUNTIFS(DataRegularSeason20242025!$E$3:$E$1315,$A6, DataRegularSeason20242025!$S$3:$S$1315, $A6,DataRegularSeason20242025!$M$3:$M$1315,"REG")</f>
        <v>10</v>
      </c>
      <c r="Z6">
        <f>COUNTIFS(DataRegularSeason20242025!$E$3:$E$1315,$A6, DataRegularSeason20242025!$S$3:$S$1315, $A6,DataRegularSeason20242025!$M$3:$M$1315,"OT")</f>
        <v>5</v>
      </c>
      <c r="AA6">
        <f>COUNTIFS(DataRegularSeason20242025!$E$3:$E$1315,$A6, DataRegularSeason20242025!$S$3:$S$1315, $A6,DataRegularSeason20242025!$M$3:$M$1315,"SO")</f>
        <v>1</v>
      </c>
      <c r="AB6">
        <f>Table3[[#This Row],[W_A]]+Table3[[#This Row],[W_H]]</f>
        <v>21</v>
      </c>
      <c r="AC6">
        <f>Table3[[#This Row],[L_A]]+Table3[[#This Row],[L_H]]</f>
        <v>27</v>
      </c>
      <c r="AD6">
        <f>Table3[[#This Row],[RW_A]]+Table3[[#This Row],[RW_H]]</f>
        <v>17</v>
      </c>
      <c r="AE6">
        <f>Table3[[#This Row],[RL_A]]+Table3[[#This Row],[RL_H]]</f>
        <v>17</v>
      </c>
      <c r="AF6">
        <f>Table3[[#This Row],[OTW_A]]+Table3[[#This Row],[OTW_H]]</f>
        <v>3</v>
      </c>
      <c r="AG6">
        <f>Table3[[#This Row],[OTL_A]]+Table3[[#This Row],[OTL_H]]</f>
        <v>9</v>
      </c>
      <c r="AH6">
        <f>Table3[[#This Row],[SOW_A]]+Table3[[#This Row],[SOW_H]]</f>
        <v>1</v>
      </c>
      <c r="AI6">
        <f>Table3[[#This Row],[SOL_A]]+Table3[[#This Row],[SOL_H]]</f>
        <v>1</v>
      </c>
      <c r="AJ6" s="20" t="str">
        <f>_xlfn.CONCAT(TEXT(Table3[[#This Row],[OTW]]+Table3[[#This Row],[SOW]], "0"), "-", TEXT(Table3[[#This Row],[OTL]]+Table3[[#This Row],[SOL]],"0"))</f>
        <v>4-10</v>
      </c>
      <c r="AK6">
        <f>(2*(Table3[[#This Row],[W_A]]+Table3[[#This Row],[W_H]]))+Table3[[#This Row],[OTL_A]]+Table3[[#This Row],[SOL_A]]+Table3[[#This Row],[OTL_H]]+Table3[[#This Row],[SOL_H]]</f>
        <v>52</v>
      </c>
      <c r="AL6">
        <f>(3*(Table3[[#This Row],[RW_A]]+Table3[[#This Row],[RW_H]]))+(2*(Table3[[#This Row],[OTW_A]]+Table3[[#This Row],[SOW_A]]+Table3[[#This Row],[OTW_H]]+Table3[[#This Row],[SOW_H]]))+Table3[[#This Row],[OTL_A]]+Table3[[#This Row],[SOL_A]]+Table3[[#This Row],[OTL_H]]+Table3[[#This Row],[SOL_H]]</f>
        <v>69</v>
      </c>
      <c r="AM6" s="15">
        <f>Table3[[#This Row],[PTS]]/(2*Table3[[#This Row],[GP]])</f>
        <v>0.54166666666666663</v>
      </c>
      <c r="AN6" s="15">
        <f>Table3[[#This Row],[PTS2]]/(3*Table3[[#This Row],[GP]])</f>
        <v>0.47916666666666669</v>
      </c>
      <c r="AO6">
        <f>(2*Table3[[#This Row],[GR]])+Table3[[#This Row],[PTS]]</f>
        <v>120</v>
      </c>
      <c r="AP6">
        <f>(3*Table3[[#This Row],[GR]])+Table3[[#This Row],[PTS2]]</f>
        <v>171</v>
      </c>
      <c r="AQ6">
        <f>Table3[[#This Row],[PTS]]+(2 * Table3[[#This Row],[GR]] * Table3[[#This Row],[PTS%]])</f>
        <v>88.833333333333329</v>
      </c>
      <c r="AR6">
        <f>Table3[[#This Row],[PTS2]]+(3 * Table3[[#This Row],[GR]] * Table3[[#This Row],[PTS%2]])</f>
        <v>117.875</v>
      </c>
      <c r="AS6" s="20" t="str">
        <f>_xlfn.CONCAT(TEXT(Table3[[#This Row],[W]], "0"), "-", TEXT(Table3[[#This Row],[RL]],"0"), "-", TEXT(Table3[[#This Row],[OTL]]+Table3[[#This Row],[SOL]], "0"))</f>
        <v>21-17-10</v>
      </c>
      <c r="AT6">
        <f>COUNTIFS(DataRegularSeason20242025!$D$3:$D$1315,Table3[[#This Row],[Teams]],DataRegularSeason20242025!$K$3:$K$1315,0)</f>
        <v>3</v>
      </c>
      <c r="AU6">
        <f>SUMIF(DataRegularSeason20242025!$D$3:$D$1315,$A6, DataRegularSeason20242025!$J$3:$J$1315)</f>
        <v>65</v>
      </c>
      <c r="AV6">
        <f>SUMIF(DataRegularSeason20242025!$D$3:$D$1315,$A6, DataRegularSeason20242025!$K$3:$K$1315)</f>
        <v>65</v>
      </c>
      <c r="AW6">
        <f t="shared" si="3"/>
        <v>0</v>
      </c>
      <c r="AX6">
        <f>COUNTIFS(DataRegularSeason20242025!$E$3:$E$1315,Table3[[#This Row],[Teams]],DataRegularSeason20242025!$J$3:$J$1315,0)</f>
        <v>1</v>
      </c>
      <c r="AY6">
        <f>SUMIF(DataRegularSeason20242025!$E$3:$E$1315,$A6,DataRegularSeason20242025!$K$3:$K$1315)</f>
        <v>70</v>
      </c>
      <c r="AZ6">
        <f>SUMIF(DataRegularSeason20242025!$E$3:$E$1315,$A6,DataRegularSeason20242025!$J$3:$J$1315)</f>
        <v>88</v>
      </c>
      <c r="BA6">
        <f t="shared" si="4"/>
        <v>-18</v>
      </c>
      <c r="BB6">
        <f t="shared" si="5"/>
        <v>135</v>
      </c>
      <c r="BC6">
        <f t="shared" si="6"/>
        <v>153</v>
      </c>
      <c r="BD6">
        <f t="shared" si="7"/>
        <v>-18</v>
      </c>
      <c r="BE6" s="17">
        <f>Table3[[#This Row],[GF]]/Table3[[#This Row],[GP]]</f>
        <v>2.8125</v>
      </c>
      <c r="BF6" s="17">
        <f>Table3[[#This Row],[GA]]/Table3[[#This Row],[GP]]</f>
        <v>3.1875</v>
      </c>
      <c r="BG6" s="17">
        <f>(Table3[[#This Row],[GF]]-Table3[[#This Row],[GA]])/Table3[[#This Row],[GP]]</f>
        <v>-0.375</v>
      </c>
      <c r="BH6" s="49" t="str">
        <f>_xlfn.CONCAT(TEXT(Table3[[#This Row],[W_H]], "0"), "-", TEXT(Table3[[#This Row],[RL_H]],"0"), "-", TEXT(Table3[[#This Row],[OTL_H]]+Table3[[#This Row],[SOL_H]], "0"))</f>
        <v>9-10-6</v>
      </c>
      <c r="BI6" s="49" t="str">
        <f>_xlfn.CONCAT(TEXT(Table3[[#This Row],[W_A]], "0"), "-", TEXT(Table3[[#This Row],[RL_A]],"0"), "-", TEXT(Table3[[#This Row],[OTL_A]]+Table3[[#This Row],[SOL_A]], "0"))</f>
        <v>12-7-4</v>
      </c>
      <c r="BJ6" s="49">
        <f>((2*(Table3[[#This Row],[W_H]]))+Table3[[#This Row],[OTL_H]]+Table3[[#This Row],[SOL_H]])/(2*Table3[[#This Row],[GP_H]])</f>
        <v>0.48</v>
      </c>
      <c r="BK6" s="49">
        <f>((2*(Table3[[#This Row],[W_A]]))+Table3[[#This Row],[OTL_A]]+Table3[[#This Row],[SOL_A]])/(2*Table3[[#This Row],[GP_A]])</f>
        <v>0.60869565217391308</v>
      </c>
      <c r="BL6" s="21">
        <f>(Table3[[#This Row],[W]]*$CG$3)+(Table3[[#This Row],[L]]*$CG$4)+(Table3[[#This Row],[GF]]*$CG$5)+(Table3[[#This Row],[GA]]*$CG$6)</f>
        <v>54.150000000000006</v>
      </c>
      <c r="BM6" s="21">
        <f>(82*(((Table3[[#This Row],[PTS%]]*$CG$3)+((1-Table3[[#This Row],[PTS%]])*$CG$4)+(Table3[[#This Row],[GF]]*$CG$5)+(Table3[[#This Row],[GA]]*$CG$6))/Table3[[#This Row],[GP]])) + (Table3[[#This Row],[W]]*$CG$3)+(Table3[[#This Row],[L]]*$CG$4)+(Table3[[#This Row],[GF]]*$CG$5)+(Table3[[#This Row],[GA]]*$CG$6)</f>
        <v>115.57881944444445</v>
      </c>
      <c r="BN6">
        <f>COUNTIFS(DataRegularSeason20242025!$D$3:$D$1315,$A6,DataRegularSeason20242025!$H$3:$H$1315, $A6)</f>
        <v>8</v>
      </c>
      <c r="BO6">
        <f>COUNTIFS(DataRegularSeason20242025!$E$3:$E$1315,$A6,DataRegularSeason20242025!$H$3:$H$1315, $A6)</f>
        <v>12</v>
      </c>
      <c r="BP6">
        <f t="shared" si="8"/>
        <v>20</v>
      </c>
      <c r="BQ6">
        <f t="shared" si="9"/>
        <v>15</v>
      </c>
      <c r="BR6">
        <f t="shared" si="10"/>
        <v>13</v>
      </c>
      <c r="BS6">
        <f t="shared" si="11"/>
        <v>28</v>
      </c>
      <c r="BW6" t="str">
        <f>INDEX(Table2[AwayTeam], Table3[[#This Row],[Column2]])</f>
        <v>BOS</v>
      </c>
      <c r="BX6">
        <f>LARGE((Table2[[#This Row],[AwayTeam]]=Table3[[#This Row],[Teams]]), 1)</f>
        <v>0</v>
      </c>
      <c r="CA6" t="s">
        <v>1463</v>
      </c>
      <c r="CB6">
        <f>SUM($AT$2:$AT$33)+SUM($AX$2:$AX$33)</f>
        <v>93</v>
      </c>
      <c r="CF6" t="s">
        <v>74</v>
      </c>
      <c r="CG6" s="21">
        <v>0.1</v>
      </c>
      <c r="CH6">
        <f>INDEX($BC$2:$BC$33,MATCH("CGY",$A$2:$A$33,0),1)</f>
        <v>143</v>
      </c>
      <c r="CI6">
        <f>CH6/CH2</f>
        <v>2.9791666666666665</v>
      </c>
      <c r="CJ6" s="21">
        <f>CG6*CH6</f>
        <v>14.3</v>
      </c>
      <c r="CK6" s="15">
        <f>CJ6/$CJ$7</f>
        <v>0.26829268292682928</v>
      </c>
    </row>
    <row r="7" spans="1:95" ht="16.5" thickTop="1" thickBot="1" x14ac:dyDescent="0.3">
      <c r="A7" t="s">
        <v>33</v>
      </c>
      <c r="B7" t="s">
        <v>98</v>
      </c>
      <c r="C7" t="s">
        <v>99</v>
      </c>
      <c r="D7">
        <f>COUNTIFS(DataRegularSeason20242025!$D$3:$D$1315,$A7,DataRegularSeason20242025!$R$3:$R$1315,1,DataRegularSeason20242025!$N$3:$N$1315,1) + COUNTIFS(DataRegularSeason20242025!$E$3:$E$1315,$A7,DataRegularSeason20242025!$R$3:$R$1315,1,DataRegularSeason20242025!$N$3:$N$1315,1)</f>
        <v>37</v>
      </c>
      <c r="E7" s="15">
        <f>Table3[[#This Row],[Watched]]/Table3[[#This Row],[GP]]</f>
        <v>0.77083333333333337</v>
      </c>
      <c r="F7">
        <f>COUNTIFS(DataRegularSeason20242025!$N$3:$N$1315,1,DataRegularSeason20242025!$D$3:$D$1315,$A7)</f>
        <v>24</v>
      </c>
      <c r="G7">
        <f>41-Table3[[#This Row],[GP_A]]</f>
        <v>17</v>
      </c>
      <c r="H7">
        <f>COUNTIFS(DataRegularSeason20242025!$E$3:$E$1315,$A7,DataRegularSeason20242025!$N$3:$N$1315,1)</f>
        <v>24</v>
      </c>
      <c r="I7">
        <f>41-Table3[[#This Row],[GP_H]]</f>
        <v>17</v>
      </c>
      <c r="J7">
        <f t="shared" si="0"/>
        <v>48</v>
      </c>
      <c r="K7">
        <f>82-Table3[[#This Row],[GP]]</f>
        <v>34</v>
      </c>
      <c r="L7">
        <f>COUNTIFS(DataRegularSeason20242025!$D$3:$D$1315,$A7, DataRegularSeason20242025!$L$3:$L$1315, $A7,DataRegularSeason20242025!$N$3:$N$1315,1)</f>
        <v>10</v>
      </c>
      <c r="M7">
        <f>COUNTIFS(DataRegularSeason20242025!$D$3:$D$1315,$A7, DataRegularSeason20242025!$L$3:$L$1315, $A7,DataRegularSeason20242025!$N$3:$N$1315,1,DataRegularSeason20242025!$M$3:$M$1315,"REG")</f>
        <v>8</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 t="shared" si="1"/>
        <v>14</v>
      </c>
      <c r="Q7">
        <f>COUNTIFS(DataRegularSeason20242025!$D$3:$D$1315,$A7, DataRegularSeason20242025!$S$3:$S$1315, $A7,DataRegularSeason20242025!$M$3:$M$1315,"REG")</f>
        <v>9</v>
      </c>
      <c r="R7">
        <f>COUNTIFS(DataRegularSeason20242025!$D$3:$D$1315,$A7, DataRegularSeason20242025!$S$3:$S$1315, $A7,DataRegularSeason20242025!$M$3:$M$1315,"OT")</f>
        <v>4</v>
      </c>
      <c r="S7">
        <f>COUNTIFS(DataRegularSeason20242025!$D$3:$D$1315,$A7, DataRegularSeason20242025!$S$3:$S$1315, $A7,DataRegularSeason20242025!$M$3:$M$1315,"SO")</f>
        <v>1</v>
      </c>
      <c r="T7">
        <f>COUNTIFS(DataRegularSeason20242025!$E$3:$E$1315,$A7, DataRegularSeason20242025!$L$3:$L$1315, $A7, DataRegularSeason20242025!$N$3:$N$1315,1)</f>
        <v>11</v>
      </c>
      <c r="U7">
        <f>COUNTIFS(DataRegularSeason20242025!$E$3:$E$1315,$A7, DataRegularSeason20242025!$L$3:$L$1315, $A7,DataRegularSeason20242025!$N$3:$N$1315,1,DataRegularSeason20242025!$M$3:$M$1315,"REG")</f>
        <v>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2</v>
      </c>
      <c r="X7">
        <f t="shared" si="2"/>
        <v>13</v>
      </c>
      <c r="Y7">
        <f>COUNTIFS(DataRegularSeason20242025!$E$3:$E$1315,$A7, DataRegularSeason20242025!$S$3:$S$1315, $A7,DataRegularSeason20242025!$M$3:$M$1315,"REG")</f>
        <v>11</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21</v>
      </c>
      <c r="AC7">
        <f>Table3[[#This Row],[L_A]]+Table3[[#This Row],[L_H]]</f>
        <v>27</v>
      </c>
      <c r="AD7">
        <f>Table3[[#This Row],[RW_A]]+Table3[[#This Row],[RW_H]]</f>
        <v>16</v>
      </c>
      <c r="AE7">
        <f>Table3[[#This Row],[RL_A]]+Table3[[#This Row],[RL_H]]</f>
        <v>20</v>
      </c>
      <c r="AF7">
        <f>Table3[[#This Row],[OTW_A]]+Table3[[#This Row],[OTW_H]]</f>
        <v>3</v>
      </c>
      <c r="AG7">
        <f>Table3[[#This Row],[OTL_A]]+Table3[[#This Row],[OTL_H]]</f>
        <v>6</v>
      </c>
      <c r="AH7">
        <f>Table3[[#This Row],[SOW_A]]+Table3[[#This Row],[SOW_H]]</f>
        <v>2</v>
      </c>
      <c r="AI7">
        <f>Table3[[#This Row],[SOL_A]]+Table3[[#This Row],[SOL_H]]</f>
        <v>1</v>
      </c>
      <c r="AJ7" s="20" t="str">
        <f>_xlfn.CONCAT(TEXT(Table3[[#This Row],[OTW]]+Table3[[#This Row],[SOW]], "0"), "-", TEXT(Table3[[#This Row],[OTL]]+Table3[[#This Row],[SOL]],"0"))</f>
        <v>5-7</v>
      </c>
      <c r="AK7">
        <f>(2*(Table3[[#This Row],[W_A]]+Table3[[#This Row],[W_H]]))+Table3[[#This Row],[OTL_A]]+Table3[[#This Row],[SOL_A]]+Table3[[#This Row],[OTL_H]]+Table3[[#This Row],[SOL_H]]</f>
        <v>49</v>
      </c>
      <c r="AL7">
        <f>(3*(Table3[[#This Row],[RW_A]]+Table3[[#This Row],[RW_H]]))+(2*(Table3[[#This Row],[OTW_A]]+Table3[[#This Row],[SOW_A]]+Table3[[#This Row],[OTW_H]]+Table3[[#This Row],[SOW_H]]))+Table3[[#This Row],[OTL_A]]+Table3[[#This Row],[SOL_A]]+Table3[[#This Row],[OTL_H]]+Table3[[#This Row],[SOL_H]]</f>
        <v>65</v>
      </c>
      <c r="AM7" s="15">
        <f>Table3[[#This Row],[PTS]]/(2*Table3[[#This Row],[GP]])</f>
        <v>0.51041666666666663</v>
      </c>
      <c r="AN7" s="15">
        <f>Table3[[#This Row],[PTS2]]/(3*Table3[[#This Row],[GP]])</f>
        <v>0.4513888888888889</v>
      </c>
      <c r="AO7">
        <f>(2*Table3[[#This Row],[GR]])+Table3[[#This Row],[PTS]]</f>
        <v>117</v>
      </c>
      <c r="AP7">
        <f>(3*Table3[[#This Row],[GR]])+Table3[[#This Row],[PTS2]]</f>
        <v>167</v>
      </c>
      <c r="AQ7">
        <f>Table3[[#This Row],[PTS]]+(2 * Table3[[#This Row],[GR]] * Table3[[#This Row],[PTS%]])</f>
        <v>83.708333333333329</v>
      </c>
      <c r="AR7">
        <f>Table3[[#This Row],[PTS2]]+(3 * Table3[[#This Row],[GR]] * Table3[[#This Row],[PTS%2]])</f>
        <v>111.04166666666666</v>
      </c>
      <c r="AS7" s="20" t="str">
        <f>_xlfn.CONCAT(TEXT(Table3[[#This Row],[W]], "0"), "-", TEXT(Table3[[#This Row],[RL]],"0"), "-", TEXT(Table3[[#This Row],[OTL]]+Table3[[#This Row],[SOL]], "0"))</f>
        <v>21-20-7</v>
      </c>
      <c r="AT7">
        <f>COUNTIFS(DataRegularSeason20242025!$D$3:$D$1315,Table3[[#This Row],[Teams]],DataRegularSeason20242025!$K$3:$K$1315,0)</f>
        <v>1</v>
      </c>
      <c r="AU7">
        <f>SUMIF(DataRegularSeason20242025!$D$3:$D$1315,$A7, DataRegularSeason20242025!$J$3:$J$1315)</f>
        <v>64</v>
      </c>
      <c r="AV7">
        <f>SUMIF(DataRegularSeason20242025!$D$3:$D$1315,$A7, DataRegularSeason20242025!$K$3:$K$1315)</f>
        <v>66</v>
      </c>
      <c r="AW7">
        <f t="shared" si="3"/>
        <v>-2</v>
      </c>
      <c r="AX7">
        <f>COUNTIFS(DataRegularSeason20242025!$E$3:$E$1315,Table3[[#This Row],[Teams]],DataRegularSeason20242025!$J$3:$J$1315,0)</f>
        <v>1</v>
      </c>
      <c r="AY7">
        <f>SUMIF(DataRegularSeason20242025!$E$3:$E$1315,$A7,DataRegularSeason20242025!$K$3:$K$1315)</f>
        <v>66</v>
      </c>
      <c r="AZ7">
        <f>SUMIF(DataRegularSeason20242025!$E$3:$E$1315,$A7,DataRegularSeason20242025!$J$3:$J$1315)</f>
        <v>75</v>
      </c>
      <c r="BA7">
        <f t="shared" si="4"/>
        <v>-9</v>
      </c>
      <c r="BB7">
        <f t="shared" si="5"/>
        <v>130</v>
      </c>
      <c r="BC7">
        <f t="shared" si="6"/>
        <v>141</v>
      </c>
      <c r="BD7">
        <f t="shared" si="7"/>
        <v>-11</v>
      </c>
      <c r="BE7" s="17">
        <f>Table3[[#This Row],[GF]]/Table3[[#This Row],[GP]]</f>
        <v>2.7083333333333335</v>
      </c>
      <c r="BF7" s="17">
        <f>Table3[[#This Row],[GA]]/Table3[[#This Row],[GP]]</f>
        <v>2.9375</v>
      </c>
      <c r="BG7" s="17">
        <f>(Table3[[#This Row],[GF]]-Table3[[#This Row],[GA]])/Table3[[#This Row],[GP]]</f>
        <v>-0.22916666666666666</v>
      </c>
      <c r="BH7" s="49" t="str">
        <f>_xlfn.CONCAT(TEXT(Table3[[#This Row],[W_H]], "0"), "-", TEXT(Table3[[#This Row],[RL_H]],"0"), "-", TEXT(Table3[[#This Row],[OTL_H]]+Table3[[#This Row],[SOL_H]], "0"))</f>
        <v>11-11-2</v>
      </c>
      <c r="BI7" s="49" t="str">
        <f>_xlfn.CONCAT(TEXT(Table3[[#This Row],[W_A]], "0"), "-", TEXT(Table3[[#This Row],[RL_A]],"0"), "-", TEXT(Table3[[#This Row],[OTL_A]]+Table3[[#This Row],[SOL_A]], "0"))</f>
        <v>10-9-5</v>
      </c>
      <c r="BJ7" s="49">
        <f>((2*(Table3[[#This Row],[W_H]]))+Table3[[#This Row],[OTL_H]]+Table3[[#This Row],[SOL_H]])/(2*Table3[[#This Row],[GP_H]])</f>
        <v>0.5</v>
      </c>
      <c r="BK7" s="49">
        <f>((2*(Table3[[#This Row],[W_A]]))+Table3[[#This Row],[OTL_A]]+Table3[[#This Row],[SOL_A]])/(2*Table3[[#This Row],[GP_A]])</f>
        <v>0.52083333333333337</v>
      </c>
      <c r="BL7" s="21">
        <f>(Table3[[#This Row],[W]]*$CG$3)+(Table3[[#This Row],[L]]*$CG$4)+(Table3[[#This Row],[GF]]*$CG$5)+(Table3[[#This Row],[GA]]*$CG$6)</f>
        <v>52.2</v>
      </c>
      <c r="BM7" s="21">
        <f>(82*(((Table3[[#This Row],[PTS%]]*$CG$3)+((1-Table3[[#This Row],[PTS%]])*$CG$4)+(Table3[[#This Row],[GF]]*$CG$5)+(Table3[[#This Row],[GA]]*$CG$6))/Table3[[#This Row],[GP]])) + (Table3[[#This Row],[W]]*$CG$3)+(Table3[[#This Row],[L]]*$CG$4)+(Table3[[#This Row],[GF]]*$CG$5)+(Table3[[#This Row],[GA]]*$CG$6)</f>
        <v>110.28689236111111</v>
      </c>
      <c r="BN7">
        <f>COUNTIFS(DataRegularSeason20242025!$D$3:$D$1315,$A7,DataRegularSeason20242025!$H$3:$H$1315, $A7)</f>
        <v>5</v>
      </c>
      <c r="BO7">
        <f>COUNTIFS(DataRegularSeason20242025!$E$3:$E$1315,$A7,DataRegularSeason20242025!$H$3:$H$1315, $A7)</f>
        <v>9</v>
      </c>
      <c r="BP7">
        <f t="shared" si="8"/>
        <v>14</v>
      </c>
      <c r="BQ7">
        <f t="shared" si="9"/>
        <v>19</v>
      </c>
      <c r="BR7">
        <f t="shared" si="10"/>
        <v>15</v>
      </c>
      <c r="BS7">
        <f t="shared" si="11"/>
        <v>34</v>
      </c>
      <c r="BV7">
        <v>1983</v>
      </c>
      <c r="BW7" t="str">
        <f>INDEX(Table2[AwayTeam], Table3[[#This Row],[Column2]])</f>
        <v>CHI</v>
      </c>
      <c r="BX7">
        <f>LARGE((Table2[[#This Row],[AwayTeam]]=Table3[[#This Row],[Teams]]), 1)</f>
        <v>0</v>
      </c>
      <c r="CA7" t="s">
        <v>1464</v>
      </c>
      <c r="CB7">
        <f>SUM($AF$2:$AF$33)</f>
        <v>119</v>
      </c>
      <c r="CI7" s="22">
        <f>MAX(CG4,CG3*INDEX($AM$2:$AM$33,MATCH("CGY",$A$2:$A$33,0),1))+(CG5*CI5)+(CG6*CI6)</f>
        <v>1.0104166666666665</v>
      </c>
      <c r="CJ7" s="106">
        <f>SUM(CJ3:CJ6)</f>
        <v>53.3</v>
      </c>
    </row>
    <row r="8" spans="1:95" ht="15.75" thickTop="1" x14ac:dyDescent="0.25">
      <c r="A8" t="s">
        <v>35</v>
      </c>
      <c r="B8" t="s">
        <v>97</v>
      </c>
      <c r="C8" t="s">
        <v>95</v>
      </c>
      <c r="D8">
        <f>COUNTIFS(DataRegularSeason20242025!$D$3:$D$1315,$A8,DataRegularSeason20242025!$R$3:$R$1315,1,DataRegularSeason20242025!$N$3:$N$1315,1) + COUNTIFS(DataRegularSeason20242025!$E$3:$E$1315,$A8,DataRegularSeason20242025!$R$3:$R$1315,1,DataRegularSeason20242025!$N$3:$N$1315,1)</f>
        <v>43</v>
      </c>
      <c r="E8" s="15">
        <f>Table3[[#This Row],[Watched]]/Table3[[#This Row],[GP]]</f>
        <v>0.89583333333333337</v>
      </c>
      <c r="F8">
        <f>COUNTIFS(DataRegularSeason20242025!$N$3:$N$1315,1,DataRegularSeason20242025!$D$3:$D$1315,$A8)</f>
        <v>25</v>
      </c>
      <c r="G8">
        <f>41-Table3[[#This Row],[GP_A]]</f>
        <v>16</v>
      </c>
      <c r="H8">
        <f>COUNTIFS(DataRegularSeason20242025!$E$3:$E$1315,$A8,DataRegularSeason20242025!$N$3:$N$1315,1)</f>
        <v>23</v>
      </c>
      <c r="I8">
        <f>41-Table3[[#This Row],[GP_H]]</f>
        <v>18</v>
      </c>
      <c r="J8">
        <f t="shared" si="0"/>
        <v>48</v>
      </c>
      <c r="K8">
        <f>82-Table3[[#This Row],[GP]]</f>
        <v>34</v>
      </c>
      <c r="L8">
        <f>COUNTIFS(DataRegularSeason20242025!$D$3:$D$1315,$A8, DataRegularSeason20242025!$L$3:$L$1315, $A8,DataRegularSeason20242025!$N$3:$N$1315,1)</f>
        <v>6</v>
      </c>
      <c r="M8">
        <f>COUNTIFS(DataRegularSeason20242025!$D$3:$D$1315,$A8, DataRegularSeason20242025!$L$3:$L$1315, $A8,DataRegularSeason20242025!$N$3:$N$1315,1,DataRegularSeason20242025!$M$3:$M$1315,"REG")</f>
        <v>6</v>
      </c>
      <c r="N8">
        <f>COUNTIFS(DataRegularSeason20242025!$D$3:$D$1315,$A8, DataRegularSeason20242025!$L$3:$L$1315, $A8,DataRegularSeason20242025!$N$3:$N$1315,1,DataRegularSeason20242025!$M$3:$M$1315,"OT")</f>
        <v>0</v>
      </c>
      <c r="O8">
        <f>COUNTIFS(DataRegularSeason20242025!$D$3:$D$1315,$A8, DataRegularSeason20242025!$L$3:$L$1315, $A8,DataRegularSeason20242025!$N$3:$N$1315,1,DataRegularSeason20242025!$M$3:$M$1315,"SO")</f>
        <v>0</v>
      </c>
      <c r="P8">
        <f t="shared" si="1"/>
        <v>19</v>
      </c>
      <c r="Q8">
        <f>COUNTIFS(DataRegularSeason20242025!$D$3:$D$1315,$A8, DataRegularSeason20242025!$S$3:$S$1315, $A8,DataRegularSeason20242025!$M$3:$M$1315,"REG")</f>
        <v>15</v>
      </c>
      <c r="R8">
        <f>COUNTIFS(DataRegularSeason20242025!$D$3:$D$1315,$A8, DataRegularSeason20242025!$S$3:$S$1315, $A8,DataRegularSeason20242025!$M$3:$M$1315,"OT")</f>
        <v>4</v>
      </c>
      <c r="S8">
        <f>COUNTIFS(DataRegularSeason20242025!$D$3:$D$1315,$A8, DataRegularSeason20242025!$S$3:$S$1315, $A8,DataRegularSeason20242025!$M$3:$M$1315,"SO")</f>
        <v>0</v>
      </c>
      <c r="T8">
        <f>COUNTIFS(DataRegularSeason20242025!$E$3:$E$1315,$A8, DataRegularSeason20242025!$L$3:$L$1315, $A8, DataRegularSeason20242025!$N$3:$N$1315,1)</f>
        <v>12</v>
      </c>
      <c r="U8">
        <f>COUNTIFS(DataRegularSeason20242025!$E$3:$E$1315,$A8, DataRegularSeason20242025!$L$3:$L$1315, $A8,DataRegularSeason20242025!$N$3:$N$1315,1,DataRegularSeason20242025!$M$3:$M$1315,"REG")</f>
        <v>9</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1</v>
      </c>
      <c r="X8">
        <f t="shared" si="2"/>
        <v>11</v>
      </c>
      <c r="Y8">
        <f>COUNTIFS(DataRegularSeason20242025!$E$3:$E$1315,$A8, DataRegularSeason20242025!$S$3:$S$1315, $A8,DataRegularSeason20242025!$M$3:$M$1315,"REG")</f>
        <v>8</v>
      </c>
      <c r="Z8">
        <f>COUNTIFS(DataRegularSeason20242025!$E$3:$E$1315,$A8, DataRegularSeason20242025!$S$3:$S$1315, $A8,DataRegularSeason20242025!$M$3:$M$1315,"OT")</f>
        <v>3</v>
      </c>
      <c r="AA8">
        <f>COUNTIFS(DataRegularSeason20242025!$E$3:$E$1315,$A8, DataRegularSeason20242025!$S$3:$S$1315, $A8,DataRegularSeason20242025!$M$3:$M$1315,"SO")</f>
        <v>0</v>
      </c>
      <c r="AB8">
        <f>Table3[[#This Row],[W_A]]+Table3[[#This Row],[W_H]]</f>
        <v>18</v>
      </c>
      <c r="AC8">
        <f>Table3[[#This Row],[L_A]]+Table3[[#This Row],[L_H]]</f>
        <v>30</v>
      </c>
      <c r="AD8">
        <f>Table3[[#This Row],[RW_A]]+Table3[[#This Row],[RW_H]]</f>
        <v>15</v>
      </c>
      <c r="AE8">
        <f>Table3[[#This Row],[RL_A]]+Table3[[#This Row],[RL_H]]</f>
        <v>23</v>
      </c>
      <c r="AF8">
        <f>Table3[[#This Row],[OTW_A]]+Table3[[#This Row],[OTW_H]]</f>
        <v>2</v>
      </c>
      <c r="AG8">
        <f>Table3[[#This Row],[OTL_A]]+Table3[[#This Row],[OTL_H]]</f>
        <v>7</v>
      </c>
      <c r="AH8">
        <f>Table3[[#This Row],[SOW_A]]+Table3[[#This Row],[SOW_H]]</f>
        <v>1</v>
      </c>
      <c r="AI8">
        <f>Table3[[#This Row],[SOL_A]]+Table3[[#This Row],[SOL_H]]</f>
        <v>0</v>
      </c>
      <c r="AJ8" s="20" t="str">
        <f>_xlfn.CONCAT(TEXT(Table3[[#This Row],[OTW]]+Table3[[#This Row],[SOW]], "0"), "-", TEXT(Table3[[#This Row],[OTL]]+Table3[[#This Row],[SOL]],"0"))</f>
        <v>3-7</v>
      </c>
      <c r="AK8">
        <f>(2*(Table3[[#This Row],[W_A]]+Table3[[#This Row],[W_H]]))+Table3[[#This Row],[OTL_A]]+Table3[[#This Row],[SOL_A]]+Table3[[#This Row],[OTL_H]]+Table3[[#This Row],[SOL_H]]</f>
        <v>43</v>
      </c>
      <c r="AL8">
        <f>(3*(Table3[[#This Row],[RW_A]]+Table3[[#This Row],[RW_H]]))+(2*(Table3[[#This Row],[OTW_A]]+Table3[[#This Row],[SOW_A]]+Table3[[#This Row],[OTW_H]]+Table3[[#This Row],[SOW_H]]))+Table3[[#This Row],[OTL_A]]+Table3[[#This Row],[SOL_A]]+Table3[[#This Row],[OTL_H]]+Table3[[#This Row],[SOL_H]]</f>
        <v>58</v>
      </c>
      <c r="AM8" s="15">
        <f>Table3[[#This Row],[PTS]]/(2*Table3[[#This Row],[GP]])</f>
        <v>0.44791666666666669</v>
      </c>
      <c r="AN8" s="15">
        <f>Table3[[#This Row],[PTS2]]/(3*Table3[[#This Row],[GP]])</f>
        <v>0.40277777777777779</v>
      </c>
      <c r="AO8">
        <f>(2*Table3[[#This Row],[GR]])+Table3[[#This Row],[PTS]]</f>
        <v>111</v>
      </c>
      <c r="AP8">
        <f>(3*Table3[[#This Row],[GR]])+Table3[[#This Row],[PTS2]]</f>
        <v>160</v>
      </c>
      <c r="AQ8">
        <f>Table3[[#This Row],[PTS]]+(2 * Table3[[#This Row],[GR]] * Table3[[#This Row],[PTS%]])</f>
        <v>73.458333333333343</v>
      </c>
      <c r="AR8">
        <f>Table3[[#This Row],[PTS2]]+(3 * Table3[[#This Row],[GR]] * Table3[[#This Row],[PTS%2]])</f>
        <v>99.083333333333343</v>
      </c>
      <c r="AS8" s="20" t="str">
        <f>_xlfn.CONCAT(TEXT(Table3[[#This Row],[W]], "0"), "-", TEXT(Table3[[#This Row],[RL]],"0"), "-", TEXT(Table3[[#This Row],[OTL]]+Table3[[#This Row],[SOL]], "0"))</f>
        <v>18-23-7</v>
      </c>
      <c r="AT8">
        <f>COUNTIFS(DataRegularSeason20242025!$D$3:$D$1315,Table3[[#This Row],[Teams]],DataRegularSeason20242025!$K$3:$K$1315,0)</f>
        <v>1</v>
      </c>
      <c r="AU8">
        <f>SUMIF(DataRegularSeason20242025!$D$3:$D$1315,$A8, DataRegularSeason20242025!$J$3:$J$1315)</f>
        <v>55</v>
      </c>
      <c r="AV8">
        <f>SUMIF(DataRegularSeason20242025!$D$3:$D$1315,$A8, DataRegularSeason20242025!$K$3:$K$1315)</f>
        <v>85</v>
      </c>
      <c r="AW8">
        <f t="shared" si="3"/>
        <v>-30</v>
      </c>
      <c r="AX8">
        <f>COUNTIFS(DataRegularSeason20242025!$E$3:$E$1315,Table3[[#This Row],[Teams]],DataRegularSeason20242025!$J$3:$J$1315,0)</f>
        <v>3</v>
      </c>
      <c r="AY8">
        <f>SUMIF(DataRegularSeason20242025!$E$3:$E$1315,$A8,DataRegularSeason20242025!$K$3:$K$1315)</f>
        <v>75</v>
      </c>
      <c r="AZ8">
        <f>SUMIF(DataRegularSeason20242025!$E$3:$E$1315,$A8,DataRegularSeason20242025!$J$3:$J$1315)</f>
        <v>69</v>
      </c>
      <c r="BA8">
        <f t="shared" si="4"/>
        <v>6</v>
      </c>
      <c r="BB8">
        <f t="shared" si="5"/>
        <v>130</v>
      </c>
      <c r="BC8">
        <f t="shared" si="6"/>
        <v>154</v>
      </c>
      <c r="BD8">
        <f t="shared" si="7"/>
        <v>-24</v>
      </c>
      <c r="BE8" s="17">
        <f>Table3[[#This Row],[GF]]/Table3[[#This Row],[GP]]</f>
        <v>2.7083333333333335</v>
      </c>
      <c r="BF8" s="17">
        <f>Table3[[#This Row],[GA]]/Table3[[#This Row],[GP]]</f>
        <v>3.2083333333333335</v>
      </c>
      <c r="BG8" s="17">
        <f>(Table3[[#This Row],[GF]]-Table3[[#This Row],[GA]])/Table3[[#This Row],[GP]]</f>
        <v>-0.5</v>
      </c>
      <c r="BH8" s="49" t="str">
        <f>_xlfn.CONCAT(TEXT(Table3[[#This Row],[W_H]], "0"), "-", TEXT(Table3[[#This Row],[RL_H]],"0"), "-", TEXT(Table3[[#This Row],[OTL_H]]+Table3[[#This Row],[SOL_H]], "0"))</f>
        <v>12-8-3</v>
      </c>
      <c r="BI8" s="49" t="str">
        <f>_xlfn.CONCAT(TEXT(Table3[[#This Row],[W_A]], "0"), "-", TEXT(Table3[[#This Row],[RL_A]],"0"), "-", TEXT(Table3[[#This Row],[OTL_A]]+Table3[[#This Row],[SOL_A]], "0"))</f>
        <v>6-15-4</v>
      </c>
      <c r="BJ8" s="49">
        <f>((2*(Table3[[#This Row],[W_H]]))+Table3[[#This Row],[OTL_H]]+Table3[[#This Row],[SOL_H]])/(2*Table3[[#This Row],[GP_H]])</f>
        <v>0.58695652173913049</v>
      </c>
      <c r="BK8" s="49">
        <f>((2*(Table3[[#This Row],[W_A]]))+Table3[[#This Row],[OTL_A]]+Table3[[#This Row],[SOL_A]])/(2*Table3[[#This Row],[GP_A]])</f>
        <v>0.32</v>
      </c>
      <c r="BL8" s="21">
        <f>(Table3[[#This Row],[W]]*$CG$3)+(Table3[[#This Row],[L]]*$CG$4)+(Table3[[#This Row],[GF]]*$CG$5)+(Table3[[#This Row],[GA]]*$CG$6)</f>
        <v>52.9</v>
      </c>
      <c r="BM8" s="21">
        <f>(82*(((Table3[[#This Row],[PTS%]]*$CG$3)+((1-Table3[[#This Row],[PTS%]])*$CG$4)+(Table3[[#This Row],[GF]]*$CG$5)+(Table3[[#This Row],[GA]]*$CG$6))/Table3[[#This Row],[GP]])) + (Table3[[#This Row],[W]]*$CG$3)+(Table3[[#This Row],[L]]*$CG$4)+(Table3[[#This Row],[GF]]*$CG$5)+(Table3[[#This Row],[GA]]*$CG$6)</f>
        <v>113.18637152777778</v>
      </c>
      <c r="BN8">
        <f>COUNTIFS(DataRegularSeason20242025!$D$3:$D$1315,$A8,DataRegularSeason20242025!$H$3:$H$1315, $A8)</f>
        <v>7</v>
      </c>
      <c r="BO8">
        <f>COUNTIFS(DataRegularSeason20242025!$E$3:$E$1315,$A8,DataRegularSeason20242025!$H$3:$H$1315, $A8)</f>
        <v>13</v>
      </c>
      <c r="BP8">
        <f t="shared" si="8"/>
        <v>20</v>
      </c>
      <c r="BQ8">
        <f t="shared" si="9"/>
        <v>18</v>
      </c>
      <c r="BR8">
        <f t="shared" si="10"/>
        <v>10</v>
      </c>
      <c r="BS8">
        <f t="shared" si="11"/>
        <v>28</v>
      </c>
      <c r="BW8" t="str">
        <f>INDEX(Table2[AwayTeam], Table3[[#This Row],[Column2]])</f>
        <v>TOR</v>
      </c>
      <c r="BX8">
        <f>LARGE((Table2[[#This Row],[AwayTeam]]=Table3[[#This Row],[Teams]]), 1)</f>
        <v>0</v>
      </c>
      <c r="CA8" t="s">
        <v>1465</v>
      </c>
      <c r="CB8">
        <f>SUM($AH$2:$AH$33)</f>
        <v>39</v>
      </c>
      <c r="CH8" t="s">
        <v>1475</v>
      </c>
      <c r="CI8" s="22">
        <f>CI7*82</f>
        <v>82.854166666666657</v>
      </c>
      <c r="CJ8" s="21">
        <f>CJ7+((82-CH2)*CI7)</f>
        <v>87.654166666666669</v>
      </c>
    </row>
    <row r="9" spans="1:95" x14ac:dyDescent="0.25">
      <c r="A9" t="s">
        <v>17</v>
      </c>
      <c r="B9" t="s">
        <v>97</v>
      </c>
      <c r="C9" t="s">
        <v>95</v>
      </c>
      <c r="D9">
        <f>COUNTIFS(DataRegularSeason20242025!$D$3:$D$1315,$A9,DataRegularSeason20242025!$R$3:$R$1315,1,DataRegularSeason20242025!$N$3:$N$1315,1) + COUNTIFS(DataRegularSeason20242025!$E$3:$E$1315,$A9,DataRegularSeason20242025!$R$3:$R$1315,1,DataRegularSeason20242025!$N$3:$N$1315,1)</f>
        <v>42</v>
      </c>
      <c r="E9" s="15">
        <f>Table3[[#This Row],[Watched]]/Table3[[#This Row],[GP]]</f>
        <v>0.875</v>
      </c>
      <c r="F9">
        <f>COUNTIFS(DataRegularSeason20242025!$N$3:$N$1315,1,DataRegularSeason20242025!$D$3:$D$1315,$A9)</f>
        <v>23</v>
      </c>
      <c r="G9">
        <f>41-Table3[[#This Row],[GP_A]]</f>
        <v>18</v>
      </c>
      <c r="H9">
        <f>COUNTIFS(DataRegularSeason20242025!$E$3:$E$1315,$A9,DataRegularSeason20242025!$N$3:$N$1315,1)</f>
        <v>25</v>
      </c>
      <c r="I9">
        <f>41-Table3[[#This Row],[GP_H]]</f>
        <v>16</v>
      </c>
      <c r="J9">
        <f t="shared" si="0"/>
        <v>48</v>
      </c>
      <c r="K9">
        <f>82-Table3[[#This Row],[GP]]</f>
        <v>34</v>
      </c>
      <c r="L9">
        <f>COUNTIFS(DataRegularSeason20242025!$D$3:$D$1315,$A9, DataRegularSeason20242025!$L$3:$L$1315, $A9,DataRegularSeason20242025!$N$3:$N$1315,1)</f>
        <v>5</v>
      </c>
      <c r="M9">
        <f>COUNTIFS(DataRegularSeason20242025!$D$3:$D$1315,$A9, DataRegularSeason20242025!$L$3:$L$1315, $A9,DataRegularSeason20242025!$N$3:$N$1315,1,DataRegularSeason20242025!$M$3:$M$1315,"REG")</f>
        <v>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1</v>
      </c>
      <c r="P9">
        <f t="shared" si="1"/>
        <v>18</v>
      </c>
      <c r="Q9">
        <f>COUNTIFS(DataRegularSeason20242025!$D$3:$D$1315,$A9, DataRegularSeason20242025!$S$3:$S$1315, $A9,DataRegularSeason20242025!$M$3:$M$1315,"REG")</f>
        <v>15</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10</v>
      </c>
      <c r="U9">
        <f>COUNTIFS(DataRegularSeason20242025!$E$3:$E$1315,$A9, DataRegularSeason20242025!$L$3:$L$1315, $A9,DataRegularSeason20242025!$N$3:$N$1315,1,DataRegularSeason20242025!$M$3:$M$1315,"REG")</f>
        <v>9</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 t="shared" si="2"/>
        <v>15</v>
      </c>
      <c r="Y9">
        <f>COUNTIFS(DataRegularSeason20242025!$E$3:$E$1315,$A9, DataRegularSeason20242025!$S$3:$S$1315, $A9,DataRegularSeason20242025!$M$3:$M$1315,"REG")</f>
        <v>13</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15</v>
      </c>
      <c r="AC9">
        <f>Table3[[#This Row],[L_A]]+Table3[[#This Row],[L_H]]</f>
        <v>33</v>
      </c>
      <c r="AD9">
        <f>Table3[[#This Row],[RW_A]]+Table3[[#This Row],[RW_H]]</f>
        <v>13</v>
      </c>
      <c r="AE9">
        <f>Table3[[#This Row],[RL_A]]+Table3[[#This Row],[RL_H]]</f>
        <v>28</v>
      </c>
      <c r="AF9">
        <f>Table3[[#This Row],[OTW_A]]+Table3[[#This Row],[OTW_H]]</f>
        <v>1</v>
      </c>
      <c r="AG9">
        <f>Table3[[#This Row],[OTL_A]]+Table3[[#This Row],[OTL_H]]</f>
        <v>4</v>
      </c>
      <c r="AH9">
        <f>Table3[[#This Row],[SOW_A]]+Table3[[#This Row],[SOW_H]]</f>
        <v>1</v>
      </c>
      <c r="AI9">
        <f>Table3[[#This Row],[SOL_A]]+Table3[[#This Row],[SOL_H]]</f>
        <v>1</v>
      </c>
      <c r="AJ9" s="20" t="str">
        <f>_xlfn.CONCAT(TEXT(Table3[[#This Row],[OTW]]+Table3[[#This Row],[SOW]], "0"), "-", TEXT(Table3[[#This Row],[OTL]]+Table3[[#This Row],[SOL]],"0"))</f>
        <v>2-5</v>
      </c>
      <c r="AK9">
        <f>(2*(Table3[[#This Row],[W_A]]+Table3[[#This Row],[W_H]]))+Table3[[#This Row],[OTL_A]]+Table3[[#This Row],[SOL_A]]+Table3[[#This Row],[OTL_H]]+Table3[[#This Row],[SOL_H]]</f>
        <v>35</v>
      </c>
      <c r="AL9">
        <f>(3*(Table3[[#This Row],[RW_A]]+Table3[[#This Row],[RW_H]]))+(2*(Table3[[#This Row],[OTW_A]]+Table3[[#This Row],[SOW_A]]+Table3[[#This Row],[OTW_H]]+Table3[[#This Row],[SOW_H]]))+Table3[[#This Row],[OTL_A]]+Table3[[#This Row],[SOL_A]]+Table3[[#This Row],[OTL_H]]+Table3[[#This Row],[SOL_H]]</f>
        <v>48</v>
      </c>
      <c r="AM9" s="15">
        <f>Table3[[#This Row],[PTS]]/(2*Table3[[#This Row],[GP]])</f>
        <v>0.36458333333333331</v>
      </c>
      <c r="AN9" s="15">
        <f>Table3[[#This Row],[PTS2]]/(3*Table3[[#This Row],[GP]])</f>
        <v>0.33333333333333331</v>
      </c>
      <c r="AO9">
        <f>(2*Table3[[#This Row],[GR]])+Table3[[#This Row],[PTS]]</f>
        <v>103</v>
      </c>
      <c r="AP9">
        <f>(3*Table3[[#This Row],[GR]])+Table3[[#This Row],[PTS2]]</f>
        <v>150</v>
      </c>
      <c r="AQ9">
        <f>Table3[[#This Row],[PTS]]+(2 * Table3[[#This Row],[GR]] * Table3[[#This Row],[PTS%]])</f>
        <v>59.791666666666664</v>
      </c>
      <c r="AR9">
        <f>Table3[[#This Row],[PTS2]]+(3 * Table3[[#This Row],[GR]] * Table3[[#This Row],[PTS%2]])</f>
        <v>82</v>
      </c>
      <c r="AS9" s="20" t="str">
        <f>_xlfn.CONCAT(TEXT(Table3[[#This Row],[W]], "0"), "-", TEXT(Table3[[#This Row],[RL]],"0"), "-", TEXT(Table3[[#This Row],[OTL]]+Table3[[#This Row],[SOL]], "0"))</f>
        <v>15-28-5</v>
      </c>
      <c r="AT9">
        <f>COUNTIFS(DataRegularSeason20242025!$D$3:$D$1315,Table3[[#This Row],[Teams]],DataRegularSeason20242025!$K$3:$K$1315,0)</f>
        <v>0</v>
      </c>
      <c r="AU9">
        <f>SUMIF(DataRegularSeason20242025!$D$3:$D$1315,$A9, DataRegularSeason20242025!$J$3:$J$1315)</f>
        <v>55</v>
      </c>
      <c r="AV9">
        <f>SUMIF(DataRegularSeason20242025!$D$3:$D$1315,$A9, DataRegularSeason20242025!$K$3:$K$1315)</f>
        <v>80</v>
      </c>
      <c r="AW9">
        <f t="shared" si="3"/>
        <v>-25</v>
      </c>
      <c r="AX9">
        <f>COUNTIFS(DataRegularSeason20242025!$E$3:$E$1315,Table3[[#This Row],[Teams]],DataRegularSeason20242025!$J$3:$J$1315,0)</f>
        <v>0</v>
      </c>
      <c r="AY9">
        <f>SUMIF(DataRegularSeason20242025!$E$3:$E$1315,$A9,DataRegularSeason20242025!$K$3:$K$1315)</f>
        <v>71</v>
      </c>
      <c r="AZ9">
        <f>SUMIF(DataRegularSeason20242025!$E$3:$E$1315,$A9,DataRegularSeason20242025!$J$3:$J$1315)</f>
        <v>86</v>
      </c>
      <c r="BA9">
        <f t="shared" si="4"/>
        <v>-15</v>
      </c>
      <c r="BB9">
        <f t="shared" si="5"/>
        <v>126</v>
      </c>
      <c r="BC9">
        <f t="shared" si="6"/>
        <v>166</v>
      </c>
      <c r="BD9">
        <f t="shared" si="7"/>
        <v>-40</v>
      </c>
      <c r="BE9" s="17">
        <f>Table3[[#This Row],[GF]]/Table3[[#This Row],[GP]]</f>
        <v>2.625</v>
      </c>
      <c r="BF9" s="17">
        <f>Table3[[#This Row],[GA]]/Table3[[#This Row],[GP]]</f>
        <v>3.4583333333333335</v>
      </c>
      <c r="BG9" s="17">
        <f>(Table3[[#This Row],[GF]]-Table3[[#This Row],[GA]])/Table3[[#This Row],[GP]]</f>
        <v>-0.83333333333333337</v>
      </c>
      <c r="BH9" s="49" t="str">
        <f>_xlfn.CONCAT(TEXT(Table3[[#This Row],[W_H]], "0"), "-", TEXT(Table3[[#This Row],[RL_H]],"0"), "-", TEXT(Table3[[#This Row],[OTL_H]]+Table3[[#This Row],[SOL_H]], "0"))</f>
        <v>10-13-2</v>
      </c>
      <c r="BI9" s="49" t="str">
        <f>_xlfn.CONCAT(TEXT(Table3[[#This Row],[W_A]], "0"), "-", TEXT(Table3[[#This Row],[RL_A]],"0"), "-", TEXT(Table3[[#This Row],[OTL_A]]+Table3[[#This Row],[SOL_A]], "0"))</f>
        <v>5-15-3</v>
      </c>
      <c r="BJ9" s="49">
        <f>((2*(Table3[[#This Row],[W_H]]))+Table3[[#This Row],[OTL_H]]+Table3[[#This Row],[SOL_H]])/(2*Table3[[#This Row],[GP_H]])</f>
        <v>0.44</v>
      </c>
      <c r="BK9" s="49">
        <f>((2*(Table3[[#This Row],[W_A]]))+Table3[[#This Row],[OTL_A]]+Table3[[#This Row],[SOL_A]])/(2*Table3[[#This Row],[GP_A]])</f>
        <v>0.28260869565217389</v>
      </c>
      <c r="BL9" s="21">
        <f>(Table3[[#This Row],[W]]*$CG$3)+(Table3[[#This Row],[L]]*$CG$4)+(Table3[[#This Row],[GF]]*$CG$5)+(Table3[[#This Row],[GA]]*$CG$6)</f>
        <v>52.9</v>
      </c>
      <c r="BM9" s="21">
        <f>(82*(((Table3[[#This Row],[PTS%]]*$CG$3)+((1-Table3[[#This Row],[PTS%]])*$CG$4)+(Table3[[#This Row],[GF]]*$CG$5)+(Table3[[#This Row],[GA]]*$CG$6))/Table3[[#This Row],[GP]])) + (Table3[[#This Row],[W]]*$CG$3)+(Table3[[#This Row],[L]]*$CG$4)+(Table3[[#This Row],[GF]]*$CG$5)+(Table3[[#This Row],[GA]]*$CG$6)</f>
        <v>114.18289930555557</v>
      </c>
      <c r="BN9">
        <f>COUNTIFS(DataRegularSeason20242025!$D$3:$D$1315,$A9,DataRegularSeason20242025!$H$3:$H$1315, $A9)</f>
        <v>2</v>
      </c>
      <c r="BO9">
        <f>COUNTIFS(DataRegularSeason20242025!$E$3:$E$1315,$A9,DataRegularSeason20242025!$H$3:$H$1315, $A9)</f>
        <v>6</v>
      </c>
      <c r="BP9">
        <f t="shared" si="8"/>
        <v>8</v>
      </c>
      <c r="BQ9">
        <f t="shared" si="9"/>
        <v>21</v>
      </c>
      <c r="BR9">
        <f t="shared" si="10"/>
        <v>19</v>
      </c>
      <c r="BS9">
        <f t="shared" si="11"/>
        <v>40</v>
      </c>
      <c r="BV9">
        <v>2015</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46</v>
      </c>
      <c r="B10" t="s">
        <v>98</v>
      </c>
      <c r="C10" t="s">
        <v>99</v>
      </c>
      <c r="D10">
        <f>COUNTIFS(DataRegularSeason20242025!$D$3:$D$1315,$A10,DataRegularSeason20242025!$R$3:$R$1315,1,DataRegularSeason20242025!$N$3:$N$1315,1) + COUNTIFS(DataRegularSeason20242025!$E$3:$E$1315,$A10,DataRegularSeason20242025!$R$3:$R$1315,1,DataRegularSeason20242025!$N$3:$N$1315,1)</f>
        <v>41</v>
      </c>
      <c r="E10" s="15">
        <f>Table3[[#This Row],[Watched]]/Table3[[#This Row],[GP]]</f>
        <v>0.83673469387755106</v>
      </c>
      <c r="F10">
        <f>COUNTIFS(DataRegularSeason20242025!$N$3:$N$1315,1,DataRegularSeason20242025!$D$3:$D$1315,$A10)</f>
        <v>25</v>
      </c>
      <c r="G10">
        <f>41-Table3[[#This Row],[GP_A]]</f>
        <v>16</v>
      </c>
      <c r="H10">
        <f>COUNTIFS(DataRegularSeason20242025!$E$3:$E$1315,$A10,DataRegularSeason20242025!$N$3:$N$1315,1)</f>
        <v>24</v>
      </c>
      <c r="I10">
        <f>41-Table3[[#This Row],[GP_H]]</f>
        <v>17</v>
      </c>
      <c r="J10">
        <f t="shared" si="0"/>
        <v>49</v>
      </c>
      <c r="K10">
        <f>82-Table3[[#This Row],[GP]]</f>
        <v>33</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 t="shared" si="1"/>
        <v>8</v>
      </c>
      <c r="Q10">
        <f>COUNTIFS(DataRegularSeason20242025!$D$3:$D$1315,$A10, DataRegularSeason20242025!$S$3:$S$1315, $A10,DataRegularSeason20242025!$M$3:$M$1315,"REG")</f>
        <v>7</v>
      </c>
      <c r="R10">
        <f>COUNTIFS(DataRegularSeason20242025!$D$3:$D$1315,$A10, DataRegularSeason20242025!$S$3:$S$1315, $A10,DataRegularSeason20242025!$M$3:$M$1315,"OT")</f>
        <v>0</v>
      </c>
      <c r="S10">
        <f>COUNTIFS(DataRegularSeason20242025!$D$3:$D$1315,$A10, DataRegularSeason20242025!$S$3:$S$1315, $A10,DataRegularSeason20242025!$M$3:$M$1315,"SO")</f>
        <v>1</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0</v>
      </c>
      <c r="X10">
        <f t="shared" si="2"/>
        <v>8</v>
      </c>
      <c r="Y10">
        <f>COUNTIFS(DataRegularSeason20242025!$E$3:$E$1315,$A10, DataRegularSeason20242025!$S$3:$S$1315, $A10,DataRegularSeason20242025!$M$3:$M$1315,"REG")</f>
        <v>4</v>
      </c>
      <c r="Z10">
        <f>COUNTIFS(DataRegularSeason20242025!$E$3:$E$1315,$A10, DataRegularSeason20242025!$S$3:$S$1315, $A10,DataRegularSeason20242025!$M$3:$M$1315,"OT")</f>
        <v>3</v>
      </c>
      <c r="AA10">
        <f>COUNTIFS(DataRegularSeason20242025!$E$3:$E$1315,$A10, DataRegularSeason20242025!$S$3:$S$1315, $A10,DataRegularSeason20242025!$M$3:$M$1315,"SO")</f>
        <v>1</v>
      </c>
      <c r="AB10">
        <f>Table3[[#This Row],[W_A]]+Table3[[#This Row],[W_H]]</f>
        <v>33</v>
      </c>
      <c r="AC10">
        <f>Table3[[#This Row],[L_A]]+Table3[[#This Row],[L_H]]</f>
        <v>16</v>
      </c>
      <c r="AD10">
        <f>Table3[[#This Row],[RW_A]]+Table3[[#This Row],[RW_H]]</f>
        <v>28</v>
      </c>
      <c r="AE10">
        <f>Table3[[#This Row],[RL_A]]+Table3[[#This Row],[RL_H]]</f>
        <v>11</v>
      </c>
      <c r="AF10">
        <f>Table3[[#This Row],[OTW_A]]+Table3[[#This Row],[OTW_H]]</f>
        <v>5</v>
      </c>
      <c r="AG10">
        <f>Table3[[#This Row],[OTL_A]]+Table3[[#This Row],[OTL_H]]</f>
        <v>3</v>
      </c>
      <c r="AH10">
        <f>Table3[[#This Row],[SOW_A]]+Table3[[#This Row],[SOW_H]]</f>
        <v>0</v>
      </c>
      <c r="AI10">
        <f>Table3[[#This Row],[SOL_A]]+Table3[[#This Row],[SOL_H]]</f>
        <v>2</v>
      </c>
      <c r="AJ10" s="20" t="str">
        <f>_xlfn.CONCAT(TEXT(Table3[[#This Row],[OTW]]+Table3[[#This Row],[SOW]], "0"), "-", TEXT(Table3[[#This Row],[OTL]]+Table3[[#This Row],[SOL]],"0"))</f>
        <v>5-5</v>
      </c>
      <c r="AK10">
        <f>(2*(Table3[[#This Row],[W_A]]+Table3[[#This Row],[W_H]]))+Table3[[#This Row],[OTL_A]]+Table3[[#This Row],[SOL_A]]+Table3[[#This Row],[OTL_H]]+Table3[[#This Row],[SOL_H]]</f>
        <v>71</v>
      </c>
      <c r="AL10">
        <f>(3*(Table3[[#This Row],[RW_A]]+Table3[[#This Row],[RW_H]]))+(2*(Table3[[#This Row],[OTW_A]]+Table3[[#This Row],[SOW_A]]+Table3[[#This Row],[OTW_H]]+Table3[[#This Row],[SOW_H]]))+Table3[[#This Row],[OTL_A]]+Table3[[#This Row],[SOL_A]]+Table3[[#This Row],[OTL_H]]+Table3[[#This Row],[SOL_H]]</f>
        <v>99</v>
      </c>
      <c r="AM10" s="15">
        <f>Table3[[#This Row],[PTS]]/(2*Table3[[#This Row],[GP]])</f>
        <v>0.72448979591836737</v>
      </c>
      <c r="AN10" s="15">
        <f>Table3[[#This Row],[PTS2]]/(3*Table3[[#This Row],[GP]])</f>
        <v>0.67346938775510201</v>
      </c>
      <c r="AO10">
        <f>(2*Table3[[#This Row],[GR]])+Table3[[#This Row],[PTS]]</f>
        <v>137</v>
      </c>
      <c r="AP10">
        <f>(3*Table3[[#This Row],[GR]])+Table3[[#This Row],[PTS2]]</f>
        <v>198</v>
      </c>
      <c r="AQ10">
        <f>Table3[[#This Row],[PTS]]+(2 * Table3[[#This Row],[GR]] * Table3[[#This Row],[PTS%]])</f>
        <v>118.81632653061224</v>
      </c>
      <c r="AR10">
        <f>Table3[[#This Row],[PTS2]]+(3 * Table3[[#This Row],[GR]] * Table3[[#This Row],[PTS%2]])</f>
        <v>165.67346938775512</v>
      </c>
      <c r="AS10" s="20" t="str">
        <f>_xlfn.CONCAT(TEXT(Table3[[#This Row],[W]], "0"), "-", TEXT(Table3[[#This Row],[RL]],"0"), "-", TEXT(Table3[[#This Row],[OTL]]+Table3[[#This Row],[SOL]], "0"))</f>
        <v>33-11-5</v>
      </c>
      <c r="AT10">
        <f>COUNTIFS(DataRegularSeason20242025!$D$3:$D$1315,Table3[[#This Row],[Teams]],DataRegularSeason20242025!$K$3:$K$1315,0)</f>
        <v>2</v>
      </c>
      <c r="AU10">
        <f>SUMIF(DataRegularSeason20242025!$D$3:$D$1315,$A10, DataRegularSeason20242025!$J$3:$J$1315)</f>
        <v>86</v>
      </c>
      <c r="AV10">
        <f>SUMIF(DataRegularSeason20242025!$D$3:$D$1315,$A10, DataRegularSeason20242025!$K$3:$K$1315)</f>
        <v>59</v>
      </c>
      <c r="AW10">
        <f t="shared" si="3"/>
        <v>27</v>
      </c>
      <c r="AX10">
        <f>COUNTIFS(DataRegularSeason20242025!$E$3:$E$1315,Table3[[#This Row],[Teams]],DataRegularSeason20242025!$J$3:$J$1315,0)</f>
        <v>1</v>
      </c>
      <c r="AY10">
        <f>SUMIF(DataRegularSeason20242025!$E$3:$E$1315,$A10,DataRegularSeason20242025!$K$3:$K$1315)</f>
        <v>85</v>
      </c>
      <c r="AZ10">
        <f>SUMIF(DataRegularSeason20242025!$E$3:$E$1315,$A10,DataRegularSeason20242025!$J$3:$J$1315)</f>
        <v>59</v>
      </c>
      <c r="BA10">
        <f t="shared" si="4"/>
        <v>26</v>
      </c>
      <c r="BB10">
        <f t="shared" si="5"/>
        <v>171</v>
      </c>
      <c r="BC10">
        <f t="shared" si="6"/>
        <v>118</v>
      </c>
      <c r="BD10">
        <f t="shared" si="7"/>
        <v>53</v>
      </c>
      <c r="BE10" s="17">
        <f>Table3[[#This Row],[GF]]/Table3[[#This Row],[GP]]</f>
        <v>3.489795918367347</v>
      </c>
      <c r="BF10" s="17">
        <f>Table3[[#This Row],[GA]]/Table3[[#This Row],[GP]]</f>
        <v>2.4081632653061225</v>
      </c>
      <c r="BG10" s="17">
        <f>(Table3[[#This Row],[GF]]-Table3[[#This Row],[GA]])/Table3[[#This Row],[GP]]</f>
        <v>1.0816326530612246</v>
      </c>
      <c r="BH10" s="49" t="str">
        <f>_xlfn.CONCAT(TEXT(Table3[[#This Row],[W_H]], "0"), "-", TEXT(Table3[[#This Row],[RL_H]],"0"), "-", TEXT(Table3[[#This Row],[OTL_H]]+Table3[[#This Row],[SOL_H]], "0"))</f>
        <v>16-4-4</v>
      </c>
      <c r="BI10" s="49" t="str">
        <f>_xlfn.CONCAT(TEXT(Table3[[#This Row],[W_A]], "0"), "-", TEXT(Table3[[#This Row],[RL_A]],"0"), "-", TEXT(Table3[[#This Row],[OTL_A]]+Table3[[#This Row],[SOL_A]], "0"))</f>
        <v>17-7-1</v>
      </c>
      <c r="BJ10" s="49">
        <f>((2*(Table3[[#This Row],[W_H]]))+Table3[[#This Row],[OTL_H]]+Table3[[#This Row],[SOL_H]])/(2*Table3[[#This Row],[GP_H]])</f>
        <v>0.75</v>
      </c>
      <c r="BK10" s="49">
        <f>((2*(Table3[[#This Row],[W_A]]))+Table3[[#This Row],[OTL_A]]+Table3[[#This Row],[SOL_A]])/(2*Table3[[#This Row],[GP_A]])</f>
        <v>0.7</v>
      </c>
      <c r="BL10" s="21">
        <f>(Table3[[#This Row],[W]]*$CG$3)+(Table3[[#This Row],[L]]*$CG$4)+(Table3[[#This Row],[GF]]*$CG$5)+(Table3[[#This Row],[GA]]*$CG$6)</f>
        <v>58.75</v>
      </c>
      <c r="BM10" s="21">
        <f>(82*(((Table3[[#This Row],[PTS%]]*$CG$3)+((1-Table3[[#This Row],[PTS%]])*$CG$4)+(Table3[[#This Row],[GF]]*$CG$5)+(Table3[[#This Row],[GA]]*$CG$6))/Table3[[#This Row],[GP]])) + (Table3[[#This Row],[W]]*$CG$3)+(Table3[[#This Row],[L]]*$CG$4)+(Table3[[#This Row],[GF]]*$CG$5)+(Table3[[#This Row],[GA]]*$CG$6)</f>
        <v>122.16595168679716</v>
      </c>
      <c r="BN10">
        <f>COUNTIFS(DataRegularSeason20242025!$D$3:$D$1315,$A10,DataRegularSeason20242025!$H$3:$H$1315, $A10)</f>
        <v>19</v>
      </c>
      <c r="BO10">
        <f>COUNTIFS(DataRegularSeason20242025!$E$3:$E$1315,$A10,DataRegularSeason20242025!$H$3:$H$1315, $A10)</f>
        <v>19</v>
      </c>
      <c r="BP10">
        <f t="shared" si="8"/>
        <v>38</v>
      </c>
      <c r="BQ10">
        <f t="shared" si="9"/>
        <v>6</v>
      </c>
      <c r="BR10">
        <f t="shared" si="10"/>
        <v>5</v>
      </c>
      <c r="BS10">
        <f t="shared" si="11"/>
        <v>11</v>
      </c>
      <c r="BV10">
        <v>2018</v>
      </c>
      <c r="BW10" t="str">
        <f>INDEX(Table2[AwayTeam], Table3[[#This Row],[Column2]])</f>
        <v>WPG</v>
      </c>
      <c r="BX10">
        <f>LARGE((Table2[[#This Row],[AwayTeam]]=Table3[[#This Row],[Teams]]), 1)</f>
        <v>0</v>
      </c>
      <c r="CA10" t="s">
        <v>1469</v>
      </c>
      <c r="CB10" s="1">
        <f>_xlfn.MAXIFS(DataRegularSeason20242025!$B$3:$B$1315,DataRegularSeason20242025!$N$3:$N$1315,1)</f>
        <v>45683</v>
      </c>
    </row>
    <row r="11" spans="1:95" x14ac:dyDescent="0.25">
      <c r="A11" t="s">
        <v>23</v>
      </c>
      <c r="B11" t="s">
        <v>97</v>
      </c>
      <c r="C11" t="s">
        <v>100</v>
      </c>
      <c r="D11">
        <f>COUNTIFS(DataRegularSeason20242025!$D$3:$D$1315,$A11,DataRegularSeason20242025!$R$3:$R$1315,1,DataRegularSeason20242025!$N$3:$N$1315,1) + COUNTIFS(DataRegularSeason20242025!$E$3:$E$1315,$A11,DataRegularSeason20242025!$R$3:$R$1315,1,DataRegularSeason20242025!$N$3:$N$1315,1)</f>
        <v>46</v>
      </c>
      <c r="E11" s="15">
        <f>Table3[[#This Row],[Watched]]/Table3[[#This Row],[GP]]</f>
        <v>0.93877551020408168</v>
      </c>
      <c r="F11">
        <f>COUNTIFS(DataRegularSeason20242025!$N$3:$N$1315,1,DataRegularSeason20242025!$D$3:$D$1315,$A11)</f>
        <v>23</v>
      </c>
      <c r="G11">
        <f>41-Table3[[#This Row],[GP_A]]</f>
        <v>18</v>
      </c>
      <c r="H11">
        <f>COUNTIFS(DataRegularSeason20242025!$E$3:$E$1315,$A11,DataRegularSeason20242025!$N$3:$N$1315,1)</f>
        <v>26</v>
      </c>
      <c r="I11">
        <f>41-Table3[[#This Row],[GP_H]]</f>
        <v>15</v>
      </c>
      <c r="J11">
        <f t="shared" si="0"/>
        <v>49</v>
      </c>
      <c r="K11">
        <f>82-Table3[[#This Row],[GP]]</f>
        <v>33</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 t="shared" si="1"/>
        <v>9</v>
      </c>
      <c r="Q11">
        <f>COUNTIFS(DataRegularSeason20242025!$D$3:$D$1315,$A11, DataRegularSeason20242025!$S$3:$S$1315, $A11,DataRegularSeason20242025!$M$3:$M$1315,"REG")</f>
        <v>7</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12</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 t="shared" si="2"/>
        <v>9</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0</v>
      </c>
      <c r="AB11">
        <f>Table3[[#This Row],[W_A]]+Table3[[#This Row],[W_H]]</f>
        <v>31</v>
      </c>
      <c r="AC11">
        <f>Table3[[#This Row],[L_A]]+Table3[[#This Row],[L_H]]</f>
        <v>18</v>
      </c>
      <c r="AD11">
        <f>Table3[[#This Row],[RW_A]]+Table3[[#This Row],[RW_H]]</f>
        <v>24</v>
      </c>
      <c r="AE11">
        <f>Table3[[#This Row],[RL_A]]+Table3[[#This Row],[RL_H]]</f>
        <v>15</v>
      </c>
      <c r="AF11">
        <f>Table3[[#This Row],[OTW_A]]+Table3[[#This Row],[OTW_H]]</f>
        <v>7</v>
      </c>
      <c r="AG11">
        <f>Table3[[#This Row],[OTL_A]]+Table3[[#This Row],[OTL_H]]</f>
        <v>3</v>
      </c>
      <c r="AH11">
        <f>Table3[[#This Row],[SOW_A]]+Table3[[#This Row],[SOW_H]]</f>
        <v>0</v>
      </c>
      <c r="AI11">
        <f>Table3[[#This Row],[SOL_A]]+Table3[[#This Row],[SOL_H]]</f>
        <v>0</v>
      </c>
      <c r="AJ11" s="20" t="str">
        <f>_xlfn.CONCAT(TEXT(Table3[[#This Row],[OTW]]+Table3[[#This Row],[SOW]], "0"), "-", TEXT(Table3[[#This Row],[OTL]]+Table3[[#This Row],[SOL]],"0"))</f>
        <v>7-3</v>
      </c>
      <c r="AK11">
        <f>(2*(Table3[[#This Row],[W_A]]+Table3[[#This Row],[W_H]]))+Table3[[#This Row],[OTL_A]]+Table3[[#This Row],[SOL_A]]+Table3[[#This Row],[OTL_H]]+Table3[[#This Row],[SOL_H]]</f>
        <v>65</v>
      </c>
      <c r="AL11">
        <f>(3*(Table3[[#This Row],[RW_A]]+Table3[[#This Row],[RW_H]]))+(2*(Table3[[#This Row],[OTW_A]]+Table3[[#This Row],[SOW_A]]+Table3[[#This Row],[OTW_H]]+Table3[[#This Row],[SOW_H]]))+Table3[[#This Row],[OTL_A]]+Table3[[#This Row],[SOL_A]]+Table3[[#This Row],[OTL_H]]+Table3[[#This Row],[SOL_H]]</f>
        <v>89</v>
      </c>
      <c r="AM11" s="15">
        <f>Table3[[#This Row],[PTS]]/(2*Table3[[#This Row],[GP]])</f>
        <v>0.66326530612244894</v>
      </c>
      <c r="AN11" s="15">
        <f>Table3[[#This Row],[PTS2]]/(3*Table3[[#This Row],[GP]])</f>
        <v>0.60544217687074831</v>
      </c>
      <c r="AO11">
        <f>(2*Table3[[#This Row],[GR]])+Table3[[#This Row],[PTS]]</f>
        <v>131</v>
      </c>
      <c r="AP11">
        <f>(3*Table3[[#This Row],[GR]])+Table3[[#This Row],[PTS2]]</f>
        <v>188</v>
      </c>
      <c r="AQ11">
        <f>Table3[[#This Row],[PTS]]+(2 * Table3[[#This Row],[GR]] * Table3[[#This Row],[PTS%]])</f>
        <v>108.77551020408163</v>
      </c>
      <c r="AR11">
        <f>Table3[[#This Row],[PTS2]]+(3 * Table3[[#This Row],[GR]] * Table3[[#This Row],[PTS%2]])</f>
        <v>148.9387755102041</v>
      </c>
      <c r="AS11" s="20" t="str">
        <f>_xlfn.CONCAT(TEXT(Table3[[#This Row],[W]], "0"), "-", TEXT(Table3[[#This Row],[RL]],"0"), "-", TEXT(Table3[[#This Row],[OTL]]+Table3[[#This Row],[SOL]], "0"))</f>
        <v>31-15-3</v>
      </c>
      <c r="AT11">
        <f>COUNTIFS(DataRegularSeason20242025!$D$3:$D$1315,Table3[[#This Row],[Teams]],DataRegularSeason20242025!$K$3:$K$1315,0)</f>
        <v>1</v>
      </c>
      <c r="AU11">
        <f>SUMIF(DataRegularSeason20242025!$D$3:$D$1315,$A11, DataRegularSeason20242025!$J$3:$J$1315)</f>
        <v>80</v>
      </c>
      <c r="AV11">
        <f>SUMIF(DataRegularSeason20242025!$D$3:$D$1315,$A11, DataRegularSeason20242025!$K$3:$K$1315)</f>
        <v>63</v>
      </c>
      <c r="AW11">
        <f t="shared" si="3"/>
        <v>17</v>
      </c>
      <c r="AX11">
        <f>COUNTIFS(DataRegularSeason20242025!$E$3:$E$1315,Table3[[#This Row],[Teams]],DataRegularSeason20242025!$J$3:$J$1315,0)</f>
        <v>2</v>
      </c>
      <c r="AY11">
        <f>SUMIF(DataRegularSeason20242025!$E$3:$E$1315,$A11,DataRegularSeason20242025!$K$3:$K$1315)</f>
        <v>82</v>
      </c>
      <c r="AZ11">
        <f>SUMIF(DataRegularSeason20242025!$E$3:$E$1315,$A11,DataRegularSeason20242025!$J$3:$J$1315)</f>
        <v>70</v>
      </c>
      <c r="BA11">
        <f t="shared" si="4"/>
        <v>12</v>
      </c>
      <c r="BB11">
        <f t="shared" si="5"/>
        <v>162</v>
      </c>
      <c r="BC11">
        <f t="shared" si="6"/>
        <v>133</v>
      </c>
      <c r="BD11">
        <f t="shared" si="7"/>
        <v>29</v>
      </c>
      <c r="BE11" s="17">
        <f>Table3[[#This Row],[GF]]/Table3[[#This Row],[GP]]</f>
        <v>3.306122448979592</v>
      </c>
      <c r="BF11" s="17">
        <f>Table3[[#This Row],[GA]]/Table3[[#This Row],[GP]]</f>
        <v>2.7142857142857144</v>
      </c>
      <c r="BG11" s="17">
        <f>(Table3[[#This Row],[GF]]-Table3[[#This Row],[GA]])/Table3[[#This Row],[GP]]</f>
        <v>0.59183673469387754</v>
      </c>
      <c r="BH11" s="49" t="str">
        <f>_xlfn.CONCAT(TEXT(Table3[[#This Row],[W_H]], "0"), "-", TEXT(Table3[[#This Row],[RL_H]],"0"), "-", TEXT(Table3[[#This Row],[OTL_H]]+Table3[[#This Row],[SOL_H]], "0"))</f>
        <v>17-8-1</v>
      </c>
      <c r="BI11" s="49" t="str">
        <f>_xlfn.CONCAT(TEXT(Table3[[#This Row],[W_A]], "0"), "-", TEXT(Table3[[#This Row],[RL_A]],"0"), "-", TEXT(Table3[[#This Row],[OTL_A]]+Table3[[#This Row],[SOL_A]], "0"))</f>
        <v>14-7-2</v>
      </c>
      <c r="BJ11" s="49">
        <f>((2*(Table3[[#This Row],[W_H]]))+Table3[[#This Row],[OTL_H]]+Table3[[#This Row],[SOL_H]])/(2*Table3[[#This Row],[GP_H]])</f>
        <v>0.67307692307692313</v>
      </c>
      <c r="BK11" s="49">
        <f>((2*(Table3[[#This Row],[W_A]]))+Table3[[#This Row],[OTL_A]]+Table3[[#This Row],[SOL_A]])/(2*Table3[[#This Row],[GP_A]])</f>
        <v>0.65217391304347827</v>
      </c>
      <c r="BL11" s="21">
        <f>(Table3[[#This Row],[W]]*$CG$3)+(Table3[[#This Row],[L]]*$CG$4)+(Table3[[#This Row],[GF]]*$CG$5)+(Table3[[#This Row],[GA]]*$CG$6)</f>
        <v>58.5</v>
      </c>
      <c r="BM11" s="21">
        <f>(82*(((Table3[[#This Row],[PTS%]]*$CG$3)+((1-Table3[[#This Row],[PTS%]])*$CG$4)+(Table3[[#This Row],[GF]]*$CG$5)+(Table3[[#This Row],[GA]]*$CG$6))/Table3[[#This Row],[GP]])) + (Table3[[#This Row],[W]]*$CG$3)+(Table3[[#This Row],[L]]*$CG$4)+(Table3[[#This Row],[GF]]*$CG$5)+(Table3[[#This Row],[GA]]*$CG$6)</f>
        <v>122.14648063306956</v>
      </c>
      <c r="BN11">
        <f>COUNTIFS(DataRegularSeason20242025!$D$3:$D$1315,$A11,DataRegularSeason20242025!$H$3:$H$1315, $A11)</f>
        <v>16</v>
      </c>
      <c r="BO11">
        <f>COUNTIFS(DataRegularSeason20242025!$E$3:$E$1315,$A11,DataRegularSeason20242025!$H$3:$H$1315, $A11)</f>
        <v>16</v>
      </c>
      <c r="BP11">
        <f t="shared" si="8"/>
        <v>32</v>
      </c>
      <c r="BQ11">
        <f t="shared" si="9"/>
        <v>7</v>
      </c>
      <c r="BR11">
        <f t="shared" si="10"/>
        <v>10</v>
      </c>
      <c r="BS11">
        <f t="shared" si="11"/>
        <v>17</v>
      </c>
      <c r="BV11">
        <v>1990</v>
      </c>
      <c r="BW11" t="str">
        <f>INDEX(Table2[AwayTeam], Table3[[#This Row],[Column2]])</f>
        <v>CGY</v>
      </c>
      <c r="BX11">
        <f>LARGE((Table2[[#This Row],[AwayTeam]]=Table3[[#This Row],[Teams]]), 1)</f>
        <v>0</v>
      </c>
      <c r="CA11" t="s">
        <v>1470</v>
      </c>
      <c r="CB11">
        <f>$CB$2/($CB$10-$CB$9)</f>
        <v>6.9210526315789478</v>
      </c>
    </row>
    <row r="12" spans="1:95" x14ac:dyDescent="0.25">
      <c r="A12" t="s">
        <v>27</v>
      </c>
      <c r="B12" t="s">
        <v>97</v>
      </c>
      <c r="C12" t="s">
        <v>100</v>
      </c>
      <c r="D12">
        <f>COUNTIFS(DataRegularSeason20242025!$D$3:$D$1315,$A12,DataRegularSeason20242025!$R$3:$R$1315,1,DataRegularSeason20242025!$N$3:$N$1315,1) + COUNTIFS(DataRegularSeason20242025!$E$3:$E$1315,$A12,DataRegularSeason20242025!$R$3:$R$1315,1,DataRegularSeason20242025!$N$3:$N$1315,1)</f>
        <v>41</v>
      </c>
      <c r="E12" s="15">
        <f>Table3[[#This Row],[Watched]]/Table3[[#This Row],[GP]]</f>
        <v>0.83673469387755106</v>
      </c>
      <c r="F12">
        <f>COUNTIFS(DataRegularSeason20242025!$N$3:$N$1315,1,DataRegularSeason20242025!$D$3:$D$1315,$A12)</f>
        <v>24</v>
      </c>
      <c r="G12">
        <f>41-Table3[[#This Row],[GP_A]]</f>
        <v>17</v>
      </c>
      <c r="H12">
        <f>COUNTIFS(DataRegularSeason20242025!$E$3:$E$1315,$A12,DataRegularSeason20242025!$N$3:$N$1315,1)</f>
        <v>25</v>
      </c>
      <c r="I12">
        <f>41-Table3[[#This Row],[GP_H]]</f>
        <v>16</v>
      </c>
      <c r="J12">
        <f t="shared" si="0"/>
        <v>49</v>
      </c>
      <c r="K12">
        <f>82-Table3[[#This Row],[GP]]</f>
        <v>33</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1</v>
      </c>
      <c r="P12">
        <f t="shared" si="1"/>
        <v>12</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1</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7</v>
      </c>
      <c r="Y12">
        <f>COUNTIFS(DataRegularSeason20242025!$E$3:$E$1315,$A12, DataRegularSeason20242025!$S$3:$S$1315, $A12,DataRegularSeason20242025!$M$3:$M$1315,"REG")</f>
        <v>6</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30</v>
      </c>
      <c r="AC12">
        <f>Table3[[#This Row],[L_A]]+Table3[[#This Row],[L_H]]</f>
        <v>19</v>
      </c>
      <c r="AD12">
        <f>Table3[[#This Row],[RW_A]]+Table3[[#This Row],[RW_H]]</f>
        <v>27</v>
      </c>
      <c r="AE12">
        <f>Table3[[#This Row],[RL_A]]+Table3[[#This Row],[RL_H]]</f>
        <v>15</v>
      </c>
      <c r="AF12">
        <f>Table3[[#This Row],[OTW_A]]+Table3[[#This Row],[OTW_H]]</f>
        <v>2</v>
      </c>
      <c r="AG12">
        <f>Table3[[#This Row],[OTL_A]]+Table3[[#This Row],[OTL_H]]</f>
        <v>2</v>
      </c>
      <c r="AH12">
        <f>Table3[[#This Row],[SOW_A]]+Table3[[#This Row],[SOW_H]]</f>
        <v>1</v>
      </c>
      <c r="AI12">
        <f>Table3[[#This Row],[SOL_A]]+Table3[[#This Row],[SOL_H]]</f>
        <v>2</v>
      </c>
      <c r="AJ12" s="20" t="str">
        <f>_xlfn.CONCAT(TEXT(Table3[[#This Row],[OTW]]+Table3[[#This Row],[SOW]], "0"), "-", TEXT(Table3[[#This Row],[OTL]]+Table3[[#This Row],[SOL]],"0"))</f>
        <v>3-4</v>
      </c>
      <c r="AK12">
        <f>(2*(Table3[[#This Row],[W_A]]+Table3[[#This Row],[W_H]]))+Table3[[#This Row],[OTL_A]]+Table3[[#This Row],[SOL_A]]+Table3[[#This Row],[OTL_H]]+Table3[[#This Row],[SOL_H]]</f>
        <v>64</v>
      </c>
      <c r="AL12">
        <f>(3*(Table3[[#This Row],[RW_A]]+Table3[[#This Row],[RW_H]]))+(2*(Table3[[#This Row],[OTW_A]]+Table3[[#This Row],[SOW_A]]+Table3[[#This Row],[OTW_H]]+Table3[[#This Row],[SOW_H]]))+Table3[[#This Row],[OTL_A]]+Table3[[#This Row],[SOL_A]]+Table3[[#This Row],[OTL_H]]+Table3[[#This Row],[SOL_H]]</f>
        <v>91</v>
      </c>
      <c r="AM12" s="15">
        <f>Table3[[#This Row],[PTS]]/(2*Table3[[#This Row],[GP]])</f>
        <v>0.65306122448979587</v>
      </c>
      <c r="AN12" s="15">
        <f>Table3[[#This Row],[PTS2]]/(3*Table3[[#This Row],[GP]])</f>
        <v>0.61904761904761907</v>
      </c>
      <c r="AO12">
        <f>(2*Table3[[#This Row],[GR]])+Table3[[#This Row],[PTS]]</f>
        <v>130</v>
      </c>
      <c r="AP12">
        <f>(3*Table3[[#This Row],[GR]])+Table3[[#This Row],[PTS2]]</f>
        <v>190</v>
      </c>
      <c r="AQ12">
        <f>Table3[[#This Row],[PTS]]+(2 * Table3[[#This Row],[GR]] * Table3[[#This Row],[PTS%]])</f>
        <v>107.10204081632654</v>
      </c>
      <c r="AR12">
        <f>Table3[[#This Row],[PTS2]]+(3 * Table3[[#This Row],[GR]] * Table3[[#This Row],[PTS%2]])</f>
        <v>152.28571428571428</v>
      </c>
      <c r="AS12" s="20" t="str">
        <f>_xlfn.CONCAT(TEXT(Table3[[#This Row],[W]], "0"), "-", TEXT(Table3[[#This Row],[RL]],"0"), "-", TEXT(Table3[[#This Row],[OTL]]+Table3[[#This Row],[SOL]], "0"))</f>
        <v>30-15-4</v>
      </c>
      <c r="AT12">
        <f>COUNTIFS(DataRegularSeason20242025!$D$3:$D$1315,Table3[[#This Row],[Teams]],DataRegularSeason20242025!$K$3:$K$1315,0)</f>
        <v>0</v>
      </c>
      <c r="AU12">
        <f>SUMIF(DataRegularSeason20242025!$D$3:$D$1315,$A12, DataRegularSeason20242025!$J$3:$J$1315)</f>
        <v>78</v>
      </c>
      <c r="AV12">
        <f>SUMIF(DataRegularSeason20242025!$D$3:$D$1315,$A12, DataRegularSeason20242025!$K$3:$K$1315)</f>
        <v>76</v>
      </c>
      <c r="AW12">
        <f t="shared" si="3"/>
        <v>2</v>
      </c>
      <c r="AX12">
        <f>COUNTIFS(DataRegularSeason20242025!$E$3:$E$1315,Table3[[#This Row],[Teams]],DataRegularSeason20242025!$J$3:$J$1315,0)</f>
        <v>3</v>
      </c>
      <c r="AY12">
        <f>SUMIF(DataRegularSeason20242025!$E$3:$E$1315,$A12,DataRegularSeason20242025!$K$3:$K$1315)</f>
        <v>89</v>
      </c>
      <c r="AZ12">
        <f>SUMIF(DataRegularSeason20242025!$E$3:$E$1315,$A12,DataRegularSeason20242025!$J$3:$J$1315)</f>
        <v>62</v>
      </c>
      <c r="BA12">
        <f t="shared" si="4"/>
        <v>27</v>
      </c>
      <c r="BB12">
        <f t="shared" si="5"/>
        <v>167</v>
      </c>
      <c r="BC12">
        <f t="shared" si="6"/>
        <v>138</v>
      </c>
      <c r="BD12">
        <f t="shared" si="7"/>
        <v>29</v>
      </c>
      <c r="BE12" s="17">
        <f>Table3[[#This Row],[GF]]/Table3[[#This Row],[GP]]</f>
        <v>3.4081632653061225</v>
      </c>
      <c r="BF12" s="17">
        <f>Table3[[#This Row],[GA]]/Table3[[#This Row],[GP]]</f>
        <v>2.8163265306122449</v>
      </c>
      <c r="BG12" s="17">
        <f>(Table3[[#This Row],[GF]]-Table3[[#This Row],[GA]])/Table3[[#This Row],[GP]]</f>
        <v>0.59183673469387754</v>
      </c>
      <c r="BH12" s="49" t="str">
        <f>_xlfn.CONCAT(TEXT(Table3[[#This Row],[W_H]], "0"), "-", TEXT(Table3[[#This Row],[RL_H]],"0"), "-", TEXT(Table3[[#This Row],[OTL_H]]+Table3[[#This Row],[SOL_H]], "0"))</f>
        <v>18-6-1</v>
      </c>
      <c r="BI12" s="49" t="str">
        <f>_xlfn.CONCAT(TEXT(Table3[[#This Row],[W_A]], "0"), "-", TEXT(Table3[[#This Row],[RL_A]],"0"), "-", TEXT(Table3[[#This Row],[OTL_A]]+Table3[[#This Row],[SOL_A]], "0"))</f>
        <v>12-9-3</v>
      </c>
      <c r="BJ12" s="49">
        <f>((2*(Table3[[#This Row],[W_H]]))+Table3[[#This Row],[OTL_H]]+Table3[[#This Row],[SOL_H]])/(2*Table3[[#This Row],[GP_H]])</f>
        <v>0.74</v>
      </c>
      <c r="BK12" s="49">
        <f>((2*(Table3[[#This Row],[W_A]]))+Table3[[#This Row],[OTL_A]]+Table3[[#This Row],[SOL_A]])/(2*Table3[[#This Row],[GP_A]])</f>
        <v>0.5625</v>
      </c>
      <c r="BL12" s="21">
        <f>(Table3[[#This Row],[W]]*$CG$3)+(Table3[[#This Row],[L]]*$CG$4)+(Table3[[#This Row],[GF]]*$CG$5)+(Table3[[#This Row],[GA]]*$CG$6)</f>
        <v>59.55</v>
      </c>
      <c r="BM12" s="21">
        <f>(82*(((Table3[[#This Row],[PTS%]]*$CG$3)+((1-Table3[[#This Row],[PTS%]])*$CG$4)+(Table3[[#This Row],[GF]]*$CG$5)+(Table3[[#This Row],[GA]]*$CG$6))/Table3[[#This Row],[GP]])) + (Table3[[#This Row],[W]]*$CG$3)+(Table3[[#This Row],[L]]*$CG$4)+(Table3[[#This Row],[GF]]*$CG$5)+(Table3[[#This Row],[GA]]*$CG$6)</f>
        <v>125.28490212411495</v>
      </c>
      <c r="BN12">
        <f>COUNTIFS(DataRegularSeason20242025!$D$3:$D$1315,$A12,DataRegularSeason20242025!$H$3:$H$1315, $A12)</f>
        <v>14</v>
      </c>
      <c r="BO12">
        <f>COUNTIFS(DataRegularSeason20242025!$E$3:$E$1315,$A12,DataRegularSeason20242025!$H$3:$H$1315, $A12)</f>
        <v>17</v>
      </c>
      <c r="BP12">
        <f t="shared" si="8"/>
        <v>31</v>
      </c>
      <c r="BQ12">
        <f t="shared" si="9"/>
        <v>10</v>
      </c>
      <c r="BR12">
        <f t="shared" si="10"/>
        <v>8</v>
      </c>
      <c r="BS12">
        <f t="shared" si="11"/>
        <v>18</v>
      </c>
      <c r="BV12">
        <v>2023</v>
      </c>
      <c r="BW12" t="str">
        <f>INDEX(Table2[AwayTeam], Table3[[#This Row],[Column2]])</f>
        <v>COL</v>
      </c>
      <c r="BX12">
        <f>LARGE((Table2[[#This Row],[AwayTeam]]=Table3[[#This Row],[Teams]]), 1)</f>
        <v>0</v>
      </c>
      <c r="CA12" t="s">
        <v>1471</v>
      </c>
      <c r="CB12">
        <f>$CB$3/($CB$10-$CB$9)</f>
        <v>5.7192982456140351</v>
      </c>
    </row>
    <row r="13" spans="1:95" x14ac:dyDescent="0.25">
      <c r="A13" t="s">
        <v>34</v>
      </c>
      <c r="B13" t="s">
        <v>97</v>
      </c>
      <c r="C13" t="s">
        <v>95</v>
      </c>
      <c r="D13">
        <f>COUNTIFS(DataRegularSeason20242025!$D$3:$D$1315,$A13,DataRegularSeason20242025!$R$3:$R$1315,1,DataRegularSeason20242025!$N$3:$N$1315,1) + COUNTIFS(DataRegularSeason20242025!$E$3:$E$1315,$A13,DataRegularSeason20242025!$R$3:$R$1315,1,DataRegularSeason20242025!$N$3:$N$1315,1)</f>
        <v>38</v>
      </c>
      <c r="E13" s="15">
        <f>Table3[[#This Row],[Watched]]/Table3[[#This Row],[GP]]</f>
        <v>0.77551020408163263</v>
      </c>
      <c r="F13">
        <f>COUNTIFS(DataRegularSeason20242025!$N$3:$N$1315,1,DataRegularSeason20242025!$D$3:$D$1315,$A13)</f>
        <v>23</v>
      </c>
      <c r="G13">
        <f>41-Table3[[#This Row],[GP_A]]</f>
        <v>18</v>
      </c>
      <c r="H13">
        <f>COUNTIFS(DataRegularSeason20242025!$E$3:$E$1315,$A13,DataRegularSeason20242025!$N$3:$N$1315,1)</f>
        <v>26</v>
      </c>
      <c r="I13">
        <f>41-Table3[[#This Row],[GP_H]]</f>
        <v>15</v>
      </c>
      <c r="J13">
        <f t="shared" si="0"/>
        <v>49</v>
      </c>
      <c r="K13">
        <f>82-Table3[[#This Row],[GP]]</f>
        <v>33</v>
      </c>
      <c r="L13">
        <f>COUNTIFS(DataRegularSeason20242025!$D$3:$D$1315,$A13, DataRegularSeason20242025!$L$3:$L$1315, $A13,DataRegularSeason20242025!$N$3:$N$1315,1)</f>
        <v>13</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1</v>
      </c>
      <c r="P13">
        <f t="shared" si="1"/>
        <v>10</v>
      </c>
      <c r="Q13">
        <f>COUNTIFS(DataRegularSeason20242025!$D$3:$D$1315,$A13, DataRegularSeason20242025!$S$3:$S$1315, $A13,DataRegularSeason20242025!$M$3:$M$1315,"REG")</f>
        <v>10</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15</v>
      </c>
      <c r="V13">
        <f>COUNTIFS(DataRegularSeason20242025!$E$3:$E$1315,$A13, DataRegularSeason20242025!$L$3:$L$1315, $A13,DataRegularSeason20242025!$N$3:$N$1315,1,DataRegularSeason20242025!$M$3:$M$1315,"OT")</f>
        <v>2</v>
      </c>
      <c r="W13">
        <f>COUNTIFS(DataRegularSeason20242025!$E$3:$E$1315,$A13, DataRegularSeason20242025!$L$3:$L$1315, $A13,DataRegularSeason20242025!$N$3:$N$1315,1,DataRegularSeason20242025!$M$3:$M$1315,"SO")</f>
        <v>1</v>
      </c>
      <c r="X13">
        <f t="shared" si="2"/>
        <v>8</v>
      </c>
      <c r="Y13">
        <f>COUNTIFS(DataRegularSeason20242025!$E$3:$E$1315,$A13, DataRegularSeason20242025!$S$3:$S$1315, $A13,DataRegularSeason20242025!$M$3:$M$1315,"REG")</f>
        <v>7</v>
      </c>
      <c r="Z13">
        <f>COUNTIFS(DataRegularSeason20242025!$E$3:$E$1315,$A13, DataRegularSeason20242025!$S$3:$S$1315, $A13,DataRegularSeason20242025!$M$3:$M$1315,"OT")</f>
        <v>1</v>
      </c>
      <c r="AA13">
        <f>COUNTIFS(DataRegularSeason20242025!$E$3:$E$1315,$A13, DataRegularSeason20242025!$S$3:$S$1315, $A13,DataRegularSeason20242025!$M$3:$M$1315,"SO")</f>
        <v>0</v>
      </c>
      <c r="AB13">
        <f>Table3[[#This Row],[W_A]]+Table3[[#This Row],[W_H]]</f>
        <v>31</v>
      </c>
      <c r="AC13">
        <f>Table3[[#This Row],[L_A]]+Table3[[#This Row],[L_H]]</f>
        <v>18</v>
      </c>
      <c r="AD13">
        <f>Table3[[#This Row],[RW_A]]+Table3[[#This Row],[RW_H]]</f>
        <v>26</v>
      </c>
      <c r="AE13">
        <f>Table3[[#This Row],[RL_A]]+Table3[[#This Row],[RL_H]]</f>
        <v>17</v>
      </c>
      <c r="AF13">
        <f>Table3[[#This Row],[OTW_A]]+Table3[[#This Row],[OTW_H]]</f>
        <v>3</v>
      </c>
      <c r="AG13">
        <f>Table3[[#This Row],[OTL_A]]+Table3[[#This Row],[OTL_H]]</f>
        <v>1</v>
      </c>
      <c r="AH13">
        <f>Table3[[#This Row],[SOW_A]]+Table3[[#This Row],[SOW_H]]</f>
        <v>2</v>
      </c>
      <c r="AI13">
        <f>Table3[[#This Row],[SOL_A]]+Table3[[#This Row],[SOL_H]]</f>
        <v>0</v>
      </c>
      <c r="AJ13" s="20" t="str">
        <f>_xlfn.CONCAT(TEXT(Table3[[#This Row],[OTW]]+Table3[[#This Row],[SOW]], "0"), "-", TEXT(Table3[[#This Row],[OTL]]+Table3[[#This Row],[SOL]],"0"))</f>
        <v>5-1</v>
      </c>
      <c r="AK13">
        <f>(2*(Table3[[#This Row],[W_A]]+Table3[[#This Row],[W_H]]))+Table3[[#This Row],[OTL_A]]+Table3[[#This Row],[SOL_A]]+Table3[[#This Row],[OTL_H]]+Table3[[#This Row],[SOL_H]]</f>
        <v>63</v>
      </c>
      <c r="AL13">
        <f>(3*(Table3[[#This Row],[RW_A]]+Table3[[#This Row],[RW_H]]))+(2*(Table3[[#This Row],[OTW_A]]+Table3[[#This Row],[SOW_A]]+Table3[[#This Row],[OTW_H]]+Table3[[#This Row],[SOW_H]]))+Table3[[#This Row],[OTL_A]]+Table3[[#This Row],[SOL_A]]+Table3[[#This Row],[OTL_H]]+Table3[[#This Row],[SOL_H]]</f>
        <v>89</v>
      </c>
      <c r="AM13" s="15">
        <f>Table3[[#This Row],[PTS]]/(2*Table3[[#This Row],[GP]])</f>
        <v>0.6428571428571429</v>
      </c>
      <c r="AN13" s="15">
        <f>Table3[[#This Row],[PTS2]]/(3*Table3[[#This Row],[GP]])</f>
        <v>0.60544217687074831</v>
      </c>
      <c r="AO13">
        <f>(2*Table3[[#This Row],[GR]])+Table3[[#This Row],[PTS]]</f>
        <v>129</v>
      </c>
      <c r="AP13">
        <f>(3*Table3[[#This Row],[GR]])+Table3[[#This Row],[PTS2]]</f>
        <v>188</v>
      </c>
      <c r="AQ13">
        <f>Table3[[#This Row],[PTS]]+(2 * Table3[[#This Row],[GR]] * Table3[[#This Row],[PTS%]])</f>
        <v>105.42857142857143</v>
      </c>
      <c r="AR13">
        <f>Table3[[#This Row],[PTS2]]+(3 * Table3[[#This Row],[GR]] * Table3[[#This Row],[PTS%2]])</f>
        <v>148.9387755102041</v>
      </c>
      <c r="AS13" s="20" t="str">
        <f>_xlfn.CONCAT(TEXT(Table3[[#This Row],[W]], "0"), "-", TEXT(Table3[[#This Row],[RL]],"0"), "-", TEXT(Table3[[#This Row],[OTL]]+Table3[[#This Row],[SOL]], "0"))</f>
        <v>31-17-1</v>
      </c>
      <c r="AT13">
        <f>COUNTIFS(DataRegularSeason20242025!$D$3:$D$1315,Table3[[#This Row],[Teams]],DataRegularSeason20242025!$K$3:$K$1315,0)</f>
        <v>1</v>
      </c>
      <c r="AU13">
        <f>SUMIF(DataRegularSeason20242025!$D$3:$D$1315,$A13, DataRegularSeason20242025!$J$3:$J$1315)</f>
        <v>71</v>
      </c>
      <c r="AV13">
        <f>SUMIF(DataRegularSeason20242025!$D$3:$D$1315,$A13, DataRegularSeason20242025!$K$3:$K$1315)</f>
        <v>62</v>
      </c>
      <c r="AW13">
        <f t="shared" si="3"/>
        <v>9</v>
      </c>
      <c r="AX13">
        <f>COUNTIFS(DataRegularSeason20242025!$E$3:$E$1315,Table3[[#This Row],[Teams]],DataRegularSeason20242025!$J$3:$J$1315,0)</f>
        <v>2</v>
      </c>
      <c r="AY13">
        <f>SUMIF(DataRegularSeason20242025!$E$3:$E$1315,$A13,DataRegularSeason20242025!$K$3:$K$1315)</f>
        <v>84</v>
      </c>
      <c r="AZ13">
        <f>SUMIF(DataRegularSeason20242025!$E$3:$E$1315,$A13,DataRegularSeason20242025!$J$3:$J$1315)</f>
        <v>58</v>
      </c>
      <c r="BA13">
        <f t="shared" si="4"/>
        <v>26</v>
      </c>
      <c r="BB13">
        <f t="shared" si="5"/>
        <v>155</v>
      </c>
      <c r="BC13">
        <f t="shared" si="6"/>
        <v>120</v>
      </c>
      <c r="BD13">
        <f t="shared" si="7"/>
        <v>35</v>
      </c>
      <c r="BE13" s="17">
        <f>Table3[[#This Row],[GF]]/Table3[[#This Row],[GP]]</f>
        <v>3.1632653061224492</v>
      </c>
      <c r="BF13" s="17">
        <f>Table3[[#This Row],[GA]]/Table3[[#This Row],[GP]]</f>
        <v>2.4489795918367347</v>
      </c>
      <c r="BG13" s="17">
        <f>(Table3[[#This Row],[GF]]-Table3[[#This Row],[GA]])/Table3[[#This Row],[GP]]</f>
        <v>0.7142857142857143</v>
      </c>
      <c r="BH13" s="49" t="str">
        <f>_xlfn.CONCAT(TEXT(Table3[[#This Row],[W_H]], "0"), "-", TEXT(Table3[[#This Row],[RL_H]],"0"), "-", TEXT(Table3[[#This Row],[OTL_H]]+Table3[[#This Row],[SOL_H]], "0"))</f>
        <v>18-7-1</v>
      </c>
      <c r="BI13" s="49" t="str">
        <f>_xlfn.CONCAT(TEXT(Table3[[#This Row],[W_A]], "0"), "-", TEXT(Table3[[#This Row],[RL_A]],"0"), "-", TEXT(Table3[[#This Row],[OTL_A]]+Table3[[#This Row],[SOL_A]], "0"))</f>
        <v>13-10-0</v>
      </c>
      <c r="BJ13" s="49">
        <f>((2*(Table3[[#This Row],[W_H]]))+Table3[[#This Row],[OTL_H]]+Table3[[#This Row],[SOL_H]])/(2*Table3[[#This Row],[GP_H]])</f>
        <v>0.71153846153846156</v>
      </c>
      <c r="BK13" s="49">
        <f>((2*(Table3[[#This Row],[W_A]]))+Table3[[#This Row],[OTL_A]]+Table3[[#This Row],[SOL_A]])/(2*Table3[[#This Row],[GP_A]])</f>
        <v>0.56521739130434778</v>
      </c>
      <c r="BL13" s="21">
        <f>(Table3[[#This Row],[W]]*$CG$3)+(Table3[[#This Row],[L]]*$CG$4)+(Table3[[#This Row],[GF]]*$CG$5)+(Table3[[#This Row],[GA]]*$CG$6)</f>
        <v>56.15</v>
      </c>
      <c r="BM13" s="21">
        <f>(82*(((Table3[[#This Row],[PTS%]]*$CG$3)+((1-Table3[[#This Row],[PTS%]])*$CG$4)+(Table3[[#This Row],[GF]]*$CG$5)+(Table3[[#This Row],[GA]]*$CG$6))/Table3[[#This Row],[GP]])) + (Table3[[#This Row],[W]]*$CG$3)+(Table3[[#This Row],[L]]*$CG$4)+(Table3[[#This Row],[GF]]*$CG$5)+(Table3[[#This Row],[GA]]*$CG$6)</f>
        <v>115.85699708454811</v>
      </c>
      <c r="BN13">
        <f>COUNTIFS(DataRegularSeason20242025!$D$3:$D$1315,$A13,DataRegularSeason20242025!$H$3:$H$1315, $A13)</f>
        <v>12</v>
      </c>
      <c r="BO13">
        <f>COUNTIFS(DataRegularSeason20242025!$E$3:$E$1315,$A13,DataRegularSeason20242025!$H$3:$H$1315, $A13)</f>
        <v>20</v>
      </c>
      <c r="BP13">
        <f t="shared" si="8"/>
        <v>32</v>
      </c>
      <c r="BQ13">
        <f t="shared" si="9"/>
        <v>11</v>
      </c>
      <c r="BR13">
        <f t="shared" si="10"/>
        <v>6</v>
      </c>
      <c r="BS13">
        <f t="shared" si="11"/>
        <v>17</v>
      </c>
      <c r="BV13">
        <v>1999</v>
      </c>
      <c r="BW13" t="str">
        <f>INDEX(Table2[AwayTeam], Table3[[#This Row],[Column2]])</f>
        <v>MTL</v>
      </c>
      <c r="BX13">
        <f>LARGE((Table2[[#This Row],[AwayTeam]]=Table3[[#This Row],[Teams]]), 1)</f>
        <v>0</v>
      </c>
      <c r="CA13" t="s">
        <v>1478</v>
      </c>
      <c r="CB13">
        <f>(CB5/CB2)/2</f>
        <v>3.0139416983523448</v>
      </c>
    </row>
    <row r="14" spans="1:95" x14ac:dyDescent="0.25">
      <c r="A14" t="s">
        <v>37</v>
      </c>
      <c r="B14" t="s">
        <v>97</v>
      </c>
      <c r="C14" t="s">
        <v>95</v>
      </c>
      <c r="D14">
        <f>COUNTIFS(DataRegularSeason20242025!$D$3:$D$1315,$A14,DataRegularSeason20242025!$R$3:$R$1315,1,DataRegularSeason20242025!$N$3:$N$1315,1) + COUNTIFS(DataRegularSeason20242025!$E$3:$E$1315,$A14,DataRegularSeason20242025!$R$3:$R$1315,1,DataRegularSeason20242025!$N$3:$N$1315,1)</f>
        <v>43</v>
      </c>
      <c r="E14" s="15">
        <f>Table3[[#This Row],[Watched]]/Table3[[#This Row],[GP]]</f>
        <v>0.87755102040816324</v>
      </c>
      <c r="F14">
        <f>COUNTIFS(DataRegularSeason20242025!$N$3:$N$1315,1,DataRegularSeason20242025!$D$3:$D$1315,$A14)</f>
        <v>25</v>
      </c>
      <c r="G14">
        <f>41-Table3[[#This Row],[GP_A]]</f>
        <v>16</v>
      </c>
      <c r="H14">
        <f>COUNTIFS(DataRegularSeason20242025!$E$3:$E$1315,$A14,DataRegularSeason20242025!$N$3:$N$1315,1)</f>
        <v>24</v>
      </c>
      <c r="I14">
        <f>41-Table3[[#This Row],[GP_H]]</f>
        <v>17</v>
      </c>
      <c r="J14">
        <f t="shared" si="0"/>
        <v>49</v>
      </c>
      <c r="K14">
        <f>82-Table3[[#This Row],[GP]]</f>
        <v>33</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14</v>
      </c>
      <c r="N14">
        <f>COUNTIFS(DataRegularSeason20242025!$D$3:$D$1315,$A14, DataRegularSeason20242025!$L$3:$L$1315, $A14,DataRegularSeason20242025!$N$3:$N$1315,1,DataRegularSeason20242025!$M$3:$M$1315,"OT")</f>
        <v>1</v>
      </c>
      <c r="O14">
        <f>COUNTIFS(DataRegularSeason20242025!$D$3:$D$1315,$A14, DataRegularSeason20242025!$L$3:$L$1315, $A14,DataRegularSeason20242025!$N$3:$N$1315,1,DataRegularSeason20242025!$M$3:$M$1315,"SO")</f>
        <v>2</v>
      </c>
      <c r="P14">
        <f t="shared" si="1"/>
        <v>8</v>
      </c>
      <c r="Q14">
        <f>COUNTIFS(DataRegularSeason20242025!$D$3:$D$1315,$A14, DataRegularSeason20242025!$S$3:$S$1315, $A14,DataRegularSeason20242025!$M$3:$M$1315,"REG")</f>
        <v>5</v>
      </c>
      <c r="R14">
        <f>COUNTIFS(DataRegularSeason20242025!$D$3:$D$1315,$A14, DataRegularSeason20242025!$S$3:$S$1315, $A14,DataRegularSeason20242025!$M$3:$M$1315,"OT")</f>
        <v>2</v>
      </c>
      <c r="S14">
        <f>COUNTIFS(DataRegularSeason20242025!$D$3:$D$1315,$A14, DataRegularSeason20242025!$S$3:$S$1315, $A14,DataRegularSeason20242025!$M$3:$M$1315,"SO")</f>
        <v>1</v>
      </c>
      <c r="T14">
        <f>COUNTIFS(DataRegularSeason20242025!$E$3:$E$1315,$A14, DataRegularSeason20242025!$L$3:$L$1315, $A14, DataRegularSeason20242025!$N$3:$N$1315,1)</f>
        <v>11</v>
      </c>
      <c r="U14">
        <f>COUNTIFS(DataRegularSeason20242025!$E$3:$E$1315,$A14, DataRegularSeason20242025!$L$3:$L$1315, $A14,DataRegularSeason20242025!$N$3:$N$1315,1,DataRegularSeason20242025!$M$3:$M$1315,"REG")</f>
        <v>8</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0</v>
      </c>
      <c r="X14">
        <f t="shared" si="2"/>
        <v>13</v>
      </c>
      <c r="Y14">
        <f>COUNTIFS(DataRegularSeason20242025!$E$3:$E$1315,$A14, DataRegularSeason20242025!$S$3:$S$1315, $A14,DataRegularSeason20242025!$M$3:$M$1315,"REG")</f>
        <v>12</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28</v>
      </c>
      <c r="AC14">
        <f>Table3[[#This Row],[L_A]]+Table3[[#This Row],[L_H]]</f>
        <v>21</v>
      </c>
      <c r="AD14">
        <f>Table3[[#This Row],[RW_A]]+Table3[[#This Row],[RW_H]]</f>
        <v>22</v>
      </c>
      <c r="AE14">
        <f>Table3[[#This Row],[RL_A]]+Table3[[#This Row],[RL_H]]</f>
        <v>17</v>
      </c>
      <c r="AF14">
        <f>Table3[[#This Row],[OTW_A]]+Table3[[#This Row],[OTW_H]]</f>
        <v>4</v>
      </c>
      <c r="AG14">
        <f>Table3[[#This Row],[OTL_A]]+Table3[[#This Row],[OTL_H]]</f>
        <v>2</v>
      </c>
      <c r="AH14">
        <f>Table3[[#This Row],[SOW_A]]+Table3[[#This Row],[SOW_H]]</f>
        <v>2</v>
      </c>
      <c r="AI14">
        <f>Table3[[#This Row],[SOL_A]]+Table3[[#This Row],[SOL_H]]</f>
        <v>2</v>
      </c>
      <c r="AJ14" s="20" t="str">
        <f>_xlfn.CONCAT(TEXT(Table3[[#This Row],[OTW]]+Table3[[#This Row],[SOW]], "0"), "-", TEXT(Table3[[#This Row],[OTL]]+Table3[[#This Row],[SOL]],"0"))</f>
        <v>6-4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82</v>
      </c>
      <c r="AM14" s="15">
        <f>Table3[[#This Row],[PTS]]/(2*Table3[[#This Row],[GP]])</f>
        <v>0.61224489795918369</v>
      </c>
      <c r="AN14" s="15">
        <f>Table3[[#This Row],[PTS2]]/(3*Table3[[#This Row],[GP]])</f>
        <v>0.55782312925170063</v>
      </c>
      <c r="AO14">
        <f>(2*Table3[[#This Row],[GR]])+Table3[[#This Row],[PTS]]</f>
        <v>126</v>
      </c>
      <c r="AP14">
        <f>(3*Table3[[#This Row],[GR]])+Table3[[#This Row],[PTS2]]</f>
        <v>181</v>
      </c>
      <c r="AQ14">
        <f>Table3[[#This Row],[PTS]]+(2 * Table3[[#This Row],[GR]] * Table3[[#This Row],[PTS%]])</f>
        <v>100.40816326530611</v>
      </c>
      <c r="AR14">
        <f>Table3[[#This Row],[PTS2]]+(3 * Table3[[#This Row],[GR]] * Table3[[#This Row],[PTS%2]])</f>
        <v>137.22448979591837</v>
      </c>
      <c r="AS14" s="20" t="str">
        <f>_xlfn.CONCAT(TEXT(Table3[[#This Row],[W]], "0"), "-", TEXT(Table3[[#This Row],[RL]],"0"), "-", TEXT(Table3[[#This Row],[OTL]]+Table3[[#This Row],[SOL]], "0"))</f>
        <v>28-17-4</v>
      </c>
      <c r="AT14">
        <f>COUNTIFS(DataRegularSeason20242025!$D$3:$D$1315,Table3[[#This Row],[Teams]],DataRegularSeason20242025!$K$3:$K$1315,0)</f>
        <v>2</v>
      </c>
      <c r="AU14">
        <f>SUMIF(DataRegularSeason20242025!$D$3:$D$1315,$A14, DataRegularSeason20242025!$J$3:$J$1315)</f>
        <v>82</v>
      </c>
      <c r="AV14">
        <f>SUMIF(DataRegularSeason20242025!$D$3:$D$1315,$A14, DataRegularSeason20242025!$K$3:$K$1315)</f>
        <v>63</v>
      </c>
      <c r="AW14">
        <f t="shared" si="3"/>
        <v>19</v>
      </c>
      <c r="AX14">
        <f>COUNTIFS(DataRegularSeason20242025!$E$3:$E$1315,Table3[[#This Row],[Teams]],DataRegularSeason20242025!$J$3:$J$1315,0)</f>
        <v>1</v>
      </c>
      <c r="AY14">
        <f>SUMIF(DataRegularSeason20242025!$E$3:$E$1315,$A14,DataRegularSeason20242025!$K$3:$K$1315)</f>
        <v>62</v>
      </c>
      <c r="AZ14">
        <f>SUMIF(DataRegularSeason20242025!$E$3:$E$1315,$A14,DataRegularSeason20242025!$J$3:$J$1315)</f>
        <v>80</v>
      </c>
      <c r="BA14">
        <f t="shared" si="4"/>
        <v>-18</v>
      </c>
      <c r="BB14">
        <f t="shared" si="5"/>
        <v>144</v>
      </c>
      <c r="BC14">
        <f t="shared" si="6"/>
        <v>143</v>
      </c>
      <c r="BD14">
        <f t="shared" si="7"/>
        <v>1</v>
      </c>
      <c r="BE14" s="17">
        <f>Table3[[#This Row],[GF]]/Table3[[#This Row],[GP]]</f>
        <v>2.9387755102040818</v>
      </c>
      <c r="BF14" s="17">
        <f>Table3[[#This Row],[GA]]/Table3[[#This Row],[GP]]</f>
        <v>2.9183673469387754</v>
      </c>
      <c r="BG14" s="17">
        <f>(Table3[[#This Row],[GF]]-Table3[[#This Row],[GA]])/Table3[[#This Row],[GP]]</f>
        <v>2.0408163265306121E-2</v>
      </c>
      <c r="BH14" s="49" t="str">
        <f>_xlfn.CONCAT(TEXT(Table3[[#This Row],[W_H]], "0"), "-", TEXT(Table3[[#This Row],[RL_H]],"0"), "-", TEXT(Table3[[#This Row],[OTL_H]]+Table3[[#This Row],[SOL_H]], "0"))</f>
        <v>11-12-1</v>
      </c>
      <c r="BI14" s="49" t="str">
        <f>_xlfn.CONCAT(TEXT(Table3[[#This Row],[W_A]], "0"), "-", TEXT(Table3[[#This Row],[RL_A]],"0"), "-", TEXT(Table3[[#This Row],[OTL_A]]+Table3[[#This Row],[SOL_A]], "0"))</f>
        <v>17-5-3</v>
      </c>
      <c r="BJ14" s="49">
        <f>((2*(Table3[[#This Row],[W_H]]))+Table3[[#This Row],[OTL_H]]+Table3[[#This Row],[SOL_H]])/(2*Table3[[#This Row],[GP_H]])</f>
        <v>0.47916666666666669</v>
      </c>
      <c r="BK14" s="49">
        <f>((2*(Table3[[#This Row],[W_A]]))+Table3[[#This Row],[OTL_A]]+Table3[[#This Row],[SOL_A]])/(2*Table3[[#This Row],[GP_A]])</f>
        <v>0.74</v>
      </c>
      <c r="BL14" s="21">
        <f>(Table3[[#This Row],[W]]*$CG$3)+(Table3[[#This Row],[L]]*$CG$4)+(Table3[[#This Row],[GF]]*$CG$5)+(Table3[[#This Row],[GA]]*$CG$6)</f>
        <v>56.2</v>
      </c>
      <c r="BM14" s="21">
        <f>(82*(((Table3[[#This Row],[PTS%]]*$CG$3)+((1-Table3[[#This Row],[PTS%]])*$CG$4)+(Table3[[#This Row],[GF]]*$CG$5)+(Table3[[#This Row],[GA]]*$CG$6))/Table3[[#This Row],[GP]])) + (Table3[[#This Row],[W]]*$CG$3)+(Table3[[#This Row],[L]]*$CG$4)+(Table3[[#This Row],[GF]]*$CG$5)+(Table3[[#This Row],[GA]]*$CG$6)</f>
        <v>116.98450645564347</v>
      </c>
      <c r="BN14">
        <f>COUNTIFS(DataRegularSeason20242025!$D$3:$D$1315,$A14,DataRegularSeason20242025!$H$3:$H$1315, $A14)</f>
        <v>19</v>
      </c>
      <c r="BO14">
        <f>COUNTIFS(DataRegularSeason20242025!$E$3:$E$1315,$A14,DataRegularSeason20242025!$H$3:$H$1315, $A14)</f>
        <v>19</v>
      </c>
      <c r="BP14">
        <f t="shared" si="8"/>
        <v>38</v>
      </c>
      <c r="BQ14">
        <f t="shared" si="9"/>
        <v>6</v>
      </c>
      <c r="BR14">
        <f t="shared" si="10"/>
        <v>5</v>
      </c>
      <c r="BS14">
        <f t="shared" si="11"/>
        <v>11</v>
      </c>
      <c r="BW14" t="str">
        <f>INDEX(Table2[AwayTeam], Table3[[#This Row],[Column2]])</f>
        <v>LAK</v>
      </c>
      <c r="BX14">
        <f>LARGE((Table2[[#This Row],[AwayTeam]]=Table3[[#This Row],[Teams]]), 1)</f>
        <v>0</v>
      </c>
      <c r="CA14" t="s">
        <v>1799</v>
      </c>
      <c r="CB14">
        <f>CB7+CB8</f>
        <v>158</v>
      </c>
    </row>
    <row r="15" spans="1:95" ht="15.75" thickBot="1" x14ac:dyDescent="0.3">
      <c r="A15" t="s">
        <v>19</v>
      </c>
      <c r="B15" t="s">
        <v>98</v>
      </c>
      <c r="C15" t="s">
        <v>81</v>
      </c>
      <c r="D15">
        <f>COUNTIFS(DataRegularSeason20242025!$D$3:$D$1315,$A15,DataRegularSeason20242025!$R$3:$R$1315,1,DataRegularSeason20242025!$N$3:$N$1315,1) + COUNTIFS(DataRegularSeason20242025!$E$3:$E$1315,$A15,DataRegularSeason20242025!$R$3:$R$1315,1,DataRegularSeason20242025!$N$3:$N$1315,1)</f>
        <v>18</v>
      </c>
      <c r="E15" s="15">
        <f>Table3[[#This Row],[Watched]]/Table3[[#This Row],[GP]]</f>
        <v>0.36734693877551022</v>
      </c>
      <c r="F15">
        <f>COUNTIFS(DataRegularSeason20242025!$N$3:$N$1315,1,DataRegularSeason20242025!$D$3:$D$1315,$A15)</f>
        <v>24</v>
      </c>
      <c r="G15">
        <f>41-Table3[[#This Row],[GP_A]]</f>
        <v>17</v>
      </c>
      <c r="H15">
        <f>COUNTIFS(DataRegularSeason20242025!$E$3:$E$1315,$A15,DataRegularSeason20242025!$N$3:$N$1315,1)</f>
        <v>25</v>
      </c>
      <c r="I15">
        <f>41-Table3[[#This Row],[GP_H]]</f>
        <v>16</v>
      </c>
      <c r="J15">
        <f t="shared" si="0"/>
        <v>49</v>
      </c>
      <c r="K15">
        <f>82-Table3[[#This Row],[GP]]</f>
        <v>33</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 t="shared" si="1"/>
        <v>13</v>
      </c>
      <c r="Q15">
        <f>COUNTIFS(DataRegularSeason20242025!$D$3:$D$1315,$A15, DataRegularSeason20242025!$S$3:$S$1315, $A15,DataRegularSeason20242025!$M$3:$M$1315,"REG")</f>
        <v>12</v>
      </c>
      <c r="R15">
        <f>COUNTIFS(DataRegularSeason20242025!$D$3:$D$1315,$A15, DataRegularSeason20242025!$S$3:$S$1315, $A15,DataRegularSeason20242025!$M$3:$M$1315,"OT")</f>
        <v>0</v>
      </c>
      <c r="S15">
        <f>COUNTIFS(DataRegularSeason20242025!$D$3:$D$1315,$A15, DataRegularSeason20242025!$S$3:$S$1315, $A15,DataRegularSeason20242025!$M$3:$M$1315,"SO")</f>
        <v>1</v>
      </c>
      <c r="T15">
        <f>COUNTIFS(DataRegularSeason20242025!$E$3:$E$1315,$A15, DataRegularSeason20242025!$L$3:$L$1315, $A15, DataRegularSeason20242025!$N$3:$N$1315,1)</f>
        <v>13</v>
      </c>
      <c r="U15">
        <f>COUNTIFS(DataRegularSeason20242025!$E$3:$E$1315,$A15, DataRegularSeason20242025!$L$3:$L$1315, $A15,DataRegularSeason20242025!$N$3:$N$1315,1,DataRegularSeason20242025!$M$3:$M$1315,"REG")</f>
        <v>9</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1</v>
      </c>
      <c r="X15">
        <f t="shared" si="2"/>
        <v>12</v>
      </c>
      <c r="Y15">
        <f>COUNTIFS(DataRegularSeason20242025!$E$3:$E$1315,$A15, DataRegularSeason20242025!$S$3:$S$1315, $A15,DataRegularSeason20242025!$M$3:$M$1315,"REG")</f>
        <v>8</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24</v>
      </c>
      <c r="AC15">
        <f>Table3[[#This Row],[L_A]]+Table3[[#This Row],[L_H]]</f>
        <v>25</v>
      </c>
      <c r="AD15">
        <f>Table3[[#This Row],[RW_A]]+Table3[[#This Row],[RW_H]]</f>
        <v>17</v>
      </c>
      <c r="AE15">
        <f>Table3[[#This Row],[RL_A]]+Table3[[#This Row],[RL_H]]</f>
        <v>20</v>
      </c>
      <c r="AF15">
        <f>Table3[[#This Row],[OTW_A]]+Table3[[#This Row],[OTW_H]]</f>
        <v>5</v>
      </c>
      <c r="AG15">
        <f>Table3[[#This Row],[OTL_A]]+Table3[[#This Row],[OTL_H]]</f>
        <v>3</v>
      </c>
      <c r="AH15">
        <f>Table3[[#This Row],[SOW_A]]+Table3[[#This Row],[SOW_H]]</f>
        <v>2</v>
      </c>
      <c r="AI15">
        <f>Table3[[#This Row],[SOL_A]]+Table3[[#This Row],[SOL_H]]</f>
        <v>2</v>
      </c>
      <c r="AJ15" s="20" t="str">
        <f>_xlfn.CONCAT(TEXT(Table3[[#This Row],[OTW]]+Table3[[#This Row],[SOW]], "0"), "-", TEXT(Table3[[#This Row],[OTL]]+Table3[[#This Row],[SOL]],"0"))</f>
        <v>7-5</v>
      </c>
      <c r="AK15">
        <f>(2*(Table3[[#This Row],[W_A]]+Table3[[#This Row],[W_H]]))+Table3[[#This Row],[OTL_A]]+Table3[[#This Row],[SOL_A]]+Table3[[#This Row],[OTL_H]]+Table3[[#This Row],[SOL_H]]</f>
        <v>53</v>
      </c>
      <c r="AL15">
        <f>(3*(Table3[[#This Row],[RW_A]]+Table3[[#This Row],[RW_H]]))+(2*(Table3[[#This Row],[OTW_A]]+Table3[[#This Row],[SOW_A]]+Table3[[#This Row],[OTW_H]]+Table3[[#This Row],[SOW_H]]))+Table3[[#This Row],[OTL_A]]+Table3[[#This Row],[SOL_A]]+Table3[[#This Row],[OTL_H]]+Table3[[#This Row],[SOL_H]]</f>
        <v>70</v>
      </c>
      <c r="AM15" s="15">
        <f>Table3[[#This Row],[PTS]]/(2*Table3[[#This Row],[GP]])</f>
        <v>0.54081632653061229</v>
      </c>
      <c r="AN15" s="15">
        <f>Table3[[#This Row],[PTS2]]/(3*Table3[[#This Row],[GP]])</f>
        <v>0.47619047619047616</v>
      </c>
      <c r="AO15">
        <f>(2*Table3[[#This Row],[GR]])+Table3[[#This Row],[PTS]]</f>
        <v>119</v>
      </c>
      <c r="AP15">
        <f>(3*Table3[[#This Row],[GR]])+Table3[[#This Row],[PTS2]]</f>
        <v>169</v>
      </c>
      <c r="AQ15">
        <f>Table3[[#This Row],[PTS]]+(2 * Table3[[#This Row],[GR]] * Table3[[#This Row],[PTS%]])</f>
        <v>88.693877551020421</v>
      </c>
      <c r="AR15">
        <f>Table3[[#This Row],[PTS2]]+(3 * Table3[[#This Row],[GR]] * Table3[[#This Row],[PTS%2]])</f>
        <v>117.14285714285714</v>
      </c>
      <c r="AS15" s="20" t="str">
        <f>_xlfn.CONCAT(TEXT(Table3[[#This Row],[W]], "0"), "-", TEXT(Table3[[#This Row],[RL]],"0"), "-", TEXT(Table3[[#This Row],[OTL]]+Table3[[#This Row],[SOL]], "0"))</f>
        <v>24-20-5</v>
      </c>
      <c r="AT15">
        <f>COUNTIFS(DataRegularSeason20242025!$D$3:$D$1315,Table3[[#This Row],[Teams]],DataRegularSeason20242025!$K$3:$K$1315,0)</f>
        <v>1</v>
      </c>
      <c r="AU15">
        <f>SUMIF(DataRegularSeason20242025!$D$3:$D$1315,$A15, DataRegularSeason20242025!$J$3:$J$1315)</f>
        <v>75</v>
      </c>
      <c r="AV15">
        <f>SUMIF(DataRegularSeason20242025!$D$3:$D$1315,$A15, DataRegularSeason20242025!$K$3:$K$1315)</f>
        <v>83</v>
      </c>
      <c r="AW15">
        <f t="shared" si="3"/>
        <v>-8</v>
      </c>
      <c r="AX15">
        <f>COUNTIFS(DataRegularSeason20242025!$E$3:$E$1315,Table3[[#This Row],[Teams]],DataRegularSeason20242025!$J$3:$J$1315,0)</f>
        <v>3</v>
      </c>
      <c r="AY15">
        <f>SUMIF(DataRegularSeason20242025!$E$3:$E$1315,$A15,DataRegularSeason20242025!$K$3:$K$1315)</f>
        <v>75</v>
      </c>
      <c r="AZ15">
        <f>SUMIF(DataRegularSeason20242025!$E$3:$E$1315,$A15,DataRegularSeason20242025!$J$3:$J$1315)</f>
        <v>82</v>
      </c>
      <c r="BA15">
        <f t="shared" si="4"/>
        <v>-7</v>
      </c>
      <c r="BB15">
        <f t="shared" si="5"/>
        <v>150</v>
      </c>
      <c r="BC15">
        <f t="shared" si="6"/>
        <v>165</v>
      </c>
      <c r="BD15">
        <f t="shared" si="7"/>
        <v>-15</v>
      </c>
      <c r="BE15" s="17">
        <f>Table3[[#This Row],[GF]]/Table3[[#This Row],[GP]]</f>
        <v>3.0612244897959182</v>
      </c>
      <c r="BF15" s="17">
        <f>Table3[[#This Row],[GA]]/Table3[[#This Row],[GP]]</f>
        <v>3.3673469387755102</v>
      </c>
      <c r="BG15" s="17">
        <f>(Table3[[#This Row],[GF]]-Table3[[#This Row],[GA]])/Table3[[#This Row],[GP]]</f>
        <v>-0.30612244897959184</v>
      </c>
      <c r="BH15" s="49" t="str">
        <f>_xlfn.CONCAT(TEXT(Table3[[#This Row],[W_H]], "0"), "-", TEXT(Table3[[#This Row],[RL_H]],"0"), "-", TEXT(Table3[[#This Row],[OTL_H]]+Table3[[#This Row],[SOL_H]], "0"))</f>
        <v>13-8-4</v>
      </c>
      <c r="BI15" s="49" t="str">
        <f>_xlfn.CONCAT(TEXT(Table3[[#This Row],[W_A]], "0"), "-", TEXT(Table3[[#This Row],[RL_A]],"0"), "-", TEXT(Table3[[#This Row],[OTL_A]]+Table3[[#This Row],[SOL_A]], "0"))</f>
        <v>11-12-1</v>
      </c>
      <c r="BJ15" s="49">
        <f>((2*(Table3[[#This Row],[W_H]]))+Table3[[#This Row],[OTL_H]]+Table3[[#This Row],[SOL_H]])/(2*Table3[[#This Row],[GP_H]])</f>
        <v>0.6</v>
      </c>
      <c r="BK15" s="49">
        <f>((2*(Table3[[#This Row],[W_A]]))+Table3[[#This Row],[OTL_A]]+Table3[[#This Row],[SOL_A]])/(2*Table3[[#This Row],[GP_A]])</f>
        <v>0.47916666666666669</v>
      </c>
      <c r="BL15" s="21">
        <f>(Table3[[#This Row],[W]]*$CG$3)+(Table3[[#This Row],[L]]*$CG$4)+(Table3[[#This Row],[GF]]*$CG$5)+(Table3[[#This Row],[GA]]*$CG$6)</f>
        <v>58.5</v>
      </c>
      <c r="BM15" s="21">
        <f>(82*(((Table3[[#This Row],[PTS%]]*$CG$3)+((1-Table3[[#This Row],[PTS%]])*$CG$4)+(Table3[[#This Row],[GF]]*$CG$5)+(Table3[[#This Row],[GA]]*$CG$6))/Table3[[#This Row],[GP]])) + (Table3[[#This Row],[W]]*$CG$3)+(Table3[[#This Row],[L]]*$CG$4)+(Table3[[#This Row],[GF]]*$CG$5)+(Table3[[#This Row],[GA]]*$CG$6)</f>
        <v>124.44835485214493</v>
      </c>
      <c r="BN15">
        <f>COUNTIFS(DataRegularSeason20242025!$D$3:$D$1315,$A15,DataRegularSeason20242025!$H$3:$H$1315, $A15)</f>
        <v>5</v>
      </c>
      <c r="BO15">
        <f>COUNTIFS(DataRegularSeason20242025!$E$3:$E$1315,$A15,DataRegularSeason20242025!$H$3:$H$1315, $A15)</f>
        <v>11</v>
      </c>
      <c r="BP15">
        <f t="shared" si="8"/>
        <v>16</v>
      </c>
      <c r="BQ15">
        <f t="shared" si="9"/>
        <v>19</v>
      </c>
      <c r="BR15">
        <f t="shared" si="10"/>
        <v>14</v>
      </c>
      <c r="BS15">
        <f t="shared" si="11"/>
        <v>33</v>
      </c>
      <c r="BV15">
        <v>1993</v>
      </c>
      <c r="BW15" t="str">
        <f>INDEX(Table2[AwayTeam], Table3[[#This Row],[Column2]])</f>
        <v>FLA</v>
      </c>
      <c r="BX15">
        <f>LARGE((Table2[[#This Row],[AwayTeam]]=Table3[[#This Row],[Teams]]), 1)</f>
        <v>0</v>
      </c>
      <c r="CA15" t="s">
        <v>1800</v>
      </c>
      <c r="CB15">
        <f>CB14/CB2</f>
        <v>0.2002534854245881</v>
      </c>
    </row>
    <row r="16" spans="1:95" x14ac:dyDescent="0.25">
      <c r="A16" t="s">
        <v>31</v>
      </c>
      <c r="B16" t="s">
        <v>98</v>
      </c>
      <c r="C16" t="s">
        <v>81</v>
      </c>
      <c r="D16">
        <f>COUNTIFS(DataRegularSeason20242025!$D$3:$D$1315,$A16,DataRegularSeason20242025!$R$3:$R$1315,1,DataRegularSeason20242025!$N$3:$N$1315,1) + COUNTIFS(DataRegularSeason20242025!$E$3:$E$1315,$A16,DataRegularSeason20242025!$R$3:$R$1315,1,DataRegularSeason20242025!$N$3:$N$1315,1)</f>
        <v>39</v>
      </c>
      <c r="E16" s="15">
        <f>Table3[[#This Row],[Watched]]/Table3[[#This Row],[GP]]</f>
        <v>0.79591836734693877</v>
      </c>
      <c r="F16">
        <f>COUNTIFS(DataRegularSeason20242025!$N$3:$N$1315,1,DataRegularSeason20242025!$D$3:$D$1315,$A16)</f>
        <v>22</v>
      </c>
      <c r="G16">
        <f>41-Table3[[#This Row],[GP_A]]</f>
        <v>19</v>
      </c>
      <c r="H16">
        <f>COUNTIFS(DataRegularSeason20242025!$E$3:$E$1315,$A16,DataRegularSeason20242025!$N$3:$N$1315,1)</f>
        <v>27</v>
      </c>
      <c r="I16">
        <f>41-Table3[[#This Row],[GP_H]]</f>
        <v>14</v>
      </c>
      <c r="J16">
        <f t="shared" si="0"/>
        <v>49</v>
      </c>
      <c r="K16">
        <f>82-Table3[[#This Row],[GP]]</f>
        <v>33</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1</v>
      </c>
      <c r="P16">
        <f t="shared" si="1"/>
        <v>13</v>
      </c>
      <c r="Q16">
        <f>COUNTIFS(DataRegularSeason20242025!$D$3:$D$1315,$A16, DataRegularSeason20242025!$S$3:$S$1315, $A16,DataRegularSeason20242025!$M$3:$M$1315,"REG")</f>
        <v>10</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0</v>
      </c>
      <c r="X16">
        <f t="shared" si="2"/>
        <v>13</v>
      </c>
      <c r="Y16">
        <f>COUNTIFS(DataRegularSeason20242025!$E$3:$E$1315,$A16, DataRegularSeason20242025!$S$3:$S$1315, $A16,DataRegularSeason20242025!$M$3:$M$1315,"REG")</f>
        <v>11</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23</v>
      </c>
      <c r="AC16">
        <f>Table3[[#This Row],[L_A]]+Table3[[#This Row],[L_H]]</f>
        <v>26</v>
      </c>
      <c r="AD16">
        <f>Table3[[#This Row],[RW_A]]+Table3[[#This Row],[RW_H]]</f>
        <v>19</v>
      </c>
      <c r="AE16">
        <f>Table3[[#This Row],[RL_A]]+Table3[[#This Row],[RL_H]]</f>
        <v>21</v>
      </c>
      <c r="AF16">
        <f>Table3[[#This Row],[OTW_A]]+Table3[[#This Row],[OTW_H]]</f>
        <v>3</v>
      </c>
      <c r="AG16">
        <f>Table3[[#This Row],[OTL_A]]+Table3[[#This Row],[OTL_H]]</f>
        <v>5</v>
      </c>
      <c r="AH16">
        <f>Table3[[#This Row],[SOW_A]]+Table3[[#This Row],[SOW_H]]</f>
        <v>1</v>
      </c>
      <c r="AI16">
        <f>Table3[[#This Row],[SOL_A]]+Table3[[#This Row],[SOL_H]]</f>
        <v>0</v>
      </c>
      <c r="AJ16" s="20" t="str">
        <f>_xlfn.CONCAT(TEXT(Table3[[#This Row],[OTW]]+Table3[[#This Row],[SOW]], "0"), "-", TEXT(Table3[[#This Row],[OTL]]+Table3[[#This Row],[SOL]],"0"))</f>
        <v>4-5</v>
      </c>
      <c r="AK16">
        <f>(2*(Table3[[#This Row],[W_A]]+Table3[[#This Row],[W_H]]))+Table3[[#This Row],[OTL_A]]+Table3[[#This Row],[SOL_A]]+Table3[[#This Row],[OTL_H]]+Table3[[#This Row],[SOL_H]]</f>
        <v>51</v>
      </c>
      <c r="AL16">
        <f>(3*(Table3[[#This Row],[RW_A]]+Table3[[#This Row],[RW_H]]))+(2*(Table3[[#This Row],[OTW_A]]+Table3[[#This Row],[SOW_A]]+Table3[[#This Row],[OTW_H]]+Table3[[#This Row],[SOW_H]]))+Table3[[#This Row],[OTL_A]]+Table3[[#This Row],[SOL_A]]+Table3[[#This Row],[OTL_H]]+Table3[[#This Row],[SOL_H]]</f>
        <v>70</v>
      </c>
      <c r="AM16" s="15">
        <f>Table3[[#This Row],[PTS]]/(2*Table3[[#This Row],[GP]])</f>
        <v>0.52040816326530615</v>
      </c>
      <c r="AN16" s="15">
        <f>Table3[[#This Row],[PTS2]]/(3*Table3[[#This Row],[GP]])</f>
        <v>0.47619047619047616</v>
      </c>
      <c r="AO16">
        <f>(2*Table3[[#This Row],[GR]])+Table3[[#This Row],[PTS]]</f>
        <v>117</v>
      </c>
      <c r="AP16">
        <f>(3*Table3[[#This Row],[GR]])+Table3[[#This Row],[PTS2]]</f>
        <v>169</v>
      </c>
      <c r="AQ16">
        <f>Table3[[#This Row],[PTS]]+(2 * Table3[[#This Row],[GR]] * Table3[[#This Row],[PTS%]])</f>
        <v>85.34693877551021</v>
      </c>
      <c r="AR16">
        <f>Table3[[#This Row],[PTS2]]+(3 * Table3[[#This Row],[GR]] * Table3[[#This Row],[PTS%2]])</f>
        <v>117.14285714285714</v>
      </c>
      <c r="AS16" s="20" t="str">
        <f>_xlfn.CONCAT(TEXT(Table3[[#This Row],[W]], "0"), "-", TEXT(Table3[[#This Row],[RL]],"0"), "-", TEXT(Table3[[#This Row],[OTL]]+Table3[[#This Row],[SOL]], "0"))</f>
        <v>23-21-5</v>
      </c>
      <c r="AT16">
        <f>COUNTIFS(DataRegularSeason20242025!$D$3:$D$1315,Table3[[#This Row],[Teams]],DataRegularSeason20242025!$K$3:$K$1315,0)</f>
        <v>1</v>
      </c>
      <c r="AU16">
        <f>SUMIF(DataRegularSeason20242025!$D$3:$D$1315,$A16, DataRegularSeason20242025!$J$3:$J$1315)</f>
        <v>59</v>
      </c>
      <c r="AV16">
        <f>SUMIF(DataRegularSeason20242025!$D$3:$D$1315,$A16, DataRegularSeason20242025!$K$3:$K$1315)</f>
        <v>72</v>
      </c>
      <c r="AW16">
        <f t="shared" si="3"/>
        <v>-13</v>
      </c>
      <c r="AX16">
        <f>COUNTIFS(DataRegularSeason20242025!$E$3:$E$1315,Table3[[#This Row],[Teams]],DataRegularSeason20242025!$J$3:$J$1315,0)</f>
        <v>2</v>
      </c>
      <c r="AY16">
        <f>SUMIF(DataRegularSeason20242025!$E$3:$E$1315,$A16,DataRegularSeason20242025!$K$3:$K$1315)</f>
        <v>79</v>
      </c>
      <c r="AZ16">
        <f>SUMIF(DataRegularSeason20242025!$E$3:$E$1315,$A16,DataRegularSeason20242025!$J$3:$J$1315)</f>
        <v>82</v>
      </c>
      <c r="BA16">
        <f t="shared" si="4"/>
        <v>-3</v>
      </c>
      <c r="BB16">
        <f t="shared" si="5"/>
        <v>138</v>
      </c>
      <c r="BC16">
        <f t="shared" si="6"/>
        <v>154</v>
      </c>
      <c r="BD16">
        <f t="shared" si="7"/>
        <v>-16</v>
      </c>
      <c r="BE16" s="17">
        <f>Table3[[#This Row],[GF]]/Table3[[#This Row],[GP]]</f>
        <v>2.8163265306122449</v>
      </c>
      <c r="BF16" s="17">
        <f>Table3[[#This Row],[GA]]/Table3[[#This Row],[GP]]</f>
        <v>3.1428571428571428</v>
      </c>
      <c r="BG16" s="17">
        <f>(Table3[[#This Row],[GF]]-Table3[[#This Row],[GA]])/Table3[[#This Row],[GP]]</f>
        <v>-0.32653061224489793</v>
      </c>
      <c r="BH16" s="49" t="str">
        <f>_xlfn.CONCAT(TEXT(Table3[[#This Row],[W_H]], "0"), "-", TEXT(Table3[[#This Row],[RL_H]],"0"), "-", TEXT(Table3[[#This Row],[OTL_H]]+Table3[[#This Row],[SOL_H]], "0"))</f>
        <v>14-11-2</v>
      </c>
      <c r="BI16" s="49" t="str">
        <f>_xlfn.CONCAT(TEXT(Table3[[#This Row],[W_A]], "0"), "-", TEXT(Table3[[#This Row],[RL_A]],"0"), "-", TEXT(Table3[[#This Row],[OTL_A]]+Table3[[#This Row],[SOL_A]], "0"))</f>
        <v>9-10-3</v>
      </c>
      <c r="BJ16" s="49">
        <f>((2*(Table3[[#This Row],[W_H]]))+Table3[[#This Row],[OTL_H]]+Table3[[#This Row],[SOL_H]])/(2*Table3[[#This Row],[GP_H]])</f>
        <v>0.55555555555555558</v>
      </c>
      <c r="BK16" s="49">
        <f>((2*(Table3[[#This Row],[W_A]]))+Table3[[#This Row],[OTL_A]]+Table3[[#This Row],[SOL_A]])/(2*Table3[[#This Row],[GP_A]])</f>
        <v>0.47727272727272729</v>
      </c>
      <c r="BL16" s="21">
        <f>(Table3[[#This Row],[W]]*$CG$3)+(Table3[[#This Row],[L]]*$CG$4)+(Table3[[#This Row],[GF]]*$CG$5)+(Table3[[#This Row],[GA]]*$CG$6)</f>
        <v>55.4</v>
      </c>
      <c r="BM16" s="21">
        <f>(82*(((Table3[[#This Row],[PTS%]]*$CG$3)+((1-Table3[[#This Row],[PTS%]])*$CG$4)+(Table3[[#This Row],[GF]]*$CG$5)+(Table3[[#This Row],[GA]]*$CG$6))/Table3[[#This Row],[GP]])) + (Table3[[#This Row],[W]]*$CG$3)+(Table3[[#This Row],[L]]*$CG$4)+(Table3[[#This Row],[GF]]*$CG$5)+(Table3[[#This Row],[GA]]*$CG$6)</f>
        <v>116.48846314035819</v>
      </c>
      <c r="BN16">
        <f>COUNTIFS(DataRegularSeason20242025!$D$3:$D$1315,$A16,DataRegularSeason20242025!$H$3:$H$1315, $A16)</f>
        <v>6</v>
      </c>
      <c r="BO16">
        <f>COUNTIFS(DataRegularSeason20242025!$E$3:$E$1315,$A16,DataRegularSeason20242025!$H$3:$H$1315, $A16)</f>
        <v>9</v>
      </c>
      <c r="BP16">
        <f t="shared" si="8"/>
        <v>15</v>
      </c>
      <c r="BQ16">
        <f t="shared" si="9"/>
        <v>16</v>
      </c>
      <c r="BR16">
        <f t="shared" si="10"/>
        <v>18</v>
      </c>
      <c r="BS16">
        <f t="shared" si="11"/>
        <v>34</v>
      </c>
      <c r="BV16">
        <v>2008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15</v>
      </c>
      <c r="B17" t="s">
        <v>97</v>
      </c>
      <c r="C17" t="s">
        <v>95</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0.83673469387755106</v>
      </c>
      <c r="F17">
        <f>COUNTIFS(DataRegularSeason20242025!$N$3:$N$1315,1,DataRegularSeason20242025!$D$3:$D$1315,$A17)</f>
        <v>26</v>
      </c>
      <c r="G17">
        <f>41-Table3[[#This Row],[GP_A]]</f>
        <v>15</v>
      </c>
      <c r="H17">
        <f>COUNTIFS(DataRegularSeason20242025!$E$3:$E$1315,$A17,DataRegularSeason20242025!$N$3:$N$1315,1)</f>
        <v>23</v>
      </c>
      <c r="I17">
        <f>41-Table3[[#This Row],[GP_H]]</f>
        <v>18</v>
      </c>
      <c r="J17">
        <f t="shared" si="0"/>
        <v>49</v>
      </c>
      <c r="K17">
        <f>82-Table3[[#This Row],[GP]]</f>
        <v>33</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13</v>
      </c>
      <c r="Q17">
        <f>COUNTIFS(DataRegularSeason20242025!$D$3:$D$1315,$A17, DataRegularSeason20242025!$S$3:$S$1315, $A17,DataRegularSeason20242025!$M$3:$M$1315,"REG")</f>
        <v>10</v>
      </c>
      <c r="R17">
        <f>COUNTIFS(DataRegularSeason20242025!$D$3:$D$1315,$A17, DataRegularSeason20242025!$S$3:$S$1315, $A17,DataRegularSeason20242025!$M$3:$M$1315,"OT")</f>
        <v>3</v>
      </c>
      <c r="S17">
        <f>COUNTIFS(DataRegularSeason20242025!$D$3:$D$1315,$A17, DataRegularSeason20242025!$S$3:$S$1315, $A17,DataRegularSeason20242025!$M$3:$M$1315,"SO")</f>
        <v>0</v>
      </c>
      <c r="T17">
        <f>COUNTIFS(DataRegularSeason20242025!$E$3:$E$1315,$A17, DataRegularSeason20242025!$L$3:$L$1315, $A17, DataRegularSeason20242025!$N$3:$N$1315,1)</f>
        <v>8</v>
      </c>
      <c r="U17">
        <f>COUNTIFS(DataRegularSeason20242025!$E$3:$E$1315,$A17, DataRegularSeason20242025!$L$3:$L$1315, $A17,DataRegularSeason20242025!$N$3:$N$1315,1,DataRegularSeason20242025!$M$3:$M$1315,"REG")</f>
        <v>6</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0</v>
      </c>
      <c r="X17">
        <f t="shared" si="2"/>
        <v>15</v>
      </c>
      <c r="Y17">
        <f>COUNTIFS(DataRegularSeason20242025!$E$3:$E$1315,$A17, DataRegularSeason20242025!$S$3:$S$1315, $A17,DataRegularSeason20242025!$M$3:$M$1315,"REG")</f>
        <v>11</v>
      </c>
      <c r="Z17">
        <f>COUNTIFS(DataRegularSeason20242025!$E$3:$E$1315,$A17, DataRegularSeason20242025!$S$3:$S$1315, $A17,DataRegularSeason20242025!$M$3:$M$1315,"OT")</f>
        <v>2</v>
      </c>
      <c r="AA17">
        <f>COUNTIFS(DataRegularSeason20242025!$E$3:$E$1315,$A17, DataRegularSeason20242025!$S$3:$S$1315, $A17,DataRegularSeason20242025!$M$3:$M$1315,"SO")</f>
        <v>2</v>
      </c>
      <c r="AB17">
        <f>Table3[[#This Row],[W_A]]+Table3[[#This Row],[W_H]]</f>
        <v>21</v>
      </c>
      <c r="AC17">
        <f>Table3[[#This Row],[L_A]]+Table3[[#This Row],[L_H]]</f>
        <v>28</v>
      </c>
      <c r="AD17">
        <f>Table3[[#This Row],[RW_A]]+Table3[[#This Row],[RW_H]]</f>
        <v>16</v>
      </c>
      <c r="AE17">
        <f>Table3[[#This Row],[RL_A]]+Table3[[#This Row],[RL_H]]</f>
        <v>21</v>
      </c>
      <c r="AF17">
        <f>Table3[[#This Row],[OTW_A]]+Table3[[#This Row],[OTW_H]]</f>
        <v>5</v>
      </c>
      <c r="AG17">
        <f>Table3[[#This Row],[OTL_A]]+Table3[[#This Row],[OTL_H]]</f>
        <v>5</v>
      </c>
      <c r="AH17">
        <f>Table3[[#This Row],[SOW_A]]+Table3[[#This Row],[SOW_H]]</f>
        <v>0</v>
      </c>
      <c r="AI17">
        <f>Table3[[#This Row],[SOL_A]]+Table3[[#This Row],[SOL_H]]</f>
        <v>2</v>
      </c>
      <c r="AJ17" s="20" t="str">
        <f>_xlfn.CONCAT(TEXT(Table3[[#This Row],[OTW]]+Table3[[#This Row],[SOW]], "0"), "-", TEXT(Table3[[#This Row],[OTL]]+Table3[[#This Row],[SOL]],"0"))</f>
        <v>5-7</v>
      </c>
      <c r="AK17">
        <f>(2*(Table3[[#This Row],[W_A]]+Table3[[#This Row],[W_H]]))+Table3[[#This Row],[OTL_A]]+Table3[[#This Row],[SOL_A]]+Table3[[#This Row],[OTL_H]]+Table3[[#This Row],[SOL_H]]</f>
        <v>49</v>
      </c>
      <c r="AL17">
        <f>(3*(Table3[[#This Row],[RW_A]]+Table3[[#This Row],[RW_H]]))+(2*(Table3[[#This Row],[OTW_A]]+Table3[[#This Row],[SOW_A]]+Table3[[#This Row],[OTW_H]]+Table3[[#This Row],[SOW_H]]))+Table3[[#This Row],[OTL_A]]+Table3[[#This Row],[SOL_A]]+Table3[[#This Row],[OTL_H]]+Table3[[#This Row],[SOL_H]]</f>
        <v>65</v>
      </c>
      <c r="AM17" s="15">
        <f>Table3[[#This Row],[PTS]]/(2*Table3[[#This Row],[GP]])</f>
        <v>0.5</v>
      </c>
      <c r="AN17" s="15">
        <f>Table3[[#This Row],[PTS2]]/(3*Table3[[#This Row],[GP]])</f>
        <v>0.44217687074829931</v>
      </c>
      <c r="AO17">
        <f>(2*Table3[[#This Row],[GR]])+Table3[[#This Row],[PTS]]</f>
        <v>115</v>
      </c>
      <c r="AP17">
        <f>(3*Table3[[#This Row],[GR]])+Table3[[#This Row],[PTS2]]</f>
        <v>164</v>
      </c>
      <c r="AQ17">
        <f>Table3[[#This Row],[PTS]]+(2 * Table3[[#This Row],[GR]] * Table3[[#This Row],[PTS%]])</f>
        <v>82</v>
      </c>
      <c r="AR17">
        <f>Table3[[#This Row],[PTS2]]+(3 * Table3[[#This Row],[GR]] * Table3[[#This Row],[PTS%2]])</f>
        <v>108.77551020408163</v>
      </c>
      <c r="AS17" s="20" t="str">
        <f>_xlfn.CONCAT(TEXT(Table3[[#This Row],[W]], "0"), "-", TEXT(Table3[[#This Row],[RL]],"0"), "-", TEXT(Table3[[#This Row],[OTL]]+Table3[[#This Row],[SOL]], "0"))</f>
        <v>21-21-7</v>
      </c>
      <c r="AT17">
        <f>COUNTIFS(DataRegularSeason20242025!$D$3:$D$1315,Table3[[#This Row],[Teams]],DataRegularSeason20242025!$K$3:$K$1315,0)</f>
        <v>2</v>
      </c>
      <c r="AU17">
        <f>SUMIF(DataRegularSeason20242025!$D$3:$D$1315,$A17, DataRegularSeason20242025!$J$3:$J$1315)</f>
        <v>77</v>
      </c>
      <c r="AV17">
        <f>SUMIF(DataRegularSeason20242025!$D$3:$D$1315,$A17, DataRegularSeason20242025!$K$3:$K$1315)</f>
        <v>72</v>
      </c>
      <c r="AW17">
        <f t="shared" si="3"/>
        <v>5</v>
      </c>
      <c r="AX17">
        <f>COUNTIFS(DataRegularSeason20242025!$E$3:$E$1315,Table3[[#This Row],[Teams]],DataRegularSeason20242025!$J$3:$J$1315,0)</f>
        <v>0</v>
      </c>
      <c r="AY17">
        <f>SUMIF(DataRegularSeason20242025!$E$3:$E$1315,$A17,DataRegularSeason20242025!$K$3:$K$1315)</f>
        <v>62</v>
      </c>
      <c r="AZ17">
        <f>SUMIF(DataRegularSeason20242025!$E$3:$E$1315,$A17,DataRegularSeason20242025!$J$3:$J$1315)</f>
        <v>75</v>
      </c>
      <c r="BA17">
        <f t="shared" si="4"/>
        <v>-13</v>
      </c>
      <c r="BB17">
        <f t="shared" si="5"/>
        <v>139</v>
      </c>
      <c r="BC17">
        <f t="shared" si="6"/>
        <v>147</v>
      </c>
      <c r="BD17">
        <f t="shared" si="7"/>
        <v>-8</v>
      </c>
      <c r="BE17" s="17">
        <f>Table3[[#This Row],[GF]]/Table3[[#This Row],[GP]]</f>
        <v>2.8367346938775508</v>
      </c>
      <c r="BF17" s="17">
        <f>Table3[[#This Row],[GA]]/Table3[[#This Row],[GP]]</f>
        <v>3</v>
      </c>
      <c r="BG17" s="17">
        <f>(Table3[[#This Row],[GF]]-Table3[[#This Row],[GA]])/Table3[[#This Row],[GP]]</f>
        <v>-0.16326530612244897</v>
      </c>
      <c r="BH17" s="49" t="str">
        <f>_xlfn.CONCAT(TEXT(Table3[[#This Row],[W_H]], "0"), "-", TEXT(Table3[[#This Row],[RL_H]],"0"), "-", TEXT(Table3[[#This Row],[OTL_H]]+Table3[[#This Row],[SOL_H]], "0"))</f>
        <v>8-11-4</v>
      </c>
      <c r="BI17" s="49" t="str">
        <f>_xlfn.CONCAT(TEXT(Table3[[#This Row],[W_A]], "0"), "-", TEXT(Table3[[#This Row],[RL_A]],"0"), "-", TEXT(Table3[[#This Row],[OTL_A]]+Table3[[#This Row],[SOL_A]], "0"))</f>
        <v>13-10-3</v>
      </c>
      <c r="BJ17" s="49">
        <f>((2*(Table3[[#This Row],[W_H]]))+Table3[[#This Row],[OTL_H]]+Table3[[#This Row],[SOL_H]])/(2*Table3[[#This Row],[GP_H]])</f>
        <v>0.43478260869565216</v>
      </c>
      <c r="BK17" s="49">
        <f>((2*(Table3[[#This Row],[W_A]]))+Table3[[#This Row],[OTL_A]]+Table3[[#This Row],[SOL_A]])/(2*Table3[[#This Row],[GP_A]])</f>
        <v>0.55769230769230771</v>
      </c>
      <c r="BL17" s="21">
        <f>(Table3[[#This Row],[W]]*$CG$3)+(Table3[[#This Row],[L]]*$CG$4)+(Table3[[#This Row],[GF]]*$CG$5)+(Table3[[#This Row],[GA]]*$CG$6)</f>
        <v>54.45</v>
      </c>
      <c r="BM17" s="21">
        <f>(82*(((Table3[[#This Row],[PTS%]]*$CG$3)+((1-Table3[[#This Row],[PTS%]])*$CG$4)+(Table3[[#This Row],[GF]]*$CG$5)+(Table3[[#This Row],[GA]]*$CG$6))/Table3[[#This Row],[GP]])) + (Table3[[#This Row],[W]]*$CG$3)+(Table3[[#This Row],[L]]*$CG$4)+(Table3[[#This Row],[GF]]*$CG$5)+(Table3[[#This Row],[GA]]*$CG$6)</f>
        <v>114.61122448979592</v>
      </c>
      <c r="BN17">
        <f>COUNTIFS(DataRegularSeason20242025!$D$3:$D$1315,$A17,DataRegularSeason20242025!$H$3:$H$1315, $A17)</f>
        <v>8</v>
      </c>
      <c r="BO17">
        <f>COUNTIFS(DataRegularSeason20242025!$E$3:$E$1315,$A17,DataRegularSeason20242025!$H$3:$H$1315, $A17)</f>
        <v>6</v>
      </c>
      <c r="BP17">
        <f t="shared" si="8"/>
        <v>14</v>
      </c>
      <c r="BQ17">
        <f t="shared" si="9"/>
        <v>18</v>
      </c>
      <c r="BR17">
        <f t="shared" si="10"/>
        <v>17</v>
      </c>
      <c r="BS17">
        <f t="shared" si="11"/>
        <v>35</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47</v>
      </c>
      <c r="B18" t="s">
        <v>97</v>
      </c>
      <c r="C18" t="s">
        <v>100</v>
      </c>
      <c r="D18">
        <f>COUNTIFS(DataRegularSeason20242025!$D$3:$D$1315,$A18,DataRegularSeason20242025!$R$3:$R$1315,1,DataRegularSeason20242025!$N$3:$N$1315,1) + COUNTIFS(DataRegularSeason20242025!$E$3:$E$1315,$A18,DataRegularSeason20242025!$R$3:$R$1315,1,DataRegularSeason20242025!$N$3:$N$1315,1)</f>
        <v>40</v>
      </c>
      <c r="E18" s="15">
        <f>Table3[[#This Row],[Watched]]/Table3[[#This Row],[GP]]</f>
        <v>0.81632653061224492</v>
      </c>
      <c r="F18">
        <f>COUNTIFS(DataRegularSeason20242025!$N$3:$N$1315,1,DataRegularSeason20242025!$D$3:$D$1315,$A18)</f>
        <v>24</v>
      </c>
      <c r="G18">
        <f>41-Table3[[#This Row],[GP_A]]</f>
        <v>17</v>
      </c>
      <c r="H18">
        <f>COUNTIFS(DataRegularSeason20242025!$E$3:$E$1315,$A18,DataRegularSeason20242025!$N$3:$N$1315,1)</f>
        <v>25</v>
      </c>
      <c r="I18">
        <f>41-Table3[[#This Row],[GP_H]]</f>
        <v>16</v>
      </c>
      <c r="J18">
        <f t="shared" si="0"/>
        <v>49</v>
      </c>
      <c r="K18">
        <f>82-Table3[[#This Row],[GP]]</f>
        <v>33</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5</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 t="shared" si="1"/>
        <v>15</v>
      </c>
      <c r="Q18">
        <f>COUNTIFS(DataRegularSeason20242025!$D$3:$D$1315,$A18, DataRegularSeason20242025!$S$3:$S$1315, $A18,DataRegularSeason20242025!$M$3:$M$1315,"REG")</f>
        <v>11</v>
      </c>
      <c r="R18">
        <f>COUNTIFS(DataRegularSeason20242025!$D$3:$D$1315,$A18, DataRegularSeason20242025!$S$3:$S$1315, $A18,DataRegularSeason20242025!$M$3:$M$1315,"OT")</f>
        <v>2</v>
      </c>
      <c r="S18">
        <f>COUNTIFS(DataRegularSeason20242025!$D$3:$D$1315,$A18, DataRegularSeason20242025!$S$3:$S$1315, $A18,DataRegularSeason20242025!$M$3:$M$1315,"SO")</f>
        <v>2</v>
      </c>
      <c r="T18">
        <f>COUNTIFS(DataRegularSeason20242025!$E$3:$E$1315,$A18, DataRegularSeason20242025!$L$3:$L$1315, $A18, DataRegularSeason20242025!$N$3:$N$1315,1)</f>
        <v>11</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 t="shared" si="2"/>
        <v>14</v>
      </c>
      <c r="Y18">
        <f>COUNTIFS(DataRegularSeason20242025!$E$3:$E$1315,$A18, DataRegularSeason20242025!$S$3:$S$1315, $A18,DataRegularSeason20242025!$M$3:$M$1315,"REG")</f>
        <v>12</v>
      </c>
      <c r="Z18">
        <f>COUNTIFS(DataRegularSeason20242025!$E$3:$E$1315,$A18, DataRegularSeason20242025!$S$3:$S$1315, $A18,DataRegularSeason20242025!$M$3:$M$1315,"OT")</f>
        <v>2</v>
      </c>
      <c r="AA18">
        <f>COUNTIFS(DataRegularSeason20242025!$E$3:$E$1315,$A18, DataRegularSeason20242025!$S$3:$S$1315, $A18,DataRegularSeason20242025!$M$3:$M$1315,"SO")</f>
        <v>0</v>
      </c>
      <c r="AB18">
        <f>Table3[[#This Row],[W_A]]+Table3[[#This Row],[W_H]]</f>
        <v>20</v>
      </c>
      <c r="AC18">
        <f>Table3[[#This Row],[L_A]]+Table3[[#This Row],[L_H]]</f>
        <v>29</v>
      </c>
      <c r="AD18">
        <f>Table3[[#This Row],[RW_A]]+Table3[[#This Row],[RW_H]]</f>
        <v>14</v>
      </c>
      <c r="AE18">
        <f>Table3[[#This Row],[RL_A]]+Table3[[#This Row],[RL_H]]</f>
        <v>23</v>
      </c>
      <c r="AF18">
        <f>Table3[[#This Row],[OTW_A]]+Table3[[#This Row],[OTW_H]]</f>
        <v>4</v>
      </c>
      <c r="AG18">
        <f>Table3[[#This Row],[OTL_A]]+Table3[[#This Row],[OTL_H]]</f>
        <v>4</v>
      </c>
      <c r="AH18">
        <f>Table3[[#This Row],[SOW_A]]+Table3[[#This Row],[SOW_H]]</f>
        <v>2</v>
      </c>
      <c r="AI18">
        <f>Table3[[#This Row],[SOL_A]]+Table3[[#This Row],[SOL_H]]</f>
        <v>2</v>
      </c>
      <c r="AJ18" s="20" t="str">
        <f>_xlfn.CONCAT(TEXT(Table3[[#This Row],[OTW]]+Table3[[#This Row],[SOW]], "0"), "-", TEXT(Table3[[#This Row],[OTL]]+Table3[[#This Row],[SOL]],"0"))</f>
        <v>6-6</v>
      </c>
      <c r="AK18">
        <f>(2*(Table3[[#This Row],[W_A]]+Table3[[#This Row],[W_H]]))+Table3[[#This Row],[OTL_A]]+Table3[[#This Row],[SOL_A]]+Table3[[#This Row],[OTL_H]]+Table3[[#This Row],[SOL_H]]</f>
        <v>46</v>
      </c>
      <c r="AL18">
        <f>(3*(Table3[[#This Row],[RW_A]]+Table3[[#This Row],[RW_H]]))+(2*(Table3[[#This Row],[OTW_A]]+Table3[[#This Row],[SOW_A]]+Table3[[#This Row],[OTW_H]]+Table3[[#This Row],[SOW_H]]))+Table3[[#This Row],[OTL_A]]+Table3[[#This Row],[SOL_A]]+Table3[[#This Row],[OTL_H]]+Table3[[#This Row],[SOL_H]]</f>
        <v>60</v>
      </c>
      <c r="AM18" s="15">
        <f>Table3[[#This Row],[PTS]]/(2*Table3[[#This Row],[GP]])</f>
        <v>0.46938775510204084</v>
      </c>
      <c r="AN18" s="15">
        <f>Table3[[#This Row],[PTS2]]/(3*Table3[[#This Row],[GP]])</f>
        <v>0.40816326530612246</v>
      </c>
      <c r="AO18">
        <f>(2*Table3[[#This Row],[GR]])+Table3[[#This Row],[PTS]]</f>
        <v>112</v>
      </c>
      <c r="AP18">
        <f>(3*Table3[[#This Row],[GR]])+Table3[[#This Row],[PTS2]]</f>
        <v>159</v>
      </c>
      <c r="AQ18">
        <f>Table3[[#This Row],[PTS]]+(2 * Table3[[#This Row],[GR]] * Table3[[#This Row],[PTS%]])</f>
        <v>76.979591836734699</v>
      </c>
      <c r="AR18">
        <f>Table3[[#This Row],[PTS2]]+(3 * Table3[[#This Row],[GR]] * Table3[[#This Row],[PTS%2]])</f>
        <v>100.40816326530611</v>
      </c>
      <c r="AS18" s="20" t="str">
        <f>_xlfn.CONCAT(TEXT(Table3[[#This Row],[W]], "0"), "-", TEXT(Table3[[#This Row],[RL]],"0"), "-", TEXT(Table3[[#This Row],[OTL]]+Table3[[#This Row],[SOL]], "0"))</f>
        <v>20-23-6</v>
      </c>
      <c r="AT18">
        <f>COUNTIFS(DataRegularSeason20242025!$D$3:$D$1315,Table3[[#This Row],[Teams]],DataRegularSeason20242025!$K$3:$K$1315,0)</f>
        <v>1</v>
      </c>
      <c r="AU18">
        <f>SUMIF(DataRegularSeason20242025!$D$3:$D$1315,$A18, DataRegularSeason20242025!$J$3:$J$1315)</f>
        <v>54</v>
      </c>
      <c r="AV18">
        <f>SUMIF(DataRegularSeason20242025!$D$3:$D$1315,$A18, DataRegularSeason20242025!$K$3:$K$1315)</f>
        <v>75</v>
      </c>
      <c r="AW18">
        <f t="shared" si="3"/>
        <v>-21</v>
      </c>
      <c r="AX18">
        <f>COUNTIFS(DataRegularSeason20242025!$E$3:$E$1315,Table3[[#This Row],[Teams]],DataRegularSeason20242025!$J$3:$J$1315,0)</f>
        <v>0</v>
      </c>
      <c r="AY18">
        <f>SUMIF(DataRegularSeason20242025!$E$3:$E$1315,$A18,DataRegularSeason20242025!$K$3:$K$1315)</f>
        <v>69</v>
      </c>
      <c r="AZ18">
        <f>SUMIF(DataRegularSeason20242025!$E$3:$E$1315,$A18,DataRegularSeason20242025!$J$3:$J$1315)</f>
        <v>78</v>
      </c>
      <c r="BA18">
        <f t="shared" si="4"/>
        <v>-9</v>
      </c>
      <c r="BB18">
        <f t="shared" si="5"/>
        <v>123</v>
      </c>
      <c r="BC18">
        <f t="shared" si="6"/>
        <v>153</v>
      </c>
      <c r="BD18">
        <f t="shared" si="7"/>
        <v>-30</v>
      </c>
      <c r="BE18" s="17">
        <f>Table3[[#This Row],[GF]]/Table3[[#This Row],[GP]]</f>
        <v>2.510204081632653</v>
      </c>
      <c r="BF18" s="17">
        <f>Table3[[#This Row],[GA]]/Table3[[#This Row],[GP]]</f>
        <v>3.1224489795918369</v>
      </c>
      <c r="BG18" s="17">
        <f>(Table3[[#This Row],[GF]]-Table3[[#This Row],[GA]])/Table3[[#This Row],[GP]]</f>
        <v>-0.61224489795918369</v>
      </c>
      <c r="BH18" s="49" t="str">
        <f>_xlfn.CONCAT(TEXT(Table3[[#This Row],[W_H]], "0"), "-", TEXT(Table3[[#This Row],[RL_H]],"0"), "-", TEXT(Table3[[#This Row],[OTL_H]]+Table3[[#This Row],[SOL_H]], "0"))</f>
        <v>11-12-2</v>
      </c>
      <c r="BI18" s="49" t="str">
        <f>_xlfn.CONCAT(TEXT(Table3[[#This Row],[W_A]], "0"), "-", TEXT(Table3[[#This Row],[RL_A]],"0"), "-", TEXT(Table3[[#This Row],[OTL_A]]+Table3[[#This Row],[SOL_A]], "0"))</f>
        <v>9-11-4</v>
      </c>
      <c r="BJ18" s="49">
        <f>((2*(Table3[[#This Row],[W_H]]))+Table3[[#This Row],[OTL_H]]+Table3[[#This Row],[SOL_H]])/(2*Table3[[#This Row],[GP_H]])</f>
        <v>0.48</v>
      </c>
      <c r="BK18" s="49">
        <f>((2*(Table3[[#This Row],[W_A]]))+Table3[[#This Row],[OTL_A]]+Table3[[#This Row],[SOL_A]])/(2*Table3[[#This Row],[GP_A]])</f>
        <v>0.45833333333333331</v>
      </c>
      <c r="BL18" s="21">
        <f>(Table3[[#This Row],[W]]*$CG$3)+(Table3[[#This Row],[L]]*$CG$4)+(Table3[[#This Row],[GF]]*$CG$5)+(Table3[[#This Row],[GA]]*$CG$6)</f>
        <v>52.45</v>
      </c>
      <c r="BM18" s="21">
        <f>(82*(((Table3[[#This Row],[PTS%]]*$CG$3)+((1-Table3[[#This Row],[PTS%]])*$CG$4)+(Table3[[#This Row],[GF]]*$CG$5)+(Table3[[#This Row],[GA]]*$CG$6))/Table3[[#This Row],[GP]])) + (Table3[[#This Row],[W]]*$CG$3)+(Table3[[#This Row],[L]]*$CG$4)+(Table3[[#This Row],[GF]]*$CG$5)+(Table3[[#This Row],[GA]]*$CG$6)</f>
        <v>109.5887338608913</v>
      </c>
      <c r="BN18">
        <f>COUNTIFS(DataRegularSeason20242025!$D$3:$D$1315,$A18,DataRegularSeason20242025!$H$3:$H$1315, $A18)</f>
        <v>8</v>
      </c>
      <c r="BO18">
        <f>COUNTIFS(DataRegularSeason20242025!$E$3:$E$1315,$A18,DataRegularSeason20242025!$H$3:$H$1315, $A18)</f>
        <v>7</v>
      </c>
      <c r="BP18">
        <f t="shared" si="8"/>
        <v>15</v>
      </c>
      <c r="BQ18">
        <f t="shared" si="9"/>
        <v>16</v>
      </c>
      <c r="BR18">
        <f t="shared" si="10"/>
        <v>18</v>
      </c>
      <c r="BS18">
        <f t="shared" si="11"/>
        <v>34</v>
      </c>
      <c r="BT18" s="6">
        <f>(BQ18+BN18)</f>
        <v>24</v>
      </c>
      <c r="BU18" s="6"/>
      <c r="BV18">
        <v>2007</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29</v>
      </c>
      <c r="B19" t="s">
        <v>98</v>
      </c>
      <c r="C19" t="s">
        <v>81</v>
      </c>
      <c r="D19">
        <f>COUNTIFS(DataRegularSeason20242025!$D$3:$D$1315,$A19,DataRegularSeason20242025!$R$3:$R$1315,1,DataRegularSeason20242025!$N$3:$N$1315,1) + COUNTIFS(DataRegularSeason20242025!$E$3:$E$1315,$A19,DataRegularSeason20242025!$R$3:$R$1315,1,DataRegularSeason20242025!$N$3:$N$1315,1)</f>
        <v>37</v>
      </c>
      <c r="E19" s="15">
        <f>Table3[[#This Row],[Watched]]/Table3[[#This Row],[GP]]</f>
        <v>0.75510204081632648</v>
      </c>
      <c r="F19">
        <f>COUNTIFS(DataRegularSeason20242025!$N$3:$N$1315,1,DataRegularSeason20242025!$D$3:$D$1315,$A19)</f>
        <v>25</v>
      </c>
      <c r="G19">
        <f>41-Table3[[#This Row],[GP_A]]</f>
        <v>16</v>
      </c>
      <c r="H19">
        <f>COUNTIFS(DataRegularSeason20242025!$E$3:$E$1315,$A19,DataRegularSeason20242025!$N$3:$N$1315,1)</f>
        <v>24</v>
      </c>
      <c r="I19">
        <f>41-Table3[[#This Row],[GP_H]]</f>
        <v>17</v>
      </c>
      <c r="J19">
        <f t="shared" si="0"/>
        <v>49</v>
      </c>
      <c r="K19">
        <f>82-Table3[[#This Row],[GP]]</f>
        <v>33</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0</v>
      </c>
      <c r="P19">
        <f t="shared" si="1"/>
        <v>16</v>
      </c>
      <c r="Q19">
        <f>COUNTIFS(DataRegularSeason20242025!$D$3:$D$1315,$A19, DataRegularSeason20242025!$S$3:$S$1315, $A19,DataRegularSeason20242025!$M$3:$M$1315,"REG")</f>
        <v>14</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9</v>
      </c>
      <c r="U19">
        <f>COUNTIFS(DataRegularSeason20242025!$E$3:$E$1315,$A19, DataRegularSeason20242025!$L$3:$L$1315, $A19,DataRegularSeason20242025!$N$3:$N$1315,1,DataRegularSeason20242025!$M$3:$M$1315,"REG")</f>
        <v>6</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 t="shared" si="2"/>
        <v>15</v>
      </c>
      <c r="Y19">
        <f>COUNTIFS(DataRegularSeason20242025!$E$3:$E$1315,$A19, DataRegularSeason20242025!$S$3:$S$1315, $A19,DataRegularSeason20242025!$M$3:$M$1315,"REG")</f>
        <v>12</v>
      </c>
      <c r="Z19">
        <f>COUNTIFS(DataRegularSeason20242025!$E$3:$E$1315,$A19, DataRegularSeason20242025!$S$3:$S$1315, $A19,DataRegularSeason20242025!$M$3:$M$1315,"OT")</f>
        <v>2</v>
      </c>
      <c r="AA19">
        <f>COUNTIFS(DataRegularSeason20242025!$E$3:$E$1315,$A19, DataRegularSeason20242025!$S$3:$S$1315, $A19,DataRegularSeason20242025!$M$3:$M$1315,"SO")</f>
        <v>1</v>
      </c>
      <c r="AB19">
        <f>Table3[[#This Row],[W_A]]+Table3[[#This Row],[W_H]]</f>
        <v>18</v>
      </c>
      <c r="AC19">
        <f>Table3[[#This Row],[L_A]]+Table3[[#This Row],[L_H]]</f>
        <v>31</v>
      </c>
      <c r="AD19">
        <f>Table3[[#This Row],[RW_A]]+Table3[[#This Row],[RW_H]]</f>
        <v>14</v>
      </c>
      <c r="AE19">
        <f>Table3[[#This Row],[RL_A]]+Table3[[#This Row],[RL_H]]</f>
        <v>26</v>
      </c>
      <c r="AF19">
        <f>Table3[[#This Row],[OTW_A]]+Table3[[#This Row],[OTW_H]]</f>
        <v>2</v>
      </c>
      <c r="AG19">
        <f>Table3[[#This Row],[OTL_A]]+Table3[[#This Row],[OTL_H]]</f>
        <v>4</v>
      </c>
      <c r="AH19">
        <f>Table3[[#This Row],[SOW_A]]+Table3[[#This Row],[SOW_H]]</f>
        <v>2</v>
      </c>
      <c r="AI19">
        <f>Table3[[#This Row],[SOL_A]]+Table3[[#This Row],[SOL_H]]</f>
        <v>1</v>
      </c>
      <c r="AJ19" s="20" t="str">
        <f>_xlfn.CONCAT(TEXT(Table3[[#This Row],[OTW]]+Table3[[#This Row],[SOW]], "0"), "-", TEXT(Table3[[#This Row],[OTL]]+Table3[[#This Row],[SOL]],"0"))</f>
        <v>4-5</v>
      </c>
      <c r="AK19">
        <f>(2*(Table3[[#This Row],[W_A]]+Table3[[#This Row],[W_H]]))+Table3[[#This Row],[OTL_A]]+Table3[[#This Row],[SOL_A]]+Table3[[#This Row],[OTL_H]]+Table3[[#This Row],[SOL_H]]</f>
        <v>41</v>
      </c>
      <c r="AL19">
        <f>(3*(Table3[[#This Row],[RW_A]]+Table3[[#This Row],[RW_H]]))+(2*(Table3[[#This Row],[OTW_A]]+Table3[[#This Row],[SOW_A]]+Table3[[#This Row],[OTW_H]]+Table3[[#This Row],[SOW_H]]))+Table3[[#This Row],[OTL_A]]+Table3[[#This Row],[SOL_A]]+Table3[[#This Row],[OTL_H]]+Table3[[#This Row],[SOL_H]]</f>
        <v>55</v>
      </c>
      <c r="AM19" s="15">
        <f>Table3[[#This Row],[PTS]]/(2*Table3[[#This Row],[GP]])</f>
        <v>0.41836734693877553</v>
      </c>
      <c r="AN19" s="15">
        <f>Table3[[#This Row],[PTS2]]/(3*Table3[[#This Row],[GP]])</f>
        <v>0.37414965986394561</v>
      </c>
      <c r="AO19">
        <f>(2*Table3[[#This Row],[GR]])+Table3[[#This Row],[PTS]]</f>
        <v>107</v>
      </c>
      <c r="AP19">
        <f>(3*Table3[[#This Row],[GR]])+Table3[[#This Row],[PTS2]]</f>
        <v>154</v>
      </c>
      <c r="AQ19">
        <f>Table3[[#This Row],[PTS]]+(2 * Table3[[#This Row],[GR]] * Table3[[#This Row],[PTS%]])</f>
        <v>68.612244897959187</v>
      </c>
      <c r="AR19">
        <f>Table3[[#This Row],[PTS2]]+(3 * Table3[[#This Row],[GR]] * Table3[[#This Row],[PTS%2]])</f>
        <v>92.040816326530617</v>
      </c>
      <c r="AS19" s="20" t="str">
        <f>_xlfn.CONCAT(TEXT(Table3[[#This Row],[W]], "0"), "-", TEXT(Table3[[#This Row],[RL]],"0"), "-", TEXT(Table3[[#This Row],[OTL]]+Table3[[#This Row],[SOL]], "0"))</f>
        <v>18-26-5</v>
      </c>
      <c r="AT19">
        <f>COUNTIFS(DataRegularSeason20242025!$D$3:$D$1315,Table3[[#This Row],[Teams]],DataRegularSeason20242025!$K$3:$K$1315,0)</f>
        <v>2</v>
      </c>
      <c r="AU19">
        <f>SUMIF(DataRegularSeason20242025!$D$3:$D$1315,$A19, DataRegularSeason20242025!$J$3:$J$1315)</f>
        <v>72</v>
      </c>
      <c r="AV19">
        <f>SUMIF(DataRegularSeason20242025!$D$3:$D$1315,$A19, DataRegularSeason20242025!$K$3:$K$1315)</f>
        <v>82</v>
      </c>
      <c r="AW19">
        <f t="shared" si="3"/>
        <v>-10</v>
      </c>
      <c r="AX19">
        <f>COUNTIFS(DataRegularSeason20242025!$E$3:$E$1315,Table3[[#This Row],[Teams]],DataRegularSeason20242025!$J$3:$J$1315,0)</f>
        <v>0</v>
      </c>
      <c r="AY19">
        <f>SUMIF(DataRegularSeason20242025!$E$3:$E$1315,$A19,DataRegularSeason20242025!$K$3:$K$1315)</f>
        <v>77</v>
      </c>
      <c r="AZ19">
        <f>SUMIF(DataRegularSeason20242025!$E$3:$E$1315,$A19,DataRegularSeason20242025!$J$3:$J$1315)</f>
        <v>87</v>
      </c>
      <c r="BA19">
        <f t="shared" si="4"/>
        <v>-10</v>
      </c>
      <c r="BB19">
        <f t="shared" si="5"/>
        <v>149</v>
      </c>
      <c r="BC19">
        <f t="shared" si="6"/>
        <v>169</v>
      </c>
      <c r="BD19">
        <f t="shared" si="7"/>
        <v>-20</v>
      </c>
      <c r="BE19" s="17">
        <f>Table3[[#This Row],[GF]]/Table3[[#This Row],[GP]]</f>
        <v>3.0408163265306123</v>
      </c>
      <c r="BF19" s="17">
        <f>Table3[[#This Row],[GA]]/Table3[[#This Row],[GP]]</f>
        <v>3.4489795918367347</v>
      </c>
      <c r="BG19" s="17">
        <f>(Table3[[#This Row],[GF]]-Table3[[#This Row],[GA]])/Table3[[#This Row],[GP]]</f>
        <v>-0.40816326530612246</v>
      </c>
      <c r="BH19" s="49" t="str">
        <f>_xlfn.CONCAT(TEXT(Table3[[#This Row],[W_H]], "0"), "-", TEXT(Table3[[#This Row],[RL_H]],"0"), "-", TEXT(Table3[[#This Row],[OTL_H]]+Table3[[#This Row],[SOL_H]], "0"))</f>
        <v>9-12-3</v>
      </c>
      <c r="BI19" s="49" t="str">
        <f>_xlfn.CONCAT(TEXT(Table3[[#This Row],[W_A]], "0"), "-", TEXT(Table3[[#This Row],[RL_A]],"0"), "-", TEXT(Table3[[#This Row],[OTL_A]]+Table3[[#This Row],[SOL_A]], "0"))</f>
        <v>9-14-2</v>
      </c>
      <c r="BJ19" s="49">
        <f>((2*(Table3[[#This Row],[W_H]]))+Table3[[#This Row],[OTL_H]]+Table3[[#This Row],[SOL_H]])/(2*Table3[[#This Row],[GP_H]])</f>
        <v>0.4375</v>
      </c>
      <c r="BK19" s="49">
        <f>((2*(Table3[[#This Row],[W_A]]))+Table3[[#This Row],[OTL_A]]+Table3[[#This Row],[SOL_A]])/(2*Table3[[#This Row],[GP_A]])</f>
        <v>0.4</v>
      </c>
      <c r="BL19" s="21">
        <f>(Table3[[#This Row],[W]]*$CG$3)+(Table3[[#This Row],[L]]*$CG$4)+(Table3[[#This Row],[GF]]*$CG$5)+(Table3[[#This Row],[GA]]*$CG$6)</f>
        <v>57.55</v>
      </c>
      <c r="BM19" s="21">
        <f>(82*(((Table3[[#This Row],[PTS%]]*$CG$3)+((1-Table3[[#This Row],[PTS%]])*$CG$4)+(Table3[[#This Row],[GF]]*$CG$5)+(Table3[[#This Row],[GA]]*$CG$6))/Table3[[#This Row],[GP]])) + (Table3[[#This Row],[W]]*$CG$3)+(Table3[[#This Row],[L]]*$CG$4)+(Table3[[#This Row],[GF]]*$CG$5)+(Table3[[#This Row],[GA]]*$CG$6)</f>
        <v>123.87573927530197</v>
      </c>
      <c r="BN19">
        <f>COUNTIFS(DataRegularSeason20242025!$D$3:$D$1315,$A19,DataRegularSeason20242025!$H$3:$H$1315, $A19)</f>
        <v>10</v>
      </c>
      <c r="BO19">
        <f>COUNTIFS(DataRegularSeason20242025!$E$3:$E$1315,$A19,DataRegularSeason20242025!$H$3:$H$1315, $A19)</f>
        <v>9</v>
      </c>
      <c r="BP19">
        <f t="shared" si="8"/>
        <v>19</v>
      </c>
      <c r="BQ19">
        <f t="shared" si="9"/>
        <v>15</v>
      </c>
      <c r="BR19">
        <f t="shared" si="10"/>
        <v>15</v>
      </c>
      <c r="BS19">
        <f t="shared" si="11"/>
        <v>30</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44</v>
      </c>
      <c r="B20" t="s">
        <v>98</v>
      </c>
      <c r="C20" t="s">
        <v>99</v>
      </c>
      <c r="D20">
        <f>COUNTIFS(DataRegularSeason20242025!$D$3:$D$1315,$A20,DataRegularSeason20242025!$R$3:$R$1315,1,DataRegularSeason20242025!$N$3:$N$1315,1) + COUNTIFS(DataRegularSeason20242025!$E$3:$E$1315,$A20,DataRegularSeason20242025!$R$3:$R$1315,1,DataRegularSeason20242025!$N$3:$N$1315,1)</f>
        <v>44</v>
      </c>
      <c r="E20" s="15">
        <f>Table3[[#This Row],[Watched]]/Table3[[#This Row],[GP]]</f>
        <v>0.88</v>
      </c>
      <c r="F20">
        <f>COUNTIFS(DataRegularSeason20242025!$N$3:$N$1315,1,DataRegularSeason20242025!$D$3:$D$1315,$A20)</f>
        <v>25</v>
      </c>
      <c r="G20">
        <f>41-Table3[[#This Row],[GP_A]]</f>
        <v>16</v>
      </c>
      <c r="H20">
        <f>COUNTIFS(DataRegularSeason20242025!$E$3:$E$1315,$A20,DataRegularSeason20242025!$N$3:$N$1315,1)</f>
        <v>25</v>
      </c>
      <c r="I20">
        <f>41-Table3[[#This Row],[GP_H]]</f>
        <v>16</v>
      </c>
      <c r="J20">
        <f t="shared" si="0"/>
        <v>50</v>
      </c>
      <c r="K20">
        <f>82-Table3[[#This Row],[GP]]</f>
        <v>32</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 t="shared" si="1"/>
        <v>14</v>
      </c>
      <c r="Q20">
        <f>COUNTIFS(DataRegularSeason20242025!$D$3:$D$1315,$A20, DataRegularSeason20242025!$S$3:$S$1315, $A20,DataRegularSeason20242025!$M$3:$M$1315,"REG")</f>
        <v>11</v>
      </c>
      <c r="R20">
        <f>COUNTIFS(DataRegularSeason20242025!$D$3:$D$1315,$A20, DataRegularSeason20242025!$S$3:$S$1315, $A20,DataRegularSeason20242025!$M$3:$M$1315,"OT")</f>
        <v>1</v>
      </c>
      <c r="S20">
        <f>COUNTIFS(DataRegularSeason20242025!$D$3:$D$1315,$A20, DataRegularSeason20242025!$S$3:$S$1315, $A20,DataRegularSeason20242025!$M$3:$M$1315,"SO")</f>
        <v>2</v>
      </c>
      <c r="T20">
        <f>COUNTIFS(DataRegularSeason20242025!$E$3:$E$1315,$A20, DataRegularSeason20242025!$L$3:$L$1315, $A20, DataRegularSeason20242025!$N$3:$N$1315,1)</f>
        <v>19</v>
      </c>
      <c r="U20">
        <f>COUNTIFS(DataRegularSeason20242025!$E$3:$E$1315,$A20, DataRegularSeason20242025!$L$3:$L$1315, $A20,DataRegularSeason20242025!$N$3:$N$1315,1,DataRegularSeason20242025!$M$3:$M$1315,"REG")</f>
        <v>18</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0</v>
      </c>
      <c r="X20">
        <f t="shared" si="2"/>
        <v>6</v>
      </c>
      <c r="Y20">
        <f>COUNTIFS(DataRegularSeason20242025!$E$3:$E$1315,$A20, DataRegularSeason20242025!$S$3:$S$1315, $A20,DataRegularSeason20242025!$M$3:$M$1315,"REG")</f>
        <v>5</v>
      </c>
      <c r="Z20">
        <f>COUNTIFS(DataRegularSeason20242025!$E$3:$E$1315,$A20, DataRegularSeason20242025!$S$3:$S$1315, $A20,DataRegularSeason20242025!$M$3:$M$1315,"OT")</f>
        <v>1</v>
      </c>
      <c r="AA20">
        <f>COUNTIFS(DataRegularSeason20242025!$E$3:$E$1315,$A20, DataRegularSeason20242025!$S$3:$S$1315, $A20,DataRegularSeason20242025!$M$3:$M$1315,"SO")</f>
        <v>0</v>
      </c>
      <c r="AB20">
        <f>Table3[[#This Row],[W_A]]+Table3[[#This Row],[W_H]]</f>
        <v>30</v>
      </c>
      <c r="AC20">
        <f>Table3[[#This Row],[L_A]]+Table3[[#This Row],[L_H]]</f>
        <v>20</v>
      </c>
      <c r="AD20">
        <f>Table3[[#This Row],[RW_A]]+Table3[[#This Row],[RW_H]]</f>
        <v>26</v>
      </c>
      <c r="AE20">
        <f>Table3[[#This Row],[RL_A]]+Table3[[#This Row],[RL_H]]</f>
        <v>16</v>
      </c>
      <c r="AF20">
        <f>Table3[[#This Row],[OTW_A]]+Table3[[#This Row],[OTW_H]]</f>
        <v>4</v>
      </c>
      <c r="AG20">
        <f>Table3[[#This Row],[OTL_A]]+Table3[[#This Row],[OTL_H]]</f>
        <v>2</v>
      </c>
      <c r="AH20">
        <f>Table3[[#This Row],[SOW_A]]+Table3[[#This Row],[SOW_H]]</f>
        <v>0</v>
      </c>
      <c r="AI20">
        <f>Table3[[#This Row],[SOL_A]]+Table3[[#This Row],[SOL_H]]</f>
        <v>2</v>
      </c>
      <c r="AJ20" s="20" t="str">
        <f>_xlfn.CONCAT(TEXT(Table3[[#This Row],[OTW]]+Table3[[#This Row],[SOW]], "0"), "-", TEXT(Table3[[#This Row],[OTL]]+Table3[[#This Row],[SOL]],"0"))</f>
        <v>4-4</v>
      </c>
      <c r="AK20">
        <f>(2*(Table3[[#This Row],[W_A]]+Table3[[#This Row],[W_H]]))+Table3[[#This Row],[OTL_A]]+Table3[[#This Row],[SOL_A]]+Table3[[#This Row],[OTL_H]]+Table3[[#This Row],[SOL_H]]</f>
        <v>64</v>
      </c>
      <c r="AL20">
        <f>(3*(Table3[[#This Row],[RW_A]]+Table3[[#This Row],[RW_H]]))+(2*(Table3[[#This Row],[OTW_A]]+Table3[[#This Row],[SOW_A]]+Table3[[#This Row],[OTW_H]]+Table3[[#This Row],[SOW_H]]))+Table3[[#This Row],[OTL_A]]+Table3[[#This Row],[SOL_A]]+Table3[[#This Row],[OTL_H]]+Table3[[#This Row],[SOL_H]]</f>
        <v>90</v>
      </c>
      <c r="AM20" s="15">
        <f>Table3[[#This Row],[PTS]]/(2*Table3[[#This Row],[GP]])</f>
        <v>0.64</v>
      </c>
      <c r="AN20" s="15">
        <f>Table3[[#This Row],[PTS2]]/(3*Table3[[#This Row],[GP]])</f>
        <v>0.6</v>
      </c>
      <c r="AO20">
        <f>(2*Table3[[#This Row],[GR]])+Table3[[#This Row],[PTS]]</f>
        <v>128</v>
      </c>
      <c r="AP20">
        <f>(3*Table3[[#This Row],[GR]])+Table3[[#This Row],[PTS2]]</f>
        <v>186</v>
      </c>
      <c r="AQ20">
        <f>Table3[[#This Row],[PTS]]+(2 * Table3[[#This Row],[GR]] * Table3[[#This Row],[PTS%]])</f>
        <v>104.96000000000001</v>
      </c>
      <c r="AR20">
        <f>Table3[[#This Row],[PTS2]]+(3 * Table3[[#This Row],[GR]] * Table3[[#This Row],[PTS%2]])</f>
        <v>147.6</v>
      </c>
      <c r="AS20" s="20" t="str">
        <f>_xlfn.CONCAT(TEXT(Table3[[#This Row],[W]], "0"), "-", TEXT(Table3[[#This Row],[RL]],"0"), "-", TEXT(Table3[[#This Row],[OTL]]+Table3[[#This Row],[SOL]], "0"))</f>
        <v>30-16-4</v>
      </c>
      <c r="AT20">
        <f>COUNTIFS(DataRegularSeason20242025!$D$3:$D$1315,Table3[[#This Row],[Teams]],DataRegularSeason20242025!$K$3:$K$1315,0)</f>
        <v>0</v>
      </c>
      <c r="AU20">
        <f>SUMIF(DataRegularSeason20242025!$D$3:$D$1315,$A20, DataRegularSeason20242025!$J$3:$J$1315)</f>
        <v>71</v>
      </c>
      <c r="AV20">
        <f>SUMIF(DataRegularSeason20242025!$D$3:$D$1315,$A20, DataRegularSeason20242025!$K$3:$K$1315)</f>
        <v>77</v>
      </c>
      <c r="AW20">
        <f t="shared" si="3"/>
        <v>-6</v>
      </c>
      <c r="AX20">
        <f>COUNTIFS(DataRegularSeason20242025!$E$3:$E$1315,Table3[[#This Row],[Teams]],DataRegularSeason20242025!$J$3:$J$1315,0)</f>
        <v>3</v>
      </c>
      <c r="AY20">
        <f>SUMIF(DataRegularSeason20242025!$E$3:$E$1315,$A20,DataRegularSeason20242025!$K$3:$K$1315)</f>
        <v>96</v>
      </c>
      <c r="AZ20">
        <f>SUMIF(DataRegularSeason20242025!$E$3:$E$1315,$A20,DataRegularSeason20242025!$J$3:$J$1315)</f>
        <v>63</v>
      </c>
      <c r="BA20">
        <f t="shared" si="4"/>
        <v>33</v>
      </c>
      <c r="BB20">
        <f t="shared" si="5"/>
        <v>167</v>
      </c>
      <c r="BC20">
        <f t="shared" si="6"/>
        <v>140</v>
      </c>
      <c r="BD20">
        <f t="shared" si="7"/>
        <v>27</v>
      </c>
      <c r="BE20" s="17">
        <f>Table3[[#This Row],[GF]]/Table3[[#This Row],[GP]]</f>
        <v>3.34</v>
      </c>
      <c r="BF20" s="17">
        <f>Table3[[#This Row],[GA]]/Table3[[#This Row],[GP]]</f>
        <v>2.8</v>
      </c>
      <c r="BG20" s="17">
        <f>(Table3[[#This Row],[GF]]-Table3[[#This Row],[GA]])/Table3[[#This Row],[GP]]</f>
        <v>0.54</v>
      </c>
      <c r="BH20" s="49" t="str">
        <f>_xlfn.CONCAT(TEXT(Table3[[#This Row],[W_H]], "0"), "-", TEXT(Table3[[#This Row],[RL_H]],"0"), "-", TEXT(Table3[[#This Row],[OTL_H]]+Table3[[#This Row],[SOL_H]], "0"))</f>
        <v>19-5-1</v>
      </c>
      <c r="BI20" s="49" t="str">
        <f>_xlfn.CONCAT(TEXT(Table3[[#This Row],[W_A]], "0"), "-", TEXT(Table3[[#This Row],[RL_A]],"0"), "-", TEXT(Table3[[#This Row],[OTL_A]]+Table3[[#This Row],[SOL_A]], "0"))</f>
        <v>11-11-3</v>
      </c>
      <c r="BJ20" s="49">
        <f>((2*(Table3[[#This Row],[W_H]]))+Table3[[#This Row],[OTL_H]]+Table3[[#This Row],[SOL_H]])/(2*Table3[[#This Row],[GP_H]])</f>
        <v>0.78</v>
      </c>
      <c r="BK20" s="49">
        <f>((2*(Table3[[#This Row],[W_A]]))+Table3[[#This Row],[OTL_A]]+Table3[[#This Row],[SOL_A]])/(2*Table3[[#This Row],[GP_A]])</f>
        <v>0.5</v>
      </c>
      <c r="BL20" s="21">
        <f>(Table3[[#This Row],[W]]*$CG$3)+(Table3[[#This Row],[L]]*$CG$4)+(Table3[[#This Row],[GF]]*$CG$5)+(Table3[[#This Row],[GA]]*$CG$6)</f>
        <v>60.05</v>
      </c>
      <c r="BM20" s="21">
        <f>(82*(((Table3[[#This Row],[PTS%]]*$CG$3)+((1-Table3[[#This Row],[PTS%]])*$CG$4)+(Table3[[#This Row],[GF]]*$CG$5)+(Table3[[#This Row],[GA]]*$CG$6))/Table3[[#This Row],[GP]])) + (Table3[[#This Row],[W]]*$CG$3)+(Table3[[#This Row],[L]]*$CG$4)+(Table3[[#This Row],[GF]]*$CG$5)+(Table3[[#This Row],[GA]]*$CG$6)</f>
        <v>124.79392</v>
      </c>
      <c r="BN20">
        <f>COUNTIFS(DataRegularSeason20242025!$D$3:$D$1315,$A20,DataRegularSeason20242025!$H$3:$H$1315, $A20)</f>
        <v>15</v>
      </c>
      <c r="BO20">
        <f>COUNTIFS(DataRegularSeason20242025!$E$3:$E$1315,$A20,DataRegularSeason20242025!$H$3:$H$1315, $A20)</f>
        <v>19</v>
      </c>
      <c r="BP20">
        <f t="shared" si="8"/>
        <v>34</v>
      </c>
      <c r="BQ20">
        <f t="shared" si="9"/>
        <v>10</v>
      </c>
      <c r="BR20">
        <f t="shared" si="10"/>
        <v>6</v>
      </c>
      <c r="BS20">
        <f t="shared" si="11"/>
        <v>16</v>
      </c>
      <c r="BV20">
        <v>2006</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18</v>
      </c>
      <c r="B21" t="s">
        <v>98</v>
      </c>
      <c r="C21" t="s">
        <v>81</v>
      </c>
      <c r="D21">
        <f>COUNTIFS(DataRegularSeason20242025!$D$3:$D$1315,$A21,DataRegularSeason20242025!$R$3:$R$1315,1,DataRegularSeason20242025!$N$3:$N$1315,1) + COUNTIFS(DataRegularSeason20242025!$E$3:$E$1315,$A21,DataRegularSeason20242025!$R$3:$R$1315,1,DataRegularSeason20242025!$N$3:$N$1315,1)</f>
        <v>42</v>
      </c>
      <c r="E21" s="15">
        <f>Table3[[#This Row],[Watched]]/Table3[[#This Row],[GP]]</f>
        <v>0.84</v>
      </c>
      <c r="F21">
        <f>COUNTIFS(DataRegularSeason20242025!$N$3:$N$1315,1,DataRegularSeason20242025!$D$3:$D$1315,$A21)</f>
        <v>21</v>
      </c>
      <c r="G21">
        <f>41-Table3[[#This Row],[GP_A]]</f>
        <v>20</v>
      </c>
      <c r="H21">
        <f>COUNTIFS(DataRegularSeason20242025!$E$3:$E$1315,$A21,DataRegularSeason20242025!$N$3:$N$1315,1)</f>
        <v>29</v>
      </c>
      <c r="I21">
        <f>41-Table3[[#This Row],[GP_H]]</f>
        <v>12</v>
      </c>
      <c r="J21">
        <f t="shared" si="0"/>
        <v>50</v>
      </c>
      <c r="K21">
        <f>82-Table3[[#This Row],[GP]]</f>
        <v>32</v>
      </c>
      <c r="L21">
        <f>COUNTIFS(DataRegularSeason20242025!$D$3:$D$1315,$A21, DataRegularSeason20242025!$L$3:$L$1315, $A21,DataRegularSeason20242025!$N$3:$N$1315,1)</f>
        <v>11</v>
      </c>
      <c r="M21">
        <f>COUNTIFS(DataRegularSeason20242025!$D$3:$D$1315,$A21, DataRegularSeason20242025!$L$3:$L$1315, $A21,DataRegularSeason20242025!$N$3:$N$1315,1,DataRegularSeason20242025!$M$3:$M$1315,"REG")</f>
        <v>9</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10</v>
      </c>
      <c r="Q21">
        <f>COUNTIFS(DataRegularSeason20242025!$D$3:$D$1315,$A21, DataRegularSeason20242025!$S$3:$S$1315, $A21,DataRegularSeason20242025!$M$3:$M$1315,"REG")</f>
        <v>8</v>
      </c>
      <c r="R21">
        <f>COUNTIFS(DataRegularSeason20242025!$D$3:$D$1315,$A21, DataRegularSeason20242025!$S$3:$S$1315, $A21,DataRegularSeason20242025!$M$3:$M$1315,"OT")</f>
        <v>2</v>
      </c>
      <c r="S21">
        <f>COUNTIFS(DataRegularSeason20242025!$D$3:$D$1315,$A21, DataRegularSeason20242025!$S$3:$S$1315, $A21,DataRegularSeason20242025!$M$3:$M$1315,"SO")</f>
        <v>0</v>
      </c>
      <c r="T21">
        <f>COUNTIFS(DataRegularSeason20242025!$E$3:$E$1315,$A21, DataRegularSeason20242025!$L$3:$L$1315, $A21, DataRegularSeason20242025!$N$3:$N$1315,1)</f>
        <v>19</v>
      </c>
      <c r="U21">
        <f>COUNTIFS(DataRegularSeason20242025!$E$3:$E$1315,$A21, DataRegularSeason20242025!$L$3:$L$1315, $A21,DataRegularSeason20242025!$N$3:$N$1315,1,DataRegularSeason20242025!$M$3:$M$1315,"REG")</f>
        <v>16</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 t="shared" si="2"/>
        <v>10</v>
      </c>
      <c r="Y21">
        <f>COUNTIFS(DataRegularSeason20242025!$E$3:$E$1315,$A21, DataRegularSeason20242025!$S$3:$S$1315, $A21,DataRegularSeason20242025!$M$3:$M$1315,"REG")</f>
        <v>10</v>
      </c>
      <c r="Z21">
        <f>COUNTIFS(DataRegularSeason20242025!$E$3:$E$1315,$A21, DataRegularSeason20242025!$S$3:$S$1315, $A21,DataRegularSeason20242025!$M$3:$M$1315,"OT")</f>
        <v>0</v>
      </c>
      <c r="AA21">
        <f>COUNTIFS(DataRegularSeason20242025!$E$3:$E$1315,$A21, DataRegularSeason20242025!$S$3:$S$1315, $A21,DataRegularSeason20242025!$M$3:$M$1315,"SO")</f>
        <v>0</v>
      </c>
      <c r="AB21">
        <f>Table3[[#This Row],[W_A]]+Table3[[#This Row],[W_H]]</f>
        <v>30</v>
      </c>
      <c r="AC21">
        <f>Table3[[#This Row],[L_A]]+Table3[[#This Row],[L_H]]</f>
        <v>20</v>
      </c>
      <c r="AD21">
        <f>Table3[[#This Row],[RW_A]]+Table3[[#This Row],[RW_H]]</f>
        <v>25</v>
      </c>
      <c r="AE21">
        <f>Table3[[#This Row],[RL_A]]+Table3[[#This Row],[RL_H]]</f>
        <v>18</v>
      </c>
      <c r="AF21">
        <f>Table3[[#This Row],[OTW_A]]+Table3[[#This Row],[OTW_H]]</f>
        <v>5</v>
      </c>
      <c r="AG21">
        <f>Table3[[#This Row],[OTL_A]]+Table3[[#This Row],[OTL_H]]</f>
        <v>2</v>
      </c>
      <c r="AH21">
        <f>Table3[[#This Row],[SOW_A]]+Table3[[#This Row],[SOW_H]]</f>
        <v>0</v>
      </c>
      <c r="AI21">
        <f>Table3[[#This Row],[SOL_A]]+Table3[[#This Row],[SOL_H]]</f>
        <v>0</v>
      </c>
      <c r="AJ21" s="20" t="str">
        <f>_xlfn.CONCAT(TEXT(Table3[[#This Row],[OTW]]+Table3[[#This Row],[SOW]], "0"), "-", TEXT(Table3[[#This Row],[OTL]]+Table3[[#This Row],[SOL]],"0"))</f>
        <v>5-2</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87</v>
      </c>
      <c r="AM21" s="15">
        <f>Table3[[#This Row],[PTS]]/(2*Table3[[#This Row],[GP]])</f>
        <v>0.62</v>
      </c>
      <c r="AN21" s="15">
        <f>Table3[[#This Row],[PTS2]]/(3*Table3[[#This Row],[GP]])</f>
        <v>0.57999999999999996</v>
      </c>
      <c r="AO21">
        <f>(2*Table3[[#This Row],[GR]])+Table3[[#This Row],[PTS]]</f>
        <v>126</v>
      </c>
      <c r="AP21">
        <f>(3*Table3[[#This Row],[GR]])+Table3[[#This Row],[PTS2]]</f>
        <v>183</v>
      </c>
      <c r="AQ21">
        <f>Table3[[#This Row],[PTS]]+(2 * Table3[[#This Row],[GR]] * Table3[[#This Row],[PTS%]])</f>
        <v>101.68</v>
      </c>
      <c r="AR21">
        <f>Table3[[#This Row],[PTS2]]+(3 * Table3[[#This Row],[GR]] * Table3[[#This Row],[PTS%2]])</f>
        <v>142.68</v>
      </c>
      <c r="AS21" s="20" t="str">
        <f>_xlfn.CONCAT(TEXT(Table3[[#This Row],[W]], "0"), "-", TEXT(Table3[[#This Row],[RL]],"0"), "-", TEXT(Table3[[#This Row],[OTL]]+Table3[[#This Row],[SOL]], "0"))</f>
        <v>30-18-2</v>
      </c>
      <c r="AT21">
        <f>COUNTIFS(DataRegularSeason20242025!$D$3:$D$1315,Table3[[#This Row],[Teams]],DataRegularSeason20242025!$K$3:$K$1315,0)</f>
        <v>0</v>
      </c>
      <c r="AU21">
        <f>SUMIF(DataRegularSeason20242025!$D$3:$D$1315,$A21, DataRegularSeason20242025!$J$3:$J$1315)</f>
        <v>66</v>
      </c>
      <c r="AV21">
        <f>SUMIF(DataRegularSeason20242025!$D$3:$D$1315,$A21, DataRegularSeason20242025!$K$3:$K$1315)</f>
        <v>66</v>
      </c>
      <c r="AW21">
        <f t="shared" si="3"/>
        <v>0</v>
      </c>
      <c r="AX21">
        <f>COUNTIFS(DataRegularSeason20242025!$E$3:$E$1315,Table3[[#This Row],[Teams]],DataRegularSeason20242025!$J$3:$J$1315,0)</f>
        <v>2</v>
      </c>
      <c r="AY21">
        <f>SUMIF(DataRegularSeason20242025!$E$3:$E$1315,$A21,DataRegularSeason20242025!$K$3:$K$1315)</f>
        <v>88</v>
      </c>
      <c r="AZ21">
        <f>SUMIF(DataRegularSeason20242025!$E$3:$E$1315,$A21,DataRegularSeason20242025!$J$3:$J$1315)</f>
        <v>78</v>
      </c>
      <c r="BA21">
        <f t="shared" si="4"/>
        <v>10</v>
      </c>
      <c r="BB21">
        <f t="shared" si="5"/>
        <v>154</v>
      </c>
      <c r="BC21">
        <f t="shared" si="6"/>
        <v>144</v>
      </c>
      <c r="BD21">
        <f t="shared" si="7"/>
        <v>10</v>
      </c>
      <c r="BE21" s="17">
        <f>Table3[[#This Row],[GF]]/Table3[[#This Row],[GP]]</f>
        <v>3.08</v>
      </c>
      <c r="BF21" s="17">
        <f>Table3[[#This Row],[GA]]/Table3[[#This Row],[GP]]</f>
        <v>2.88</v>
      </c>
      <c r="BG21" s="17">
        <f>(Table3[[#This Row],[GF]]-Table3[[#This Row],[GA]])/Table3[[#This Row],[GP]]</f>
        <v>0.2</v>
      </c>
      <c r="BH21" s="49" t="str">
        <f>_xlfn.CONCAT(TEXT(Table3[[#This Row],[W_H]], "0"), "-", TEXT(Table3[[#This Row],[RL_H]],"0"), "-", TEXT(Table3[[#This Row],[OTL_H]]+Table3[[#This Row],[SOL_H]], "0"))</f>
        <v>19-10-0</v>
      </c>
      <c r="BI21" s="49" t="str">
        <f>_xlfn.CONCAT(TEXT(Table3[[#This Row],[W_A]], "0"), "-", TEXT(Table3[[#This Row],[RL_A]],"0"), "-", TEXT(Table3[[#This Row],[OTL_A]]+Table3[[#This Row],[SOL_A]], "0"))</f>
        <v>11-8-2</v>
      </c>
      <c r="BJ21" s="49">
        <f>((2*(Table3[[#This Row],[W_H]]))+Table3[[#This Row],[OTL_H]]+Table3[[#This Row],[SOL_H]])/(2*Table3[[#This Row],[GP_H]])</f>
        <v>0.65517241379310343</v>
      </c>
      <c r="BK21" s="49">
        <f>((2*(Table3[[#This Row],[W_A]]))+Table3[[#This Row],[OTL_A]]+Table3[[#This Row],[SOL_A]])/(2*Table3[[#This Row],[GP_A]])</f>
        <v>0.5714285714285714</v>
      </c>
      <c r="BL21" s="21">
        <f>(Table3[[#This Row],[W]]*$CG$3)+(Table3[[#This Row],[L]]*$CG$4)+(Table3[[#This Row],[GF]]*$CG$5)+(Table3[[#This Row],[GA]]*$CG$6)</f>
        <v>58.499999999999993</v>
      </c>
      <c r="BM21" s="21">
        <f>(82*(((Table3[[#This Row],[PTS%]]*$CG$3)+((1-Table3[[#This Row],[PTS%]])*$CG$4)+(Table3[[#This Row],[GF]]*$CG$5)+(Table3[[#This Row],[GA]]*$CG$6))/Table3[[#This Row],[GP]])) + (Table3[[#This Row],[W]]*$CG$3)+(Table3[[#This Row],[L]]*$CG$4)+(Table3[[#This Row],[GF]]*$CG$5)+(Table3[[#This Row],[GA]]*$CG$6)</f>
        <v>120.69535999999999</v>
      </c>
      <c r="BN21">
        <f>COUNTIFS(DataRegularSeason20242025!$D$3:$D$1315,$A21,DataRegularSeason20242025!$H$3:$H$1315, $A21)</f>
        <v>16</v>
      </c>
      <c r="BO21">
        <f>COUNTIFS(DataRegularSeason20242025!$E$3:$E$1315,$A21,DataRegularSeason20242025!$H$3:$H$1315, $A21)</f>
        <v>23</v>
      </c>
      <c r="BP21">
        <f t="shared" si="8"/>
        <v>39</v>
      </c>
      <c r="BQ21">
        <f t="shared" si="9"/>
        <v>5</v>
      </c>
      <c r="BR21">
        <f t="shared" si="10"/>
        <v>6</v>
      </c>
      <c r="BS21">
        <f t="shared" si="11"/>
        <v>11</v>
      </c>
      <c r="BV21">
        <v>1967</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14</v>
      </c>
      <c r="B22" t="s">
        <v>98</v>
      </c>
      <c r="C22" t="s">
        <v>81</v>
      </c>
      <c r="D22">
        <f>COUNTIFS(DataRegularSeason20242025!$D$3:$D$1315,$A22,DataRegularSeason20242025!$R$3:$R$1315,1,DataRegularSeason20242025!$N$3:$N$1315,1) + COUNTIFS(DataRegularSeason20242025!$E$3:$E$1315,$A22,DataRegularSeason20242025!$R$3:$R$1315,1,DataRegularSeason20242025!$N$3:$N$1315,1)</f>
        <v>48</v>
      </c>
      <c r="E22" s="15">
        <f>Table3[[#This Row],[Watched]]/Table3[[#This Row],[GP]]</f>
        <v>0.96</v>
      </c>
      <c r="F22">
        <f>COUNTIFS(DataRegularSeason20242025!$N$3:$N$1315,1,DataRegularSeason20242025!$D$3:$D$1315,$A22)</f>
        <v>26</v>
      </c>
      <c r="G22">
        <f>41-Table3[[#This Row],[GP_A]]</f>
        <v>15</v>
      </c>
      <c r="H22">
        <f>COUNTIFS(DataRegularSeason20242025!$E$3:$E$1315,$A22,DataRegularSeason20242025!$N$3:$N$1315,1)</f>
        <v>24</v>
      </c>
      <c r="I22">
        <f>41-Table3[[#This Row],[GP_H]]</f>
        <v>17</v>
      </c>
      <c r="J22">
        <f t="shared" si="0"/>
        <v>50</v>
      </c>
      <c r="K22">
        <f>82-Table3[[#This Row],[GP]]</f>
        <v>32</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14</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2</v>
      </c>
      <c r="P22">
        <f t="shared" si="1"/>
        <v>10</v>
      </c>
      <c r="Q22">
        <f>COUNTIFS(DataRegularSeason20242025!$D$3:$D$1315,$A22, DataRegularSeason20242025!$S$3:$S$1315, $A22,DataRegularSeason20242025!$M$3:$M$1315,"REG")</f>
        <v>9</v>
      </c>
      <c r="R22">
        <f>COUNTIFS(DataRegularSeason20242025!$D$3:$D$1315,$A22, DataRegularSeason20242025!$S$3:$S$1315, $A22,DataRegularSeason20242025!$M$3:$M$1315,"OT")</f>
        <v>1</v>
      </c>
      <c r="S22">
        <f>COUNTIFS(DataRegularSeason20242025!$D$3:$D$1315,$A22, DataRegularSeason20242025!$S$3:$S$1315, $A22,DataRegularSeason20242025!$M$3:$M$1315,"SO")</f>
        <v>0</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2</v>
      </c>
      <c r="X22">
        <f t="shared" si="2"/>
        <v>11</v>
      </c>
      <c r="Y22">
        <f>COUNTIFS(DataRegularSeason20242025!$E$3:$E$1315,$A22, DataRegularSeason20242025!$S$3:$S$1315, $A22,DataRegularSeason20242025!$M$3:$M$1315,"REG")</f>
        <v>9</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29</v>
      </c>
      <c r="AC22">
        <f>Table3[[#This Row],[L_A]]+Table3[[#This Row],[L_H]]</f>
        <v>21</v>
      </c>
      <c r="AD22">
        <f>Table3[[#This Row],[RW_A]]+Table3[[#This Row],[RW_H]]</f>
        <v>23</v>
      </c>
      <c r="AE22">
        <f>Table3[[#This Row],[RL_A]]+Table3[[#This Row],[RL_H]]</f>
        <v>18</v>
      </c>
      <c r="AF22">
        <f>Table3[[#This Row],[OTW_A]]+Table3[[#This Row],[OTW_H]]</f>
        <v>2</v>
      </c>
      <c r="AG22">
        <f>Table3[[#This Row],[OTL_A]]+Table3[[#This Row],[OTL_H]]</f>
        <v>3</v>
      </c>
      <c r="AH22">
        <f>Table3[[#This Row],[SOW_A]]+Table3[[#This Row],[SOW_H]]</f>
        <v>4</v>
      </c>
      <c r="AI22">
        <f>Table3[[#This Row],[SOL_A]]+Table3[[#This Row],[SOL_H]]</f>
        <v>0</v>
      </c>
      <c r="AJ22" s="20" t="str">
        <f>_xlfn.CONCAT(TEXT(Table3[[#This Row],[OTW]]+Table3[[#This Row],[SOW]], "0"), "-", TEXT(Table3[[#This Row],[OTL]]+Table3[[#This Row],[SOL]],"0"))</f>
        <v>6-3</v>
      </c>
      <c r="AK22">
        <f>(2*(Table3[[#This Row],[W_A]]+Table3[[#This Row],[W_H]]))+Table3[[#This Row],[OTL_A]]+Table3[[#This Row],[SOL_A]]+Table3[[#This Row],[OTL_H]]+Table3[[#This Row],[SOL_H]]</f>
        <v>61</v>
      </c>
      <c r="AL22">
        <f>(3*(Table3[[#This Row],[RW_A]]+Table3[[#This Row],[RW_H]]))+(2*(Table3[[#This Row],[OTW_A]]+Table3[[#This Row],[SOW_A]]+Table3[[#This Row],[OTW_H]]+Table3[[#This Row],[SOW_H]]))+Table3[[#This Row],[OTL_A]]+Table3[[#This Row],[SOL_A]]+Table3[[#This Row],[OTL_H]]+Table3[[#This Row],[SOL_H]]</f>
        <v>84</v>
      </c>
      <c r="AM22" s="15">
        <f>Table3[[#This Row],[PTS]]/(2*Table3[[#This Row],[GP]])</f>
        <v>0.61</v>
      </c>
      <c r="AN22" s="15">
        <f>Table3[[#This Row],[PTS2]]/(3*Table3[[#This Row],[GP]])</f>
        <v>0.56000000000000005</v>
      </c>
      <c r="AO22">
        <f>(2*Table3[[#This Row],[GR]])+Table3[[#This Row],[PTS]]</f>
        <v>125</v>
      </c>
      <c r="AP22">
        <f>(3*Table3[[#This Row],[GR]])+Table3[[#This Row],[PTS2]]</f>
        <v>180</v>
      </c>
      <c r="AQ22">
        <f>Table3[[#This Row],[PTS]]+(2 * Table3[[#This Row],[GR]] * Table3[[#This Row],[PTS%]])</f>
        <v>100.03999999999999</v>
      </c>
      <c r="AR22">
        <f>Table3[[#This Row],[PTS2]]+(3 * Table3[[#This Row],[GR]] * Table3[[#This Row],[PTS%2]])</f>
        <v>137.76</v>
      </c>
      <c r="AS22" s="20" t="str">
        <f>_xlfn.CONCAT(TEXT(Table3[[#This Row],[W]], "0"), "-", TEXT(Table3[[#This Row],[RL]],"0"), "-", TEXT(Table3[[#This Row],[OTL]]+Table3[[#This Row],[SOL]], "0"))</f>
        <v>29-18-3</v>
      </c>
      <c r="AT22">
        <f>COUNTIFS(DataRegularSeason20242025!$D$3:$D$1315,Table3[[#This Row],[Teams]],DataRegularSeason20242025!$K$3:$K$1315,0)</f>
        <v>0</v>
      </c>
      <c r="AU22">
        <f>SUMIF(DataRegularSeason20242025!$D$3:$D$1315,$A22, DataRegularSeason20242025!$J$3:$J$1315)</f>
        <v>93</v>
      </c>
      <c r="AV22">
        <f>SUMIF(DataRegularSeason20242025!$D$3:$D$1315,$A22, DataRegularSeason20242025!$K$3:$K$1315)</f>
        <v>77</v>
      </c>
      <c r="AW22">
        <f t="shared" si="3"/>
        <v>16</v>
      </c>
      <c r="AX22">
        <f>COUNTIFS(DataRegularSeason20242025!$E$3:$E$1315,Table3[[#This Row],[Teams]],DataRegularSeason20242025!$J$3:$J$1315,0)</f>
        <v>3</v>
      </c>
      <c r="AY22">
        <f>SUMIF(DataRegularSeason20242025!$E$3:$E$1315,$A22,DataRegularSeason20242025!$K$3:$K$1315)</f>
        <v>73</v>
      </c>
      <c r="AZ22">
        <f>SUMIF(DataRegularSeason20242025!$E$3:$E$1315,$A22,DataRegularSeason20242025!$J$3:$J$1315)</f>
        <v>71</v>
      </c>
      <c r="BA22">
        <f t="shared" si="4"/>
        <v>2</v>
      </c>
      <c r="BB22">
        <f t="shared" si="5"/>
        <v>166</v>
      </c>
      <c r="BC22">
        <f t="shared" si="6"/>
        <v>148</v>
      </c>
      <c r="BD22">
        <f t="shared" si="7"/>
        <v>18</v>
      </c>
      <c r="BE22" s="17">
        <f>Table3[[#This Row],[GF]]/Table3[[#This Row],[GP]]</f>
        <v>3.32</v>
      </c>
      <c r="BF22" s="17">
        <f>Table3[[#This Row],[GA]]/Table3[[#This Row],[GP]]</f>
        <v>2.96</v>
      </c>
      <c r="BG22" s="17">
        <f>(Table3[[#This Row],[GF]]-Table3[[#This Row],[GA]])/Table3[[#This Row],[GP]]</f>
        <v>0.36</v>
      </c>
      <c r="BH22" s="49" t="str">
        <f>_xlfn.CONCAT(TEXT(Table3[[#This Row],[W_H]], "0"), "-", TEXT(Table3[[#This Row],[RL_H]],"0"), "-", TEXT(Table3[[#This Row],[OTL_H]]+Table3[[#This Row],[SOL_H]], "0"))</f>
        <v>13-9-2</v>
      </c>
      <c r="BI22" s="49" t="str">
        <f>_xlfn.CONCAT(TEXT(Table3[[#This Row],[W_A]], "0"), "-", TEXT(Table3[[#This Row],[RL_A]],"0"), "-", TEXT(Table3[[#This Row],[OTL_A]]+Table3[[#This Row],[SOL_A]], "0"))</f>
        <v>16-9-1</v>
      </c>
      <c r="BJ22" s="49">
        <f>((2*(Table3[[#This Row],[W_H]]))+Table3[[#This Row],[OTL_H]]+Table3[[#This Row],[SOL_H]])/(2*Table3[[#This Row],[GP_H]])</f>
        <v>0.58333333333333337</v>
      </c>
      <c r="BK22" s="49">
        <f>((2*(Table3[[#This Row],[W_A]]))+Table3[[#This Row],[OTL_A]]+Table3[[#This Row],[SOL_A]])/(2*Table3[[#This Row],[GP_A]])</f>
        <v>0.63461538461538458</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126.30007999999999</v>
      </c>
      <c r="BN22">
        <f>COUNTIFS(DataRegularSeason20242025!$D$3:$D$1315,$A22,DataRegularSeason20242025!$H$3:$H$1315, $A22)</f>
        <v>17</v>
      </c>
      <c r="BO22">
        <f>COUNTIFS(DataRegularSeason20242025!$E$3:$E$1315,$A22,DataRegularSeason20242025!$H$3:$H$1315, $A22)</f>
        <v>18</v>
      </c>
      <c r="BP22">
        <f t="shared" si="8"/>
        <v>35</v>
      </c>
      <c r="BQ22">
        <f t="shared" si="9"/>
        <v>9</v>
      </c>
      <c r="BR22">
        <f t="shared" si="10"/>
        <v>6</v>
      </c>
      <c r="BS22">
        <f t="shared" si="11"/>
        <v>15</v>
      </c>
      <c r="BV22">
        <v>2024</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26</v>
      </c>
      <c r="B23" t="s">
        <v>97</v>
      </c>
      <c r="C23" t="s">
        <v>95</v>
      </c>
      <c r="D23">
        <f>COUNTIFS(DataRegularSeason20242025!$D$3:$D$1315,$A23,DataRegularSeason20242025!$R$3:$R$1315,1,DataRegularSeason20242025!$N$3:$N$1315,1) + COUNTIFS(DataRegularSeason20242025!$E$3:$E$1315,$A23,DataRegularSeason20242025!$R$3:$R$1315,1,DataRegularSeason20242025!$N$3:$N$1315,1)</f>
        <v>44</v>
      </c>
      <c r="E23" s="15">
        <f>Table3[[#This Row],[Watched]]/Table3[[#This Row],[GP]]</f>
        <v>0.88</v>
      </c>
      <c r="F23">
        <f>COUNTIFS(DataRegularSeason20242025!$N$3:$N$1315,1,DataRegularSeason20242025!$D$3:$D$1315,$A23)</f>
        <v>24</v>
      </c>
      <c r="G23">
        <f>41-Table3[[#This Row],[GP_A]]</f>
        <v>17</v>
      </c>
      <c r="H23">
        <f>COUNTIFS(DataRegularSeason20242025!$E$3:$E$1315,$A23,DataRegularSeason20242025!$N$3:$N$1315,1)</f>
        <v>26</v>
      </c>
      <c r="I23">
        <f>41-Table3[[#This Row],[GP_H]]</f>
        <v>15</v>
      </c>
      <c r="J23">
        <f t="shared" si="0"/>
        <v>50</v>
      </c>
      <c r="K23">
        <f>82-Table3[[#This Row],[GP]]</f>
        <v>32</v>
      </c>
      <c r="L23">
        <f>COUNTIFS(DataRegularSeason20242025!$D$3:$D$1315,$A23, DataRegularSeason20242025!$L$3:$L$1315, $A23,DataRegularSeason20242025!$N$3:$N$1315,1)</f>
        <v>14</v>
      </c>
      <c r="M23">
        <f>COUNTIFS(DataRegularSeason20242025!$D$3:$D$1315,$A23, DataRegularSeason20242025!$L$3:$L$1315, $A23,DataRegularSeason20242025!$N$3:$N$1315,1,DataRegularSeason20242025!$M$3:$M$1315,"REG")</f>
        <v>14</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 t="shared" si="1"/>
        <v>10</v>
      </c>
      <c r="Q23">
        <f>COUNTIFS(DataRegularSeason20242025!$D$3:$D$1315,$A23, DataRegularSeason20242025!$S$3:$S$1315, $A23,DataRegularSeason20242025!$M$3:$M$1315,"REG")</f>
        <v>10</v>
      </c>
      <c r="R23">
        <f>COUNTIFS(DataRegularSeason20242025!$D$3:$D$1315,$A23, DataRegularSeason20242025!$S$3:$S$1315, $A23,DataRegularSeason20242025!$M$3:$M$1315,"OT")</f>
        <v>0</v>
      </c>
      <c r="S23">
        <f>COUNTIFS(DataRegularSeason20242025!$D$3:$D$1315,$A23, DataRegularSeason20242025!$S$3:$S$1315, $A23,DataRegularSeason20242025!$M$3:$M$1315,"SO")</f>
        <v>0</v>
      </c>
      <c r="T23">
        <f>COUNTIFS(DataRegularSeason20242025!$E$3:$E$1315,$A23, DataRegularSeason20242025!$L$3:$L$1315, $A23, DataRegularSeason20242025!$N$3:$N$1315,1)</f>
        <v>14</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4</v>
      </c>
      <c r="W23">
        <f>COUNTIFS(DataRegularSeason20242025!$E$3:$E$1315,$A23, DataRegularSeason20242025!$L$3:$L$1315, $A23,DataRegularSeason20242025!$N$3:$N$1315,1,DataRegularSeason20242025!$M$3:$M$1315,"SO")</f>
        <v>1</v>
      </c>
      <c r="X23">
        <f t="shared" si="2"/>
        <v>12</v>
      </c>
      <c r="Y23">
        <f>COUNTIFS(DataRegularSeason20242025!$E$3:$E$1315,$A23, DataRegularSeason20242025!$S$3:$S$1315, $A23,DataRegularSeason20242025!$M$3:$M$1315,"REG")</f>
        <v>10</v>
      </c>
      <c r="Z23">
        <f>COUNTIFS(DataRegularSeason20242025!$E$3:$E$1315,$A23, DataRegularSeason20242025!$S$3:$S$1315, $A23,DataRegularSeason20242025!$M$3:$M$1315,"OT")</f>
        <v>1</v>
      </c>
      <c r="AA23">
        <f>COUNTIFS(DataRegularSeason20242025!$E$3:$E$1315,$A23, DataRegularSeason20242025!$S$3:$S$1315, $A23,DataRegularSeason20242025!$M$3:$M$1315,"SO")</f>
        <v>1</v>
      </c>
      <c r="AB23">
        <f>Table3[[#This Row],[W_A]]+Table3[[#This Row],[W_H]]</f>
        <v>28</v>
      </c>
      <c r="AC23">
        <f>Table3[[#This Row],[L_A]]+Table3[[#This Row],[L_H]]</f>
        <v>22</v>
      </c>
      <c r="AD23">
        <f>Table3[[#This Row],[RW_A]]+Table3[[#This Row],[RW_H]]</f>
        <v>23</v>
      </c>
      <c r="AE23">
        <f>Table3[[#This Row],[RL_A]]+Table3[[#This Row],[RL_H]]</f>
        <v>20</v>
      </c>
      <c r="AF23">
        <f>Table3[[#This Row],[OTW_A]]+Table3[[#This Row],[OTW_H]]</f>
        <v>4</v>
      </c>
      <c r="AG23">
        <f>Table3[[#This Row],[OTL_A]]+Table3[[#This Row],[OTL_H]]</f>
        <v>1</v>
      </c>
      <c r="AH23">
        <f>Table3[[#This Row],[SOW_A]]+Table3[[#This Row],[SOW_H]]</f>
        <v>1</v>
      </c>
      <c r="AI23">
        <f>Table3[[#This Row],[SOL_A]]+Table3[[#This Row],[SOL_H]]</f>
        <v>1</v>
      </c>
      <c r="AJ23" s="20" t="str">
        <f>_xlfn.CONCAT(TEXT(Table3[[#This Row],[OTW]]+Table3[[#This Row],[SOW]], "0"), "-", TEXT(Table3[[#This Row],[OTL]]+Table3[[#This Row],[SOL]],"0"))</f>
        <v>5-2</v>
      </c>
      <c r="AK23">
        <f>(2*(Table3[[#This Row],[W_A]]+Table3[[#This Row],[W_H]]))+Table3[[#This Row],[OTL_A]]+Table3[[#This Row],[SOL_A]]+Table3[[#This Row],[OTL_H]]+Table3[[#This Row],[SOL_H]]</f>
        <v>58</v>
      </c>
      <c r="AL23">
        <f>(3*(Table3[[#This Row],[RW_A]]+Table3[[#This Row],[RW_H]]))+(2*(Table3[[#This Row],[OTW_A]]+Table3[[#This Row],[SOW_A]]+Table3[[#This Row],[OTW_H]]+Table3[[#This Row],[SOW_H]]))+Table3[[#This Row],[OTL_A]]+Table3[[#This Row],[SOL_A]]+Table3[[#This Row],[OTL_H]]+Table3[[#This Row],[SOL_H]]</f>
        <v>81</v>
      </c>
      <c r="AM23" s="15">
        <f>Table3[[#This Row],[PTS]]/(2*Table3[[#This Row],[GP]])</f>
        <v>0.57999999999999996</v>
      </c>
      <c r="AN23" s="15">
        <f>Table3[[#This Row],[PTS2]]/(3*Table3[[#This Row],[GP]])</f>
        <v>0.54</v>
      </c>
      <c r="AO23">
        <f>(2*Table3[[#This Row],[GR]])+Table3[[#This Row],[PTS]]</f>
        <v>122</v>
      </c>
      <c r="AP23">
        <f>(3*Table3[[#This Row],[GR]])+Table3[[#This Row],[PTS2]]</f>
        <v>177</v>
      </c>
      <c r="AQ23">
        <f>Table3[[#This Row],[PTS]]+(2 * Table3[[#This Row],[GR]] * Table3[[#This Row],[PTS%]])</f>
        <v>95.12</v>
      </c>
      <c r="AR23">
        <f>Table3[[#This Row],[PTS2]]+(3 * Table3[[#This Row],[GR]] * Table3[[#This Row],[PTS%2]])</f>
        <v>132.84</v>
      </c>
      <c r="AS23" s="20" t="str">
        <f>_xlfn.CONCAT(TEXT(Table3[[#This Row],[W]], "0"), "-", TEXT(Table3[[#This Row],[RL]],"0"), "-", TEXT(Table3[[#This Row],[OTL]]+Table3[[#This Row],[SOL]], "0"))</f>
        <v>28-20-2</v>
      </c>
      <c r="AT23">
        <f>COUNTIFS(DataRegularSeason20242025!$D$3:$D$1315,Table3[[#This Row],[Teams]],DataRegularSeason20242025!$K$3:$K$1315,0)</f>
        <v>1</v>
      </c>
      <c r="AU23">
        <f>SUMIF(DataRegularSeason20242025!$D$3:$D$1315,$A23, DataRegularSeason20242025!$J$3:$J$1315)</f>
        <v>76</v>
      </c>
      <c r="AV23">
        <f>SUMIF(DataRegularSeason20242025!$D$3:$D$1315,$A23, DataRegularSeason20242025!$K$3:$K$1315)</f>
        <v>68</v>
      </c>
      <c r="AW23">
        <f t="shared" si="3"/>
        <v>8</v>
      </c>
      <c r="AX23">
        <f>COUNTIFS(DataRegularSeason20242025!$E$3:$E$1315,Table3[[#This Row],[Teams]],DataRegularSeason20242025!$J$3:$J$1315,0)</f>
        <v>0</v>
      </c>
      <c r="AY23">
        <f>SUMIF(DataRegularSeason20242025!$E$3:$E$1315,$A23,DataRegularSeason20242025!$K$3:$K$1315)</f>
        <v>87</v>
      </c>
      <c r="AZ23">
        <f>SUMIF(DataRegularSeason20242025!$E$3:$E$1315,$A23,DataRegularSeason20242025!$J$3:$J$1315)</f>
        <v>88</v>
      </c>
      <c r="BA23">
        <f t="shared" si="4"/>
        <v>-1</v>
      </c>
      <c r="BB23">
        <f t="shared" si="5"/>
        <v>163</v>
      </c>
      <c r="BC23">
        <f t="shared" si="6"/>
        <v>156</v>
      </c>
      <c r="BD23">
        <f t="shared" si="7"/>
        <v>7</v>
      </c>
      <c r="BE23" s="17">
        <f>Table3[[#This Row],[GF]]/Table3[[#This Row],[GP]]</f>
        <v>3.26</v>
      </c>
      <c r="BF23" s="17">
        <f>Table3[[#This Row],[GA]]/Table3[[#This Row],[GP]]</f>
        <v>3.12</v>
      </c>
      <c r="BG23" s="17">
        <f>(Table3[[#This Row],[GF]]-Table3[[#This Row],[GA]])/Table3[[#This Row],[GP]]</f>
        <v>0.14000000000000001</v>
      </c>
      <c r="BH23" s="49" t="str">
        <f>_xlfn.CONCAT(TEXT(Table3[[#This Row],[W_H]], "0"), "-", TEXT(Table3[[#This Row],[RL_H]],"0"), "-", TEXT(Table3[[#This Row],[OTL_H]]+Table3[[#This Row],[SOL_H]], "0"))</f>
        <v>14-10-2</v>
      </c>
      <c r="BI23" s="49" t="str">
        <f>_xlfn.CONCAT(TEXT(Table3[[#This Row],[W_A]], "0"), "-", TEXT(Table3[[#This Row],[RL_A]],"0"), "-", TEXT(Table3[[#This Row],[OTL_A]]+Table3[[#This Row],[SOL_A]], "0"))</f>
        <v>14-10-0</v>
      </c>
      <c r="BJ23" s="49">
        <f>((2*(Table3[[#This Row],[W_H]]))+Table3[[#This Row],[OTL_H]]+Table3[[#This Row],[SOL_H]])/(2*Table3[[#This Row],[GP_H]])</f>
        <v>0.57692307692307687</v>
      </c>
      <c r="BK23" s="49">
        <f>((2*(Table3[[#This Row],[W_A]]))+Table3[[#This Row],[OTL_A]]+Table3[[#This Row],[SOL_A]])/(2*Table3[[#This Row],[GP_A]])</f>
        <v>0.58333333333333337</v>
      </c>
      <c r="BL23" s="21">
        <f>(Table3[[#This Row],[W]]*$CG$3)+(Table3[[#This Row],[L]]*$CG$4)+(Table3[[#This Row],[GF]]*$CG$5)+(Table3[[#This Row],[GA]]*$CG$6)</f>
        <v>60.65</v>
      </c>
      <c r="BM23" s="21">
        <f>(82*(((Table3[[#This Row],[PTS%]]*$CG$3)+((1-Table3[[#This Row],[PTS%]])*$CG$4)+(Table3[[#This Row],[GF]]*$CG$5)+(Table3[[#This Row],[GA]]*$CG$6))/Table3[[#This Row],[GP]])) + (Table3[[#This Row],[W]]*$CG$3)+(Table3[[#This Row],[L]]*$CG$4)+(Table3[[#This Row],[GF]]*$CG$5)+(Table3[[#This Row],[GA]]*$CG$6)</f>
        <v>127.01424</v>
      </c>
      <c r="BN23">
        <f>COUNTIFS(DataRegularSeason20242025!$D$3:$D$1315,$A23,DataRegularSeason20242025!$H$3:$H$1315, $A23)</f>
        <v>12</v>
      </c>
      <c r="BO23">
        <f>COUNTIFS(DataRegularSeason20242025!$E$3:$E$1315,$A23,DataRegularSeason20242025!$H$3:$H$1315, $A23)</f>
        <v>19</v>
      </c>
      <c r="BP23">
        <f t="shared" si="8"/>
        <v>31</v>
      </c>
      <c r="BQ23">
        <f t="shared" si="9"/>
        <v>12</v>
      </c>
      <c r="BR23">
        <f t="shared" si="10"/>
        <v>7</v>
      </c>
      <c r="BS23">
        <f t="shared" si="11"/>
        <v>19</v>
      </c>
      <c r="BV23">
        <v>2022</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30</v>
      </c>
      <c r="B24" t="s">
        <v>98</v>
      </c>
      <c r="C24" t="s">
        <v>81</v>
      </c>
      <c r="D24">
        <f>COUNTIFS(DataRegularSeason20242025!$D$3:$D$1315,$A24,DataRegularSeason20242025!$R$3:$R$1315,1,DataRegularSeason20242025!$N$3:$N$1315,1) + COUNTIFS(DataRegularSeason20242025!$E$3:$E$1315,$A24,DataRegularSeason20242025!$R$3:$R$1315,1,DataRegularSeason20242025!$N$3:$N$1315,1)</f>
        <v>14</v>
      </c>
      <c r="E24" s="15">
        <f>Table3[[#This Row],[Watched]]/Table3[[#This Row],[GP]]</f>
        <v>0.28000000000000003</v>
      </c>
      <c r="F24">
        <f>COUNTIFS(DataRegularSeason20242025!$N$3:$N$1315,1,DataRegularSeason20242025!$D$3:$D$1315,$A24)</f>
        <v>27</v>
      </c>
      <c r="G24">
        <f>41-Table3[[#This Row],[GP_A]]</f>
        <v>14</v>
      </c>
      <c r="H24">
        <f>COUNTIFS(DataRegularSeason20242025!$E$3:$E$1315,$A24,DataRegularSeason20242025!$N$3:$N$1315,1)</f>
        <v>23</v>
      </c>
      <c r="I24">
        <f>41-Table3[[#This Row],[GP_H]]</f>
        <v>18</v>
      </c>
      <c r="J24">
        <f t="shared" si="0"/>
        <v>50</v>
      </c>
      <c r="K24">
        <f>82-Table3[[#This Row],[GP]]</f>
        <v>32</v>
      </c>
      <c r="L24">
        <f>COUNTIFS(DataRegularSeason20242025!$D$3:$D$1315,$A24, DataRegularSeason20242025!$L$3:$L$1315, $A24,DataRegularSeason20242025!$N$3:$N$1315,1)</f>
        <v>12</v>
      </c>
      <c r="M24">
        <f>COUNTIFS(DataRegularSeason20242025!$D$3:$D$1315,$A24, DataRegularSeason20242025!$L$3:$L$1315, $A24,DataRegularSeason20242025!$N$3:$N$1315,1,DataRegularSeason20242025!$M$3:$M$1315,"REG")</f>
        <v>9</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15</v>
      </c>
      <c r="Q24">
        <f>COUNTIFS(DataRegularSeason20242025!$D$3:$D$1315,$A24, DataRegularSeason20242025!$S$3:$S$1315, $A24,DataRegularSeason20242025!$M$3:$M$1315,"REG")</f>
        <v>13</v>
      </c>
      <c r="R24">
        <f>COUNTIFS(DataRegularSeason20242025!$D$3:$D$1315,$A24, DataRegularSeason20242025!$S$3:$S$1315, $A24,DataRegularSeason20242025!$M$3:$M$1315,"OT")</f>
        <v>1</v>
      </c>
      <c r="S24">
        <f>COUNTIFS(DataRegularSeason20242025!$D$3:$D$1315,$A24, DataRegularSeason20242025!$S$3:$S$1315, $A24,DataRegularSeason20242025!$M$3:$M$1315,"SO")</f>
        <v>1</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1</v>
      </c>
      <c r="X24">
        <f t="shared" si="2"/>
        <v>9</v>
      </c>
      <c r="Y24">
        <f>COUNTIFS(DataRegularSeason20242025!$E$3:$E$1315,$A24, DataRegularSeason20242025!$S$3:$S$1315, $A24,DataRegularSeason20242025!$M$3:$M$1315,"REG")</f>
        <v>7</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26</v>
      </c>
      <c r="AC24">
        <f>Table3[[#This Row],[L_A]]+Table3[[#This Row],[L_H]]</f>
        <v>24</v>
      </c>
      <c r="AD24">
        <f>Table3[[#This Row],[RW_A]]+Table3[[#This Row],[RW_H]]</f>
        <v>20</v>
      </c>
      <c r="AE24">
        <f>Table3[[#This Row],[RL_A]]+Table3[[#This Row],[RL_H]]</f>
        <v>20</v>
      </c>
      <c r="AF24">
        <f>Table3[[#This Row],[OTW_A]]+Table3[[#This Row],[OTW_H]]</f>
        <v>5</v>
      </c>
      <c r="AG24">
        <f>Table3[[#This Row],[OTL_A]]+Table3[[#This Row],[OTL_H]]</f>
        <v>3</v>
      </c>
      <c r="AH24">
        <f>Table3[[#This Row],[SOW_A]]+Table3[[#This Row],[SOW_H]]</f>
        <v>1</v>
      </c>
      <c r="AI24">
        <f>Table3[[#This Row],[SOL_A]]+Table3[[#This Row],[SOL_H]]</f>
        <v>1</v>
      </c>
      <c r="AJ24" s="20" t="str">
        <f>_xlfn.CONCAT(TEXT(Table3[[#This Row],[OTW]]+Table3[[#This Row],[SOW]], "0"), "-", TEXT(Table3[[#This Row],[OTL]]+Table3[[#This Row],[SOL]],"0"))</f>
        <v>6-4</v>
      </c>
      <c r="AK24">
        <f>(2*(Table3[[#This Row],[W_A]]+Table3[[#This Row],[W_H]]))+Table3[[#This Row],[OTL_A]]+Table3[[#This Row],[SOL_A]]+Table3[[#This Row],[OTL_H]]+Table3[[#This Row],[SOL_H]]</f>
        <v>56</v>
      </c>
      <c r="AL24">
        <f>(3*(Table3[[#This Row],[RW_A]]+Table3[[#This Row],[RW_H]]))+(2*(Table3[[#This Row],[OTW_A]]+Table3[[#This Row],[SOW_A]]+Table3[[#This Row],[OTW_H]]+Table3[[#This Row],[SOW_H]]))+Table3[[#This Row],[OTL_A]]+Table3[[#This Row],[SOL_A]]+Table3[[#This Row],[OTL_H]]+Table3[[#This Row],[SOL_H]]</f>
        <v>76</v>
      </c>
      <c r="AM24" s="15">
        <f>Table3[[#This Row],[PTS]]/(2*Table3[[#This Row],[GP]])</f>
        <v>0.56000000000000005</v>
      </c>
      <c r="AN24" s="15">
        <f>Table3[[#This Row],[PTS2]]/(3*Table3[[#This Row],[GP]])</f>
        <v>0.50666666666666671</v>
      </c>
      <c r="AO24">
        <f>(2*Table3[[#This Row],[GR]])+Table3[[#This Row],[PTS]]</f>
        <v>120</v>
      </c>
      <c r="AP24">
        <f>(3*Table3[[#This Row],[GR]])+Table3[[#This Row],[PTS2]]</f>
        <v>172</v>
      </c>
      <c r="AQ24">
        <f>Table3[[#This Row],[PTS]]+(2 * Table3[[#This Row],[GR]] * Table3[[#This Row],[PTS%]])</f>
        <v>91.84</v>
      </c>
      <c r="AR24">
        <f>Table3[[#This Row],[PTS2]]+(3 * Table3[[#This Row],[GR]] * Table3[[#This Row],[PTS%2]])</f>
        <v>124.64</v>
      </c>
      <c r="AS24" s="20" t="str">
        <f>_xlfn.CONCAT(TEXT(Table3[[#This Row],[W]], "0"), "-", TEXT(Table3[[#This Row],[RL]],"0"), "-", TEXT(Table3[[#This Row],[OTL]]+Table3[[#This Row],[SOL]], "0"))</f>
        <v>26-20-4</v>
      </c>
      <c r="AT24">
        <f>COUNTIFS(DataRegularSeason20242025!$D$3:$D$1315,Table3[[#This Row],[Teams]],DataRegularSeason20242025!$K$3:$K$1315,0)</f>
        <v>6</v>
      </c>
      <c r="AU24">
        <f>SUMIF(DataRegularSeason20242025!$D$3:$D$1315,$A24, DataRegularSeason20242025!$J$3:$J$1315)</f>
        <v>63</v>
      </c>
      <c r="AV24">
        <f>SUMIF(DataRegularSeason20242025!$D$3:$D$1315,$A24, DataRegularSeason20242025!$K$3:$K$1315)</f>
        <v>73</v>
      </c>
      <c r="AW24">
        <f t="shared" si="3"/>
        <v>-10</v>
      </c>
      <c r="AX24">
        <f>COUNTIFS(DataRegularSeason20242025!$E$3:$E$1315,Table3[[#This Row],[Teams]],DataRegularSeason20242025!$J$3:$J$1315,0)</f>
        <v>1</v>
      </c>
      <c r="AY24">
        <f>SUMIF(DataRegularSeason20242025!$E$3:$E$1315,$A24,DataRegularSeason20242025!$K$3:$K$1315)</f>
        <v>74</v>
      </c>
      <c r="AZ24">
        <f>SUMIF(DataRegularSeason20242025!$E$3:$E$1315,$A24,DataRegularSeason20242025!$J$3:$J$1315)</f>
        <v>63</v>
      </c>
      <c r="BA24">
        <f t="shared" si="4"/>
        <v>11</v>
      </c>
      <c r="BB24">
        <f t="shared" si="5"/>
        <v>137</v>
      </c>
      <c r="BC24">
        <f t="shared" si="6"/>
        <v>136</v>
      </c>
      <c r="BD24">
        <f t="shared" si="7"/>
        <v>1</v>
      </c>
      <c r="BE24" s="17">
        <f>Table3[[#This Row],[GF]]/Table3[[#This Row],[GP]]</f>
        <v>2.74</v>
      </c>
      <c r="BF24" s="17">
        <f>Table3[[#This Row],[GA]]/Table3[[#This Row],[GP]]</f>
        <v>2.72</v>
      </c>
      <c r="BG24" s="17">
        <f>(Table3[[#This Row],[GF]]-Table3[[#This Row],[GA]])/Table3[[#This Row],[GP]]</f>
        <v>0.02</v>
      </c>
      <c r="BH24" s="49" t="str">
        <f>_xlfn.CONCAT(TEXT(Table3[[#This Row],[W_H]], "0"), "-", TEXT(Table3[[#This Row],[RL_H]],"0"), "-", TEXT(Table3[[#This Row],[OTL_H]]+Table3[[#This Row],[SOL_H]], "0"))</f>
        <v>14-7-2</v>
      </c>
      <c r="BI24" s="49" t="str">
        <f>_xlfn.CONCAT(TEXT(Table3[[#This Row],[W_A]], "0"), "-", TEXT(Table3[[#This Row],[RL_A]],"0"), "-", TEXT(Table3[[#This Row],[OTL_A]]+Table3[[#This Row],[SOL_A]], "0"))</f>
        <v>12-13-2</v>
      </c>
      <c r="BJ24" s="49">
        <f>((2*(Table3[[#This Row],[W_H]]))+Table3[[#This Row],[OTL_H]]+Table3[[#This Row],[SOL_H]])/(2*Table3[[#This Row],[GP_H]])</f>
        <v>0.65217391304347827</v>
      </c>
      <c r="BK24" s="49">
        <f>((2*(Table3[[#This Row],[W_A]]))+Table3[[#This Row],[OTL_A]]+Table3[[#This Row],[SOL_A]])/(2*Table3[[#This Row],[GP_A]])</f>
        <v>0.48148148148148145</v>
      </c>
      <c r="BL24" s="21">
        <f>(Table3[[#This Row],[W]]*$CG$3)+(Table3[[#This Row],[L]]*$CG$4)+(Table3[[#This Row],[GF]]*$CG$5)+(Table3[[#This Row],[GA]]*$CG$6)</f>
        <v>54.35</v>
      </c>
      <c r="BM24" s="21">
        <f>(82*(((Table3[[#This Row],[PTS%]]*$CG$3)+((1-Table3[[#This Row],[PTS%]])*$CG$4)+(Table3[[#This Row],[GF]]*$CG$5)+(Table3[[#This Row],[GA]]*$CG$6))/Table3[[#This Row],[GP]])) + (Table3[[#This Row],[W]]*$CG$3)+(Table3[[#This Row],[L]]*$CG$4)+(Table3[[#This Row],[GF]]*$CG$5)+(Table3[[#This Row],[GA]]*$CG$6)</f>
        <v>111.03167999999999</v>
      </c>
      <c r="BN24">
        <f>COUNTIFS(DataRegularSeason20242025!$D$3:$D$1315,$A24,DataRegularSeason20242025!$H$3:$H$1315, $A24)</f>
        <v>10</v>
      </c>
      <c r="BO24">
        <f>COUNTIFS(DataRegularSeason20242025!$E$3:$E$1315,$A24,DataRegularSeason20242025!$H$3:$H$1315, $A24)</f>
        <v>12</v>
      </c>
      <c r="BP24">
        <f t="shared" si="8"/>
        <v>22</v>
      </c>
      <c r="BQ24">
        <f t="shared" si="9"/>
        <v>17</v>
      </c>
      <c r="BR24">
        <f t="shared" si="10"/>
        <v>11</v>
      </c>
      <c r="BS24">
        <f t="shared" si="11"/>
        <v>28</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36</v>
      </c>
      <c r="B25" t="s">
        <v>98</v>
      </c>
      <c r="C25" t="s">
        <v>99</v>
      </c>
      <c r="D25">
        <f>COUNTIFS(DataRegularSeason20242025!$D$3:$D$1315,$A25,DataRegularSeason20242025!$R$3:$R$1315,1,DataRegularSeason20242025!$N$3:$N$1315,1) + COUNTIFS(DataRegularSeason20242025!$E$3:$E$1315,$A25,DataRegularSeason20242025!$R$3:$R$1315,1,DataRegularSeason20242025!$N$3:$N$1315,1)</f>
        <v>41</v>
      </c>
      <c r="E25" s="15">
        <f>Table3[[#This Row],[Watched]]/Table3[[#This Row],[GP]]</f>
        <v>0.82</v>
      </c>
      <c r="F25">
        <f>COUNTIFS(DataRegularSeason20242025!$N$3:$N$1315,1,DataRegularSeason20242025!$D$3:$D$1315,$A25)</f>
        <v>25</v>
      </c>
      <c r="G25">
        <f>41-Table3[[#This Row],[GP_A]]</f>
        <v>16</v>
      </c>
      <c r="H25">
        <f>COUNTIFS(DataRegularSeason20242025!$E$3:$E$1315,$A25,DataRegularSeason20242025!$N$3:$N$1315,1)</f>
        <v>25</v>
      </c>
      <c r="I25">
        <f>41-Table3[[#This Row],[GP_H]]</f>
        <v>16</v>
      </c>
      <c r="J25">
        <f t="shared" si="0"/>
        <v>50</v>
      </c>
      <c r="K25">
        <f>82-Table3[[#This Row],[GP]]</f>
        <v>32</v>
      </c>
      <c r="L25">
        <f>COUNTIFS(DataRegularSeason20242025!$D$3:$D$1315,$A25, DataRegularSeason20242025!$L$3:$L$1315, $A25,DataRegularSeason20242025!$N$3:$N$1315,1)</f>
        <v>7</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0</v>
      </c>
      <c r="O25">
        <f>COUNTIFS(DataRegularSeason20242025!$D$3:$D$1315,$A25, DataRegularSeason20242025!$L$3:$L$1315, $A25,DataRegularSeason20242025!$N$3:$N$1315,1,DataRegularSeason20242025!$M$3:$M$1315,"SO")</f>
        <v>1</v>
      </c>
      <c r="P25">
        <f t="shared" si="1"/>
        <v>18</v>
      </c>
      <c r="Q25">
        <f>COUNTIFS(DataRegularSeason20242025!$D$3:$D$1315,$A25, DataRegularSeason20242025!$S$3:$S$1315, $A25,DataRegularSeason20242025!$M$3:$M$1315,"REG")</f>
        <v>14</v>
      </c>
      <c r="R25">
        <f>COUNTIFS(DataRegularSeason20242025!$D$3:$D$1315,$A25, DataRegularSeason20242025!$S$3:$S$1315, $A25,DataRegularSeason20242025!$M$3:$M$1315,"OT")</f>
        <v>3</v>
      </c>
      <c r="S25">
        <f>COUNTIFS(DataRegularSeason20242025!$D$3:$D$1315,$A25, DataRegularSeason20242025!$S$3:$S$1315, $A25,DataRegularSeason20242025!$M$3:$M$1315,"SO")</f>
        <v>1</v>
      </c>
      <c r="T25">
        <f>COUNTIFS(DataRegularSeason20242025!$E$3:$E$1315,$A25, DataRegularSeason20242025!$L$3:$L$1315, $A25, DataRegularSeason20242025!$N$3:$N$1315,1)</f>
        <v>17</v>
      </c>
      <c r="U25">
        <f>COUNTIFS(DataRegularSeason20242025!$E$3:$E$1315,$A25, DataRegularSeason20242025!$L$3:$L$1315, $A25,DataRegularSeason20242025!$N$3:$N$1315,1,DataRegularSeason20242025!$M$3:$M$1315,"REG")</f>
        <v>12</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3</v>
      </c>
      <c r="X25">
        <f t="shared" si="2"/>
        <v>8</v>
      </c>
      <c r="Y25">
        <f>COUNTIFS(DataRegularSeason20242025!$E$3:$E$1315,$A25, DataRegularSeason20242025!$S$3:$S$1315, $A25,DataRegularSeason20242025!$M$3:$M$1315,"REG")</f>
        <v>5</v>
      </c>
      <c r="Z25">
        <f>COUNTIFS(DataRegularSeason20242025!$E$3:$E$1315,$A25, DataRegularSeason20242025!$S$3:$S$1315, $A25,DataRegularSeason20242025!$M$3:$M$1315,"OT")</f>
        <v>3</v>
      </c>
      <c r="AA25">
        <f>COUNTIFS(DataRegularSeason20242025!$E$3:$E$1315,$A25, DataRegularSeason20242025!$S$3:$S$1315, $A25,DataRegularSeason20242025!$M$3:$M$1315,"SO")</f>
        <v>0</v>
      </c>
      <c r="AB25">
        <f>Table3[[#This Row],[W_A]]+Table3[[#This Row],[W_H]]</f>
        <v>24</v>
      </c>
      <c r="AC25">
        <f>Table3[[#This Row],[L_A]]+Table3[[#This Row],[L_H]]</f>
        <v>26</v>
      </c>
      <c r="AD25">
        <f>Table3[[#This Row],[RW_A]]+Table3[[#This Row],[RW_H]]</f>
        <v>18</v>
      </c>
      <c r="AE25">
        <f>Table3[[#This Row],[RL_A]]+Table3[[#This Row],[RL_H]]</f>
        <v>19</v>
      </c>
      <c r="AF25">
        <f>Table3[[#This Row],[OTW_A]]+Table3[[#This Row],[OTW_H]]</f>
        <v>2</v>
      </c>
      <c r="AG25">
        <f>Table3[[#This Row],[OTL_A]]+Table3[[#This Row],[OTL_H]]</f>
        <v>6</v>
      </c>
      <c r="AH25">
        <f>Table3[[#This Row],[SOW_A]]+Table3[[#This Row],[SOW_H]]</f>
        <v>4</v>
      </c>
      <c r="AI25">
        <f>Table3[[#This Row],[SOL_A]]+Table3[[#This Row],[SOL_H]]</f>
        <v>1</v>
      </c>
      <c r="AJ25" s="20" t="str">
        <f>_xlfn.CONCAT(TEXT(Table3[[#This Row],[OTW]]+Table3[[#This Row],[SOW]], "0"), "-", TEXT(Table3[[#This Row],[OTL]]+Table3[[#This Row],[SOL]],"0"))</f>
        <v>6-7</v>
      </c>
      <c r="AK25">
        <f>(2*(Table3[[#This Row],[W_A]]+Table3[[#This Row],[W_H]]))+Table3[[#This Row],[OTL_A]]+Table3[[#This Row],[SOL_A]]+Table3[[#This Row],[OTL_H]]+Table3[[#This Row],[SOL_H]]</f>
        <v>55</v>
      </c>
      <c r="AL25">
        <f>(3*(Table3[[#This Row],[RW_A]]+Table3[[#This Row],[RW_H]]))+(2*(Table3[[#This Row],[OTW_A]]+Table3[[#This Row],[SOW_A]]+Table3[[#This Row],[OTW_H]]+Table3[[#This Row],[SOW_H]]))+Table3[[#This Row],[OTL_A]]+Table3[[#This Row],[SOL_A]]+Table3[[#This Row],[OTL_H]]+Table3[[#This Row],[SOL_H]]</f>
        <v>73</v>
      </c>
      <c r="AM25" s="15">
        <f>Table3[[#This Row],[PTS]]/(2*Table3[[#This Row],[GP]])</f>
        <v>0.55000000000000004</v>
      </c>
      <c r="AN25" s="15">
        <f>Table3[[#This Row],[PTS2]]/(3*Table3[[#This Row],[GP]])</f>
        <v>0.48666666666666669</v>
      </c>
      <c r="AO25">
        <f>(2*Table3[[#This Row],[GR]])+Table3[[#This Row],[PTS]]</f>
        <v>119</v>
      </c>
      <c r="AP25">
        <f>(3*Table3[[#This Row],[GR]])+Table3[[#This Row],[PTS2]]</f>
        <v>169</v>
      </c>
      <c r="AQ25">
        <f>Table3[[#This Row],[PTS]]+(2 * Table3[[#This Row],[GR]] * Table3[[#This Row],[PTS%]])</f>
        <v>90.2</v>
      </c>
      <c r="AR25">
        <f>Table3[[#This Row],[PTS2]]+(3 * Table3[[#This Row],[GR]] * Table3[[#This Row],[PTS%2]])</f>
        <v>119.72</v>
      </c>
      <c r="AS25" s="20" t="str">
        <f>_xlfn.CONCAT(TEXT(Table3[[#This Row],[W]], "0"), "-", TEXT(Table3[[#This Row],[RL]],"0"), "-", TEXT(Table3[[#This Row],[OTL]]+Table3[[#This Row],[SOL]], "0"))</f>
        <v>24-19-7</v>
      </c>
      <c r="AT25">
        <f>COUNTIFS(DataRegularSeason20242025!$D$3:$D$1315,Table3[[#This Row],[Teams]],DataRegularSeason20242025!$K$3:$K$1315,0)</f>
        <v>0</v>
      </c>
      <c r="AU25">
        <f>SUMIF(DataRegularSeason20242025!$D$3:$D$1315,$A25, DataRegularSeason20242025!$J$3:$J$1315)</f>
        <v>65</v>
      </c>
      <c r="AV25">
        <f>SUMIF(DataRegularSeason20242025!$D$3:$D$1315,$A25, DataRegularSeason20242025!$K$3:$K$1315)</f>
        <v>92</v>
      </c>
      <c r="AW25">
        <f t="shared" si="3"/>
        <v>-27</v>
      </c>
      <c r="AX25">
        <f>COUNTIFS(DataRegularSeason20242025!$E$3:$E$1315,Table3[[#This Row],[Teams]],DataRegularSeason20242025!$J$3:$J$1315,0)</f>
        <v>1</v>
      </c>
      <c r="AY25">
        <f>SUMIF(DataRegularSeason20242025!$E$3:$E$1315,$A25,DataRegularSeason20242025!$K$3:$K$1315)</f>
        <v>104</v>
      </c>
      <c r="AZ25">
        <f>SUMIF(DataRegularSeason20242025!$E$3:$E$1315,$A25,DataRegularSeason20242025!$J$3:$J$1315)</f>
        <v>76</v>
      </c>
      <c r="BA25">
        <f t="shared" si="4"/>
        <v>28</v>
      </c>
      <c r="BB25">
        <f t="shared" si="5"/>
        <v>169</v>
      </c>
      <c r="BC25">
        <f t="shared" si="6"/>
        <v>168</v>
      </c>
      <c r="BD25">
        <f t="shared" si="7"/>
        <v>1</v>
      </c>
      <c r="BE25" s="17">
        <f>Table3[[#This Row],[GF]]/Table3[[#This Row],[GP]]</f>
        <v>3.38</v>
      </c>
      <c r="BF25" s="17">
        <f>Table3[[#This Row],[GA]]/Table3[[#This Row],[GP]]</f>
        <v>3.36</v>
      </c>
      <c r="BG25" s="17">
        <f>(Table3[[#This Row],[GF]]-Table3[[#This Row],[GA]])/Table3[[#This Row],[GP]]</f>
        <v>0.02</v>
      </c>
      <c r="BH25" s="49" t="str">
        <f>_xlfn.CONCAT(TEXT(Table3[[#This Row],[W_H]], "0"), "-", TEXT(Table3[[#This Row],[RL_H]],"0"), "-", TEXT(Table3[[#This Row],[OTL_H]]+Table3[[#This Row],[SOL_H]], "0"))</f>
        <v>17-5-3</v>
      </c>
      <c r="BI25" s="49" t="str">
        <f>_xlfn.CONCAT(TEXT(Table3[[#This Row],[W_A]], "0"), "-", TEXT(Table3[[#This Row],[RL_A]],"0"), "-", TEXT(Table3[[#This Row],[OTL_A]]+Table3[[#This Row],[SOL_A]], "0"))</f>
        <v>7-14-4</v>
      </c>
      <c r="BJ25" s="49">
        <f>((2*(Table3[[#This Row],[W_H]]))+Table3[[#This Row],[OTL_H]]+Table3[[#This Row],[SOL_H]])/(2*Table3[[#This Row],[GP_H]])</f>
        <v>0.74</v>
      </c>
      <c r="BK25" s="49">
        <f>((2*(Table3[[#This Row],[W_A]]))+Table3[[#This Row],[OTL_A]]+Table3[[#This Row],[SOL_A]])/(2*Table3[[#This Row],[GP_A]])</f>
        <v>0.36</v>
      </c>
      <c r="BL25" s="21">
        <f>(Table3[[#This Row],[W]]*$CG$3)+(Table3[[#This Row],[L]]*$CG$4)+(Table3[[#This Row],[GF]]*$CG$5)+(Table3[[#This Row],[GA]]*$CG$6)</f>
        <v>61.95</v>
      </c>
      <c r="BM25" s="21">
        <f>(82*(((Table3[[#This Row],[PTS%]]*$CG$3)+((1-Table3[[#This Row],[PTS%]])*$CG$4)+(Table3[[#This Row],[GF]]*$CG$5)+(Table3[[#This Row],[GA]]*$CG$6))/Table3[[#This Row],[GP]])) + (Table3[[#This Row],[W]]*$CG$3)+(Table3[[#This Row],[L]]*$CG$4)+(Table3[[#This Row],[GF]]*$CG$5)+(Table3[[#This Row],[GA]]*$CG$6)</f>
        <v>131.7484</v>
      </c>
      <c r="BN25">
        <f>COUNTIFS(DataRegularSeason20242025!$D$3:$D$1315,$A25,DataRegularSeason20242025!$H$3:$H$1315, $A25)</f>
        <v>8</v>
      </c>
      <c r="BO25">
        <f>COUNTIFS(DataRegularSeason20242025!$E$3:$E$1315,$A25,DataRegularSeason20242025!$H$3:$H$1315, $A25)</f>
        <v>14</v>
      </c>
      <c r="BP25">
        <f t="shared" si="8"/>
        <v>22</v>
      </c>
      <c r="BQ25">
        <f t="shared" si="9"/>
        <v>17</v>
      </c>
      <c r="BR25">
        <f t="shared" si="10"/>
        <v>11</v>
      </c>
      <c r="BS25">
        <f t="shared" si="11"/>
        <v>28</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42</v>
      </c>
      <c r="E26" s="15">
        <f>Table3[[#This Row],[Watched]]/Table3[[#This Row],[GP]]</f>
        <v>0.84</v>
      </c>
      <c r="F26">
        <f>COUNTIFS(DataRegularSeason20242025!$N$3:$N$1315,1,DataRegularSeason20242025!$D$3:$D$1315,$A26)</f>
        <v>26</v>
      </c>
      <c r="G26">
        <f>41-Table3[[#This Row],[GP_A]]</f>
        <v>15</v>
      </c>
      <c r="H26">
        <f>COUNTIFS(DataRegularSeason20242025!$E$3:$E$1315,$A26,DataRegularSeason20242025!$N$3:$N$1315,1)</f>
        <v>24</v>
      </c>
      <c r="I26">
        <f>41-Table3[[#This Row],[GP_H]]</f>
        <v>17</v>
      </c>
      <c r="J26">
        <f t="shared" si="0"/>
        <v>50</v>
      </c>
      <c r="K26">
        <f>82-Table3[[#This Row],[GP]]</f>
        <v>32</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 t="shared" si="1"/>
        <v>14</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13</v>
      </c>
      <c r="Y26">
        <f>COUNTIFS(DataRegularSeason20242025!$E$3:$E$1315,$A26, DataRegularSeason20242025!$S$3:$S$1315, $A26,DataRegularSeason20242025!$M$3:$M$1315,"REG")</f>
        <v>12</v>
      </c>
      <c r="Z26">
        <f>COUNTIFS(DataRegularSeason20242025!$E$3:$E$1315,$A26, DataRegularSeason20242025!$S$3:$S$1315, $A26,DataRegularSeason20242025!$M$3:$M$1315,"OT")</f>
        <v>1</v>
      </c>
      <c r="AA26">
        <f>COUNTIFS(DataRegularSeason20242025!$E$3:$E$1315,$A26, DataRegularSeason20242025!$S$3:$S$1315, $A26,DataRegularSeason20242025!$M$3:$M$1315,"SO")</f>
        <v>0</v>
      </c>
      <c r="AB26">
        <f>Table3[[#This Row],[W_A]]+Table3[[#This Row],[W_H]]</f>
        <v>23</v>
      </c>
      <c r="AC26">
        <f>Table3[[#This Row],[L_A]]+Table3[[#This Row],[L_H]]</f>
        <v>27</v>
      </c>
      <c r="AD26">
        <f>Table3[[#This Row],[RW_A]]+Table3[[#This Row],[RW_H]]</f>
        <v>16</v>
      </c>
      <c r="AE26">
        <f>Table3[[#This Row],[RL_A]]+Table3[[#This Row],[RL_H]]</f>
        <v>23</v>
      </c>
      <c r="AF26">
        <f>Table3[[#This Row],[OTW_A]]+Table3[[#This Row],[OTW_H]]</f>
        <v>5</v>
      </c>
      <c r="AG26">
        <f>Table3[[#This Row],[OTL_A]]+Table3[[#This Row],[OTL_H]]</f>
        <v>4</v>
      </c>
      <c r="AH26">
        <f>Table3[[#This Row],[SOW_A]]+Table3[[#This Row],[SOW_H]]</f>
        <v>2</v>
      </c>
      <c r="AI26">
        <f>Table3[[#This Row],[SOL_A]]+Table3[[#This Row],[SOL_H]]</f>
        <v>0</v>
      </c>
      <c r="AJ26" s="20" t="str">
        <f>_xlfn.CONCAT(TEXT(Table3[[#This Row],[OTW]]+Table3[[#This Row],[SOW]], "0"), "-", TEXT(Table3[[#This Row],[OTL]]+Table3[[#This Row],[SOL]],"0"))</f>
        <v>7-4</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66</v>
      </c>
      <c r="AM26" s="15">
        <f>Table3[[#This Row],[PTS]]/(2*Table3[[#This Row],[GP]])</f>
        <v>0.5</v>
      </c>
      <c r="AN26" s="15">
        <f>Table3[[#This Row],[PTS2]]/(3*Table3[[#This Row],[GP]])</f>
        <v>0.44</v>
      </c>
      <c r="AO26">
        <f>(2*Table3[[#This Row],[GR]])+Table3[[#This Row],[PTS]]</f>
        <v>114</v>
      </c>
      <c r="AP26">
        <f>(3*Table3[[#This Row],[GR]])+Table3[[#This Row],[PTS2]]</f>
        <v>162</v>
      </c>
      <c r="AQ26">
        <f>Table3[[#This Row],[PTS]]+(2 * Table3[[#This Row],[GR]] * Table3[[#This Row],[PTS%]])</f>
        <v>82</v>
      </c>
      <c r="AR26">
        <f>Table3[[#This Row],[PTS2]]+(3 * Table3[[#This Row],[GR]] * Table3[[#This Row],[PTS%2]])</f>
        <v>108.24000000000001</v>
      </c>
      <c r="AS26" s="20" t="str">
        <f>_xlfn.CONCAT(TEXT(Table3[[#This Row],[W]], "0"), "-", TEXT(Table3[[#This Row],[RL]],"0"), "-", TEXT(Table3[[#This Row],[OTL]]+Table3[[#This Row],[SOL]], "0"))</f>
        <v>23-23-4</v>
      </c>
      <c r="AT26">
        <f>COUNTIFS(DataRegularSeason20242025!$D$3:$D$1315,Table3[[#This Row],[Teams]],DataRegularSeason20242025!$K$3:$K$1315,0)</f>
        <v>2</v>
      </c>
      <c r="AU26">
        <f>SUMIF(DataRegularSeason20242025!$D$3:$D$1315,$A26, DataRegularSeason20242025!$J$3:$J$1315)</f>
        <v>78</v>
      </c>
      <c r="AV26">
        <f>SUMIF(DataRegularSeason20242025!$D$3:$D$1315,$A26, DataRegularSeason20242025!$K$3:$K$1315)</f>
        <v>81</v>
      </c>
      <c r="AW26">
        <f t="shared" si="3"/>
        <v>-3</v>
      </c>
      <c r="AX26">
        <f>COUNTIFS(DataRegularSeason20242025!$E$3:$E$1315,Table3[[#This Row],[Teams]],DataRegularSeason20242025!$J$3:$J$1315,0)</f>
        <v>2</v>
      </c>
      <c r="AY26">
        <f>SUMIF(DataRegularSeason20242025!$E$3:$E$1315,$A26,DataRegularSeason20242025!$K$3:$K$1315)</f>
        <v>62</v>
      </c>
      <c r="AZ26">
        <f>SUMIF(DataRegularSeason20242025!$E$3:$E$1315,$A26,DataRegularSeason20242025!$J$3:$J$1315)</f>
        <v>68</v>
      </c>
      <c r="BA26">
        <f t="shared" si="4"/>
        <v>-6</v>
      </c>
      <c r="BB26">
        <f t="shared" si="5"/>
        <v>140</v>
      </c>
      <c r="BC26">
        <f t="shared" si="6"/>
        <v>149</v>
      </c>
      <c r="BD26">
        <f t="shared" si="7"/>
        <v>-9</v>
      </c>
      <c r="BE26" s="17">
        <f>Table3[[#This Row],[GF]]/Table3[[#This Row],[GP]]</f>
        <v>2.8</v>
      </c>
      <c r="BF26" s="17">
        <f>Table3[[#This Row],[GA]]/Table3[[#This Row],[GP]]</f>
        <v>2.98</v>
      </c>
      <c r="BG26" s="17">
        <f>(Table3[[#This Row],[GF]]-Table3[[#This Row],[GA]])/Table3[[#This Row],[GP]]</f>
        <v>-0.18</v>
      </c>
      <c r="BH26" s="49" t="str">
        <f>_xlfn.CONCAT(TEXT(Table3[[#This Row],[W_H]], "0"), "-", TEXT(Table3[[#This Row],[RL_H]],"0"), "-", TEXT(Table3[[#This Row],[OTL_H]]+Table3[[#This Row],[SOL_H]], "0"))</f>
        <v>11-12-1</v>
      </c>
      <c r="BI26" s="49" t="str">
        <f>_xlfn.CONCAT(TEXT(Table3[[#This Row],[W_A]], "0"), "-", TEXT(Table3[[#This Row],[RL_A]],"0"), "-", TEXT(Table3[[#This Row],[OTL_A]]+Table3[[#This Row],[SOL_A]], "0"))</f>
        <v>12-11-3</v>
      </c>
      <c r="BJ26" s="49">
        <f>((2*(Table3[[#This Row],[W_H]]))+Table3[[#This Row],[OTL_H]]+Table3[[#This Row],[SOL_H]])/(2*Table3[[#This Row],[GP_H]])</f>
        <v>0.47916666666666669</v>
      </c>
      <c r="BK26" s="49">
        <f>((2*(Table3[[#This Row],[W_A]]))+Table3[[#This Row],[OTL_A]]+Table3[[#This Row],[SOL_A]])/(2*Table3[[#This Row],[GP_A]])</f>
        <v>0.51923076923076927</v>
      </c>
      <c r="BL26" s="21">
        <f>(Table3[[#This Row],[W]]*$CG$3)+(Table3[[#This Row],[L]]*$CG$4)+(Table3[[#This Row],[GF]]*$CG$5)+(Table3[[#This Row],[GA]]*$CG$6)</f>
        <v>55.5</v>
      </c>
      <c r="BM26" s="21">
        <f>(82*(((Table3[[#This Row],[PTS%]]*$CG$3)+((1-Table3[[#This Row],[PTS%]])*$CG$4)+(Table3[[#This Row],[GF]]*$CG$5)+(Table3[[#This Row],[GA]]*$CG$6))/Table3[[#This Row],[GP]])) + (Table3[[#This Row],[W]]*$CG$3)+(Table3[[#This Row],[L]]*$CG$4)+(Table3[[#This Row],[GF]]*$CG$5)+(Table3[[#This Row],[GA]]*$CG$6)</f>
        <v>115.032</v>
      </c>
      <c r="BN26">
        <f>COUNTIFS(DataRegularSeason20242025!$D$3:$D$1315,$A26,DataRegularSeason20242025!$H$3:$H$1315, $A26)</f>
        <v>11</v>
      </c>
      <c r="BO26">
        <f>COUNTIFS(DataRegularSeason20242025!$E$3:$E$1315,$A26,DataRegularSeason20242025!$H$3:$H$1315, $A26)</f>
        <v>13</v>
      </c>
      <c r="BP26">
        <f t="shared" si="8"/>
        <v>24</v>
      </c>
      <c r="BQ26">
        <f t="shared" si="9"/>
        <v>15</v>
      </c>
      <c r="BR26">
        <f t="shared" si="10"/>
        <v>11</v>
      </c>
      <c r="BS26">
        <f t="shared" si="11"/>
        <v>26</v>
      </c>
      <c r="BV26">
        <v>2019</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45</v>
      </c>
      <c r="B27" t="s">
        <v>98</v>
      </c>
      <c r="C27" t="s">
        <v>99</v>
      </c>
      <c r="D27">
        <f>COUNTIFS(DataRegularSeason20242025!$D$3:$D$1315,$A27,DataRegularSeason20242025!$R$3:$R$1315,1,DataRegularSeason20242025!$N$3:$N$1315,1) + COUNTIFS(DataRegularSeason20242025!$E$3:$E$1315,$A27,DataRegularSeason20242025!$R$3:$R$1315,1,DataRegularSeason20242025!$N$3:$N$1315,1)</f>
        <v>44</v>
      </c>
      <c r="E27" s="15">
        <f>Table3[[#This Row],[Watched]]/Table3[[#This Row],[GP]]</f>
        <v>0.88</v>
      </c>
      <c r="F27">
        <f>COUNTIFS(DataRegularSeason20242025!$N$3:$N$1315,1,DataRegularSeason20242025!$D$3:$D$1315,$A27)</f>
        <v>27</v>
      </c>
      <c r="G27">
        <f>41-Table3[[#This Row],[GP_A]]</f>
        <v>14</v>
      </c>
      <c r="H27">
        <f>COUNTIFS(DataRegularSeason20242025!$E$3:$E$1315,$A27,DataRegularSeason20242025!$N$3:$N$1315,1)</f>
        <v>23</v>
      </c>
      <c r="I27">
        <f>41-Table3[[#This Row],[GP_H]]</f>
        <v>18</v>
      </c>
      <c r="J27">
        <f t="shared" si="0"/>
        <v>50</v>
      </c>
      <c r="K27">
        <f>82-Table3[[#This Row],[GP]]</f>
        <v>32</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2</v>
      </c>
      <c r="P27">
        <f t="shared" si="1"/>
        <v>16</v>
      </c>
      <c r="Q27">
        <f>COUNTIFS(DataRegularSeason20242025!$D$3:$D$1315,$A27, DataRegularSeason20242025!$S$3:$S$1315, $A27,DataRegularSeason20242025!$M$3:$M$1315,"REG")</f>
        <v>11</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 t="shared" si="2"/>
        <v>12</v>
      </c>
      <c r="Y27">
        <f>COUNTIFS(DataRegularSeason20242025!$E$3:$E$1315,$A27, DataRegularSeason20242025!$S$3:$S$1315, $A27,DataRegularSeason20242025!$M$3:$M$1315,"REG")</f>
        <v>11</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22</v>
      </c>
      <c r="AC27">
        <f>Table3[[#This Row],[L_A]]+Table3[[#This Row],[L_H]]</f>
        <v>28</v>
      </c>
      <c r="AD27">
        <f>Table3[[#This Row],[RW_A]]+Table3[[#This Row],[RW_H]]</f>
        <v>13</v>
      </c>
      <c r="AE27">
        <f>Table3[[#This Row],[RL_A]]+Table3[[#This Row],[RL_H]]</f>
        <v>22</v>
      </c>
      <c r="AF27">
        <f>Table3[[#This Row],[OTW_A]]+Table3[[#This Row],[OTW_H]]</f>
        <v>6</v>
      </c>
      <c r="AG27">
        <f>Table3[[#This Row],[OTL_A]]+Table3[[#This Row],[OTL_H]]</f>
        <v>3</v>
      </c>
      <c r="AH27">
        <f>Table3[[#This Row],[SOW_A]]+Table3[[#This Row],[SOW_H]]</f>
        <v>3</v>
      </c>
      <c r="AI27">
        <f>Table3[[#This Row],[SOL_A]]+Table3[[#This Row],[SOL_H]]</f>
        <v>3</v>
      </c>
      <c r="AJ27" s="20" t="str">
        <f>_xlfn.CONCAT(TEXT(Table3[[#This Row],[OTW]]+Table3[[#This Row],[SOW]], "0"), "-", TEXT(Table3[[#This Row],[OTL]]+Table3[[#This Row],[SOL]],"0"))</f>
        <v>9-6</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63</v>
      </c>
      <c r="AM27" s="15">
        <f>Table3[[#This Row],[PTS]]/(2*Table3[[#This Row],[GP]])</f>
        <v>0.5</v>
      </c>
      <c r="AN27" s="15">
        <f>Table3[[#This Row],[PTS2]]/(3*Table3[[#This Row],[GP]])</f>
        <v>0.42</v>
      </c>
      <c r="AO27">
        <f>(2*Table3[[#This Row],[GR]])+Table3[[#This Row],[PTS]]</f>
        <v>114</v>
      </c>
      <c r="AP27">
        <f>(3*Table3[[#This Row],[GR]])+Table3[[#This Row],[PTS2]]</f>
        <v>159</v>
      </c>
      <c r="AQ27">
        <f>Table3[[#This Row],[PTS]]+(2 * Table3[[#This Row],[GR]] * Table3[[#This Row],[PTS%]])</f>
        <v>82</v>
      </c>
      <c r="AR27">
        <f>Table3[[#This Row],[PTS2]]+(3 * Table3[[#This Row],[GR]] * Table3[[#This Row],[PTS%2]])</f>
        <v>103.32</v>
      </c>
      <c r="AS27" s="20" t="str">
        <f>_xlfn.CONCAT(TEXT(Table3[[#This Row],[W]], "0"), "-", TEXT(Table3[[#This Row],[RL]],"0"), "-", TEXT(Table3[[#This Row],[OTL]]+Table3[[#This Row],[SOL]], "0"))</f>
        <v>22-22-6</v>
      </c>
      <c r="AT27">
        <f>COUNTIFS(DataRegularSeason20242025!$D$3:$D$1315,Table3[[#This Row],[Teams]],DataRegularSeason20242025!$K$3:$K$1315,0)</f>
        <v>2</v>
      </c>
      <c r="AU27">
        <f>SUMIF(DataRegularSeason20242025!$D$3:$D$1315,$A27, DataRegularSeason20242025!$J$3:$J$1315)</f>
        <v>81</v>
      </c>
      <c r="AV27">
        <f>SUMIF(DataRegularSeason20242025!$D$3:$D$1315,$A27, DataRegularSeason20242025!$K$3:$K$1315)</f>
        <v>97</v>
      </c>
      <c r="AW27">
        <f t="shared" si="3"/>
        <v>-16</v>
      </c>
      <c r="AX27">
        <f>COUNTIFS(DataRegularSeason20242025!$E$3:$E$1315,Table3[[#This Row],[Teams]],DataRegularSeason20242025!$J$3:$J$1315,0)</f>
        <v>1</v>
      </c>
      <c r="AY27">
        <f>SUMIF(DataRegularSeason20242025!$E$3:$E$1315,$A27,DataRegularSeason20242025!$K$3:$K$1315)</f>
        <v>69</v>
      </c>
      <c r="AZ27">
        <f>SUMIF(DataRegularSeason20242025!$E$3:$E$1315,$A27,DataRegularSeason20242025!$J$3:$J$1315)</f>
        <v>74</v>
      </c>
      <c r="BA27">
        <f t="shared" si="4"/>
        <v>-5</v>
      </c>
      <c r="BB27">
        <f t="shared" si="5"/>
        <v>150</v>
      </c>
      <c r="BC27">
        <f t="shared" si="6"/>
        <v>171</v>
      </c>
      <c r="BD27">
        <f t="shared" si="7"/>
        <v>-21</v>
      </c>
      <c r="BE27" s="17">
        <f>Table3[[#This Row],[GF]]/Table3[[#This Row],[GP]]</f>
        <v>3</v>
      </c>
      <c r="BF27" s="17">
        <f>Table3[[#This Row],[GA]]/Table3[[#This Row],[GP]]</f>
        <v>3.42</v>
      </c>
      <c r="BG27" s="17">
        <f>(Table3[[#This Row],[GF]]-Table3[[#This Row],[GA]])/Table3[[#This Row],[GP]]</f>
        <v>-0.42</v>
      </c>
      <c r="BH27" s="49" t="str">
        <f>_xlfn.CONCAT(TEXT(Table3[[#This Row],[W_H]], "0"), "-", TEXT(Table3[[#This Row],[RL_H]],"0"), "-", TEXT(Table3[[#This Row],[OTL_H]]+Table3[[#This Row],[SOL_H]], "0"))</f>
        <v>11-11-1</v>
      </c>
      <c r="BI27" s="49" t="str">
        <f>_xlfn.CONCAT(TEXT(Table3[[#This Row],[W_A]], "0"), "-", TEXT(Table3[[#This Row],[RL_A]],"0"), "-", TEXT(Table3[[#This Row],[OTL_A]]+Table3[[#This Row],[SOL_A]], "0"))</f>
        <v>11-11-5</v>
      </c>
      <c r="BJ27" s="49">
        <f>((2*(Table3[[#This Row],[W_H]]))+Table3[[#This Row],[OTL_H]]+Table3[[#This Row],[SOL_H]])/(2*Table3[[#This Row],[GP_H]])</f>
        <v>0.5</v>
      </c>
      <c r="BK27" s="49">
        <f>((2*(Table3[[#This Row],[W_A]]))+Table3[[#This Row],[OTL_A]]+Table3[[#This Row],[SOL_A]])/(2*Table3[[#This Row],[GP_A]])</f>
        <v>0.5</v>
      </c>
      <c r="BL27" s="21">
        <f>(Table3[[#This Row],[W]]*$CG$3)+(Table3[[#This Row],[L]]*$CG$4)+(Table3[[#This Row],[GF]]*$CG$5)+(Table3[[#This Row],[GA]]*$CG$6)</f>
        <v>59</v>
      </c>
      <c r="BM27" s="21">
        <f>(82*(((Table3[[#This Row],[PTS%]]*$CG$3)+((1-Table3[[#This Row],[PTS%]])*$CG$4)+(Table3[[#This Row],[GF]]*$CG$5)+(Table3[[#This Row],[GA]]*$CG$6))/Table3[[#This Row],[GP]])) + (Table3[[#This Row],[W]]*$CG$3)+(Table3[[#This Row],[L]]*$CG$4)+(Table3[[#This Row],[GF]]*$CG$5)+(Table3[[#This Row],[GA]]*$CG$6)</f>
        <v>124.60000000000002</v>
      </c>
      <c r="BN27">
        <f>COUNTIFS(DataRegularSeason20242025!$D$3:$D$1315,$A27,DataRegularSeason20242025!$H$3:$H$1315, $A27)</f>
        <v>6</v>
      </c>
      <c r="BO27">
        <f>COUNTIFS(DataRegularSeason20242025!$E$3:$E$1315,$A27,DataRegularSeason20242025!$H$3:$H$1315, $A27)</f>
        <v>6</v>
      </c>
      <c r="BP27">
        <f t="shared" si="8"/>
        <v>12</v>
      </c>
      <c r="BQ27">
        <f t="shared" si="9"/>
        <v>21</v>
      </c>
      <c r="BR27">
        <f t="shared" si="10"/>
        <v>17</v>
      </c>
      <c r="BS27">
        <f t="shared" si="11"/>
        <v>38</v>
      </c>
      <c r="BV27">
        <v>1975</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12</v>
      </c>
      <c r="B28" t="s">
        <v>97</v>
      </c>
      <c r="C28" t="s">
        <v>100</v>
      </c>
      <c r="D28">
        <f>COUNTIFS(DataRegularSeason20242025!$D$3:$D$1315,$A28,DataRegularSeason20242025!$R$3:$R$1315,1,DataRegularSeason20242025!$N$3:$N$1315,1) + COUNTIFS(DataRegularSeason20242025!$E$3:$E$1315,$A28,DataRegularSeason20242025!$R$3:$R$1315,1,DataRegularSeason20242025!$N$3:$N$1315,1)</f>
        <v>41</v>
      </c>
      <c r="E28" s="15">
        <f>Table3[[#This Row],[Watched]]/Table3[[#This Row],[GP]]</f>
        <v>0.82</v>
      </c>
      <c r="F28">
        <f>COUNTIFS(DataRegularSeason20242025!$N$3:$N$1315,1,DataRegularSeason20242025!$D$3:$D$1315,$A28)</f>
        <v>24</v>
      </c>
      <c r="G28">
        <f>41-Table3[[#This Row],[GP_A]]</f>
        <v>17</v>
      </c>
      <c r="H28">
        <f>COUNTIFS(DataRegularSeason20242025!$E$3:$E$1315,$A28,DataRegularSeason20242025!$N$3:$N$1315,1)</f>
        <v>26</v>
      </c>
      <c r="I28">
        <f>41-Table3[[#This Row],[GP_H]]</f>
        <v>15</v>
      </c>
      <c r="J28">
        <f t="shared" si="0"/>
        <v>50</v>
      </c>
      <c r="K28">
        <f>82-Table3[[#This Row],[GP]]</f>
        <v>32</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1</v>
      </c>
      <c r="P28">
        <f t="shared" si="1"/>
        <v>14</v>
      </c>
      <c r="Q28">
        <f>COUNTIFS(DataRegularSeason20242025!$D$3:$D$1315,$A28, DataRegularSeason20242025!$S$3:$S$1315, $A28,DataRegularSeason20242025!$M$3:$M$1315,"REG")</f>
        <v>14</v>
      </c>
      <c r="R28">
        <f>COUNTIFS(DataRegularSeason20242025!$D$3:$D$1315,$A28, DataRegularSeason20242025!$S$3:$S$1315, $A28,DataRegularSeason20242025!$M$3:$M$1315,"OT")</f>
        <v>0</v>
      </c>
      <c r="S28">
        <f>COUNTIFS(DataRegularSeason20242025!$D$3:$D$1315,$A28, DataRegularSeason20242025!$S$3:$S$1315, $A28,DataRegularSeason20242025!$M$3:$M$1315,"SO")</f>
        <v>0</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2</v>
      </c>
      <c r="W28">
        <f>COUNTIFS(DataRegularSeason20242025!$E$3:$E$1315,$A28, DataRegularSeason20242025!$L$3:$L$1315, $A28,DataRegularSeason20242025!$N$3:$N$1315,1,DataRegularSeason20242025!$M$3:$M$1315,"SO")</f>
        <v>0</v>
      </c>
      <c r="X28">
        <f t="shared" si="2"/>
        <v>14</v>
      </c>
      <c r="Y28">
        <f>COUNTIFS(DataRegularSeason20242025!$E$3:$E$1315,$A28, DataRegularSeason20242025!$S$3:$S$1315, $A28,DataRegularSeason20242025!$M$3:$M$1315,"REG")</f>
        <v>11</v>
      </c>
      <c r="Z28">
        <f>COUNTIFS(DataRegularSeason20242025!$E$3:$E$1315,$A28, DataRegularSeason20242025!$S$3:$S$1315, $A28,DataRegularSeason20242025!$M$3:$M$1315,"OT")</f>
        <v>1</v>
      </c>
      <c r="AA28">
        <f>COUNTIFS(DataRegularSeason20242025!$E$3:$E$1315,$A28, DataRegularSeason20242025!$S$3:$S$1315, $A28,DataRegularSeason20242025!$M$3:$M$1315,"SO")</f>
        <v>2</v>
      </c>
      <c r="AB28">
        <f>Table3[[#This Row],[W_A]]+Table3[[#This Row],[W_H]]</f>
        <v>22</v>
      </c>
      <c r="AC28">
        <f>Table3[[#This Row],[L_A]]+Table3[[#This Row],[L_H]]</f>
        <v>28</v>
      </c>
      <c r="AD28">
        <f>Table3[[#This Row],[RW_A]]+Table3[[#This Row],[RW_H]]</f>
        <v>18</v>
      </c>
      <c r="AE28">
        <f>Table3[[#This Row],[RL_A]]+Table3[[#This Row],[RL_H]]</f>
        <v>25</v>
      </c>
      <c r="AF28">
        <f>Table3[[#This Row],[OTW_A]]+Table3[[#This Row],[OTW_H]]</f>
        <v>3</v>
      </c>
      <c r="AG28">
        <f>Table3[[#This Row],[OTL_A]]+Table3[[#This Row],[OTL_H]]</f>
        <v>1</v>
      </c>
      <c r="AH28">
        <f>Table3[[#This Row],[SOW_A]]+Table3[[#This Row],[SOW_H]]</f>
        <v>1</v>
      </c>
      <c r="AI28">
        <f>Table3[[#This Row],[SOL_A]]+Table3[[#This Row],[SOL_H]]</f>
        <v>2</v>
      </c>
      <c r="AJ28" s="20" t="str">
        <f>_xlfn.CONCAT(TEXT(Table3[[#This Row],[OTW]]+Table3[[#This Row],[SOW]], "0"), "-", TEXT(Table3[[#This Row],[OTL]]+Table3[[#This Row],[SOL]],"0"))</f>
        <v>4-3</v>
      </c>
      <c r="AK28">
        <f>(2*(Table3[[#This Row],[W_A]]+Table3[[#This Row],[W_H]]))+Table3[[#This Row],[OTL_A]]+Table3[[#This Row],[SOL_A]]+Table3[[#This Row],[OTL_H]]+Table3[[#This Row],[SOL_H]]</f>
        <v>47</v>
      </c>
      <c r="AL28">
        <f>(3*(Table3[[#This Row],[RW_A]]+Table3[[#This Row],[RW_H]]))+(2*(Table3[[#This Row],[OTW_A]]+Table3[[#This Row],[SOW_A]]+Table3[[#This Row],[OTW_H]]+Table3[[#This Row],[SOW_H]]))+Table3[[#This Row],[OTL_A]]+Table3[[#This Row],[SOL_A]]+Table3[[#This Row],[OTL_H]]+Table3[[#This Row],[SOL_H]]</f>
        <v>65</v>
      </c>
      <c r="AM28" s="15">
        <f>Table3[[#This Row],[PTS]]/(2*Table3[[#This Row],[GP]])</f>
        <v>0.47</v>
      </c>
      <c r="AN28" s="15">
        <f>Table3[[#This Row],[PTS2]]/(3*Table3[[#This Row],[GP]])</f>
        <v>0.43333333333333335</v>
      </c>
      <c r="AO28">
        <f>(2*Table3[[#This Row],[GR]])+Table3[[#This Row],[PTS]]</f>
        <v>111</v>
      </c>
      <c r="AP28">
        <f>(3*Table3[[#This Row],[GR]])+Table3[[#This Row],[PTS2]]</f>
        <v>161</v>
      </c>
      <c r="AQ28">
        <f>Table3[[#This Row],[PTS]]+(2 * Table3[[#This Row],[GR]] * Table3[[#This Row],[PTS%]])</f>
        <v>77.08</v>
      </c>
      <c r="AR28">
        <f>Table3[[#This Row],[PTS2]]+(3 * Table3[[#This Row],[GR]] * Table3[[#This Row],[PTS%2]])</f>
        <v>106.6</v>
      </c>
      <c r="AS28" s="20" t="str">
        <f>_xlfn.CONCAT(TEXT(Table3[[#This Row],[W]], "0"), "-", TEXT(Table3[[#This Row],[RL]],"0"), "-", TEXT(Table3[[#This Row],[OTL]]+Table3[[#This Row],[SOL]], "0"))</f>
        <v>22-25-3</v>
      </c>
      <c r="AT28">
        <f>COUNTIFS(DataRegularSeason20242025!$D$3:$D$1315,Table3[[#This Row],[Teams]],DataRegularSeason20242025!$K$3:$K$1315,0)</f>
        <v>0</v>
      </c>
      <c r="AU28">
        <f>SUMIF(DataRegularSeason20242025!$D$3:$D$1315,$A28, DataRegularSeason20242025!$J$3:$J$1315)</f>
        <v>76</v>
      </c>
      <c r="AV28">
        <f>SUMIF(DataRegularSeason20242025!$D$3:$D$1315,$A28, DataRegularSeason20242025!$K$3:$K$1315)</f>
        <v>86</v>
      </c>
      <c r="AW28">
        <f t="shared" si="3"/>
        <v>-10</v>
      </c>
      <c r="AX28">
        <f>COUNTIFS(DataRegularSeason20242025!$E$3:$E$1315,Table3[[#This Row],[Teams]],DataRegularSeason20242025!$J$3:$J$1315,0)</f>
        <v>1</v>
      </c>
      <c r="AY28">
        <f>SUMIF(DataRegularSeason20242025!$E$3:$E$1315,$A28,DataRegularSeason20242025!$K$3:$K$1315)</f>
        <v>71</v>
      </c>
      <c r="AZ28">
        <f>SUMIF(DataRegularSeason20242025!$E$3:$E$1315,$A28,DataRegularSeason20242025!$J$3:$J$1315)</f>
        <v>72</v>
      </c>
      <c r="BA28">
        <f t="shared" si="4"/>
        <v>-1</v>
      </c>
      <c r="BB28">
        <f t="shared" si="5"/>
        <v>147</v>
      </c>
      <c r="BC28">
        <f t="shared" si="6"/>
        <v>158</v>
      </c>
      <c r="BD28">
        <f t="shared" si="7"/>
        <v>-11</v>
      </c>
      <c r="BE28" s="17">
        <f>Table3[[#This Row],[GF]]/Table3[[#This Row],[GP]]</f>
        <v>2.94</v>
      </c>
      <c r="BF28" s="17">
        <f>Table3[[#This Row],[GA]]/Table3[[#This Row],[GP]]</f>
        <v>3.16</v>
      </c>
      <c r="BG28" s="17">
        <f>(Table3[[#This Row],[GF]]-Table3[[#This Row],[GA]])/Table3[[#This Row],[GP]]</f>
        <v>-0.22</v>
      </c>
      <c r="BH28" s="49" t="str">
        <f>_xlfn.CONCAT(TEXT(Table3[[#This Row],[W_H]], "0"), "-", TEXT(Table3[[#This Row],[RL_H]],"0"), "-", TEXT(Table3[[#This Row],[OTL_H]]+Table3[[#This Row],[SOL_H]], "0"))</f>
        <v>12-11-3</v>
      </c>
      <c r="BI28" s="49" t="str">
        <f>_xlfn.CONCAT(TEXT(Table3[[#This Row],[W_A]], "0"), "-", TEXT(Table3[[#This Row],[RL_A]],"0"), "-", TEXT(Table3[[#This Row],[OTL_A]]+Table3[[#This Row],[SOL_A]], "0"))</f>
        <v>10-14-0</v>
      </c>
      <c r="BJ28" s="49">
        <f>((2*(Table3[[#This Row],[W_H]]))+Table3[[#This Row],[OTL_H]]+Table3[[#This Row],[SOL_H]])/(2*Table3[[#This Row],[GP_H]])</f>
        <v>0.51923076923076927</v>
      </c>
      <c r="BK28" s="49">
        <f>((2*(Table3[[#This Row],[W_A]]))+Table3[[#This Row],[OTL_A]]+Table3[[#This Row],[SOL_A]])/(2*Table3[[#This Row],[GP_A]])</f>
        <v>0.41666666666666669</v>
      </c>
      <c r="BL28" s="21">
        <f>(Table3[[#This Row],[W]]*$CG$3)+(Table3[[#This Row],[L]]*$CG$4)+(Table3[[#This Row],[GF]]*$CG$5)+(Table3[[#This Row],[GA]]*$CG$6)</f>
        <v>57.25</v>
      </c>
      <c r="BM28" s="21">
        <f>(82*(((Table3[[#This Row],[PTS%]]*$CG$3)+((1-Table3[[#This Row],[PTS%]])*$CG$4)+(Table3[[#This Row],[GF]]*$CG$5)+(Table3[[#This Row],[GA]]*$CG$6))/Table3[[#This Row],[GP]])) + (Table3[[#This Row],[W]]*$CG$3)+(Table3[[#This Row],[L]]*$CG$4)+(Table3[[#This Row],[GF]]*$CG$5)+(Table3[[#This Row],[GA]]*$CG$6)</f>
        <v>119.97015999999999</v>
      </c>
      <c r="BN28">
        <f>COUNTIFS(DataRegularSeason20242025!$D$3:$D$1315,$A28,DataRegularSeason20242025!$H$3:$H$1315, $A28)</f>
        <v>7</v>
      </c>
      <c r="BO28">
        <f>COUNTIFS(DataRegularSeason20242025!$E$3:$E$1315,$A28,DataRegularSeason20242025!$H$3:$H$1315, $A28)</f>
        <v>8</v>
      </c>
      <c r="BP28">
        <f t="shared" si="8"/>
        <v>15</v>
      </c>
      <c r="BQ28">
        <f t="shared" si="9"/>
        <v>17</v>
      </c>
      <c r="BR28">
        <f t="shared" si="10"/>
        <v>18</v>
      </c>
      <c r="BS28">
        <f t="shared" si="11"/>
        <v>35</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22</v>
      </c>
      <c r="B29" t="s">
        <v>97</v>
      </c>
      <c r="C29" t="s">
        <v>95</v>
      </c>
      <c r="D29">
        <f>COUNTIFS(DataRegularSeason20242025!$D$3:$D$1315,$A29,DataRegularSeason20242025!$R$3:$R$1315,1,DataRegularSeason20242025!$N$3:$N$1315,1) + COUNTIFS(DataRegularSeason20242025!$E$3:$E$1315,$A29,DataRegularSeason20242025!$R$3:$R$1315,1,DataRegularSeason20242025!$N$3:$N$1315,1)</f>
        <v>49</v>
      </c>
      <c r="E29" s="15">
        <f>Table3[[#This Row],[Watched]]/Table3[[#This Row],[GP]]</f>
        <v>0.96078431372549022</v>
      </c>
      <c r="F29">
        <f>COUNTIFS(DataRegularSeason20242025!$N$3:$N$1315,1,DataRegularSeason20242025!$D$3:$D$1315,$A29)</f>
        <v>23</v>
      </c>
      <c r="G29">
        <f>41-Table3[[#This Row],[GP_A]]</f>
        <v>18</v>
      </c>
      <c r="H29">
        <f>COUNTIFS(DataRegularSeason20242025!$E$3:$E$1315,$A29,DataRegularSeason20242025!$N$3:$N$1315,1)</f>
        <v>28</v>
      </c>
      <c r="I29">
        <f>41-Table3[[#This Row],[GP_H]]</f>
        <v>13</v>
      </c>
      <c r="J29">
        <f t="shared" si="0"/>
        <v>51</v>
      </c>
      <c r="K29">
        <f>82-Table3[[#This Row],[GP]]</f>
        <v>31</v>
      </c>
      <c r="L29">
        <f>COUNTIFS(DataRegularSeason20242025!$D$3:$D$1315,$A29, DataRegularSeason20242025!$L$3:$L$1315, $A29,DataRegularSeason20242025!$N$3:$N$1315,1)</f>
        <v>14</v>
      </c>
      <c r="M29">
        <f>COUNTIFS(DataRegularSeason20242025!$D$3:$D$1315,$A29, DataRegularSeason20242025!$L$3:$L$1315, $A29,DataRegularSeason20242025!$N$3:$N$1315,1,DataRegularSeason20242025!$M$3:$M$1315,"REG")</f>
        <v>11</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0</v>
      </c>
      <c r="P29">
        <f t="shared" si="1"/>
        <v>9</v>
      </c>
      <c r="Q29">
        <f>COUNTIFS(DataRegularSeason20242025!$D$3:$D$1315,$A29, DataRegularSeason20242025!$S$3:$S$1315, $A29,DataRegularSeason20242025!$M$3:$M$1315,"REG")</f>
        <v>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20</v>
      </c>
      <c r="U29">
        <f>COUNTIFS(DataRegularSeason20242025!$E$3:$E$1315,$A29, DataRegularSeason20242025!$L$3:$L$1315, $A29,DataRegularSeason20242025!$N$3:$N$1315,1,DataRegularSeason20242025!$M$3:$M$1315,"REG")</f>
        <v>18</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8</v>
      </c>
      <c r="Y29">
        <f>COUNTIFS(DataRegularSeason20242025!$E$3:$E$1315,$A29, DataRegularSeason20242025!$S$3:$S$1315, $A29,DataRegularSeason20242025!$M$3:$M$1315,"REG")</f>
        <v>5</v>
      </c>
      <c r="Z29">
        <f>COUNTIFS(DataRegularSeason20242025!$E$3:$E$1315,$A29, DataRegularSeason20242025!$S$3:$S$1315, $A29,DataRegularSeason20242025!$M$3:$M$1315,"OT")</f>
        <v>3</v>
      </c>
      <c r="AA29">
        <f>COUNTIFS(DataRegularSeason20242025!$E$3:$E$1315,$A29, DataRegularSeason20242025!$S$3:$S$1315, $A29,DataRegularSeason20242025!$M$3:$M$1315,"SO")</f>
        <v>0</v>
      </c>
      <c r="AB29">
        <f>Table3[[#This Row],[W_A]]+Table3[[#This Row],[W_H]]</f>
        <v>34</v>
      </c>
      <c r="AC29">
        <f>Table3[[#This Row],[L_A]]+Table3[[#This Row],[L_H]]</f>
        <v>17</v>
      </c>
      <c r="AD29">
        <f>Table3[[#This Row],[RW_A]]+Table3[[#This Row],[RW_H]]</f>
        <v>29</v>
      </c>
      <c r="AE29">
        <f>Table3[[#This Row],[RL_A]]+Table3[[#This Row],[RL_H]]</f>
        <v>14</v>
      </c>
      <c r="AF29">
        <f>Table3[[#This Row],[OTW_A]]+Table3[[#This Row],[OTW_H]]</f>
        <v>5</v>
      </c>
      <c r="AG29">
        <f>Table3[[#This Row],[OTL_A]]+Table3[[#This Row],[OTL_H]]</f>
        <v>3</v>
      </c>
      <c r="AH29">
        <f>Table3[[#This Row],[SOW_A]]+Table3[[#This Row],[SOW_H]]</f>
        <v>0</v>
      </c>
      <c r="AI29">
        <f>Table3[[#This Row],[SOL_A]]+Table3[[#This Row],[SOL_H]]</f>
        <v>0</v>
      </c>
      <c r="AJ29" s="20" t="str">
        <f>_xlfn.CONCAT(TEXT(Table3[[#This Row],[OTW]]+Table3[[#This Row],[SOW]], "0"), "-", TEXT(Table3[[#This Row],[OTL]]+Table3[[#This Row],[SOL]],"0"))</f>
        <v>5-3</v>
      </c>
      <c r="AK29">
        <f>(2*(Table3[[#This Row],[W_A]]+Table3[[#This Row],[W_H]]))+Table3[[#This Row],[OTL_A]]+Table3[[#This Row],[SOL_A]]+Table3[[#This Row],[OTL_H]]+Table3[[#This Row],[SOL_H]]</f>
        <v>71</v>
      </c>
      <c r="AL29">
        <f>(3*(Table3[[#This Row],[RW_A]]+Table3[[#This Row],[RW_H]]))+(2*(Table3[[#This Row],[OTW_A]]+Table3[[#This Row],[SOW_A]]+Table3[[#This Row],[OTW_H]]+Table3[[#This Row],[SOW_H]]))+Table3[[#This Row],[OTL_A]]+Table3[[#This Row],[SOL_A]]+Table3[[#This Row],[OTL_H]]+Table3[[#This Row],[SOL_H]]</f>
        <v>100</v>
      </c>
      <c r="AM29" s="15">
        <f>Table3[[#This Row],[PTS]]/(2*Table3[[#This Row],[GP]])</f>
        <v>0.69607843137254899</v>
      </c>
      <c r="AN29" s="15">
        <f>Table3[[#This Row],[PTS2]]/(3*Table3[[#This Row],[GP]])</f>
        <v>0.65359477124183007</v>
      </c>
      <c r="AO29">
        <f>(2*Table3[[#This Row],[GR]])+Table3[[#This Row],[PTS]]</f>
        <v>133</v>
      </c>
      <c r="AP29">
        <f>(3*Table3[[#This Row],[GR]])+Table3[[#This Row],[PTS2]]</f>
        <v>193</v>
      </c>
      <c r="AQ29">
        <f>Table3[[#This Row],[PTS]]+(2 * Table3[[#This Row],[GR]] * Table3[[#This Row],[PTS%]])</f>
        <v>114.15686274509804</v>
      </c>
      <c r="AR29">
        <f>Table3[[#This Row],[PTS2]]+(3 * Table3[[#This Row],[GR]] * Table3[[#This Row],[PTS%2]])</f>
        <v>160.78431372549019</v>
      </c>
      <c r="AS29" s="20" t="str">
        <f>_xlfn.CONCAT(TEXT(Table3[[#This Row],[W]], "0"), "-", TEXT(Table3[[#This Row],[RL]],"0"), "-", TEXT(Table3[[#This Row],[OTL]]+Table3[[#This Row],[SOL]], "0"))</f>
        <v>34-14-3</v>
      </c>
      <c r="AT29">
        <f>COUNTIFS(DataRegularSeason20242025!$D$3:$D$1315,Table3[[#This Row],[Teams]],DataRegularSeason20242025!$K$3:$K$1315,0)</f>
        <v>1</v>
      </c>
      <c r="AU29">
        <f>SUMIF(DataRegularSeason20242025!$D$3:$D$1315,$A29, DataRegularSeason20242025!$J$3:$J$1315)</f>
        <v>76</v>
      </c>
      <c r="AV29">
        <f>SUMIF(DataRegularSeason20242025!$D$3:$D$1315,$A29, DataRegularSeason20242025!$K$3:$K$1315)</f>
        <v>65</v>
      </c>
      <c r="AW29">
        <f t="shared" si="3"/>
        <v>11</v>
      </c>
      <c r="AX29">
        <f>COUNTIFS(DataRegularSeason20242025!$E$3:$E$1315,Table3[[#This Row],[Teams]],DataRegularSeason20242025!$J$3:$J$1315,0)</f>
        <v>5</v>
      </c>
      <c r="AY29">
        <f>SUMIF(DataRegularSeason20242025!$E$3:$E$1315,$A29,DataRegularSeason20242025!$K$3:$K$1315)</f>
        <v>104</v>
      </c>
      <c r="AZ29">
        <f>SUMIF(DataRegularSeason20242025!$E$3:$E$1315,$A29,DataRegularSeason20242025!$J$3:$J$1315)</f>
        <v>59</v>
      </c>
      <c r="BA29">
        <f t="shared" si="4"/>
        <v>45</v>
      </c>
      <c r="BB29">
        <f t="shared" si="5"/>
        <v>180</v>
      </c>
      <c r="BC29">
        <f t="shared" si="6"/>
        <v>124</v>
      </c>
      <c r="BD29">
        <f t="shared" si="7"/>
        <v>56</v>
      </c>
      <c r="BE29" s="17">
        <f>Table3[[#This Row],[GF]]/Table3[[#This Row],[GP]]</f>
        <v>3.5294117647058822</v>
      </c>
      <c r="BF29" s="17">
        <f>Table3[[#This Row],[GA]]/Table3[[#This Row],[GP]]</f>
        <v>2.4313725490196076</v>
      </c>
      <c r="BG29" s="17">
        <f>(Table3[[#This Row],[GF]]-Table3[[#This Row],[GA]])/Table3[[#This Row],[GP]]</f>
        <v>1.0980392156862746</v>
      </c>
      <c r="BH29" s="49" t="str">
        <f>_xlfn.CONCAT(TEXT(Table3[[#This Row],[W_H]], "0"), "-", TEXT(Table3[[#This Row],[RL_H]],"0"), "-", TEXT(Table3[[#This Row],[OTL_H]]+Table3[[#This Row],[SOL_H]], "0"))</f>
        <v>20-5-3</v>
      </c>
      <c r="BI29" s="49" t="str">
        <f>_xlfn.CONCAT(TEXT(Table3[[#This Row],[W_A]], "0"), "-", TEXT(Table3[[#This Row],[RL_A]],"0"), "-", TEXT(Table3[[#This Row],[OTL_A]]+Table3[[#This Row],[SOL_A]], "0"))</f>
        <v>14-9-0</v>
      </c>
      <c r="BJ29" s="49">
        <f>((2*(Table3[[#This Row],[W_H]]))+Table3[[#This Row],[OTL_H]]+Table3[[#This Row],[SOL_H]])/(2*Table3[[#This Row],[GP_H]])</f>
        <v>0.7678571428571429</v>
      </c>
      <c r="BK29" s="49">
        <f>((2*(Table3[[#This Row],[W_A]]))+Table3[[#This Row],[OTL_A]]+Table3[[#This Row],[SOL_A]])/(2*Table3[[#This Row],[GP_A]])</f>
        <v>0.60869565217391308</v>
      </c>
      <c r="BL29" s="21">
        <f>(Table3[[#This Row],[W]]*$CG$3)+(Table3[[#This Row],[L]]*$CG$4)+(Table3[[#This Row],[GF]]*$CG$5)+(Table3[[#This Row],[GA]]*$CG$6)</f>
        <v>61.5</v>
      </c>
      <c r="BM29" s="21">
        <f>(82*(((Table3[[#This Row],[PTS%]]*$CG$3)+((1-Table3[[#This Row],[PTS%]])*$CG$4)+(Table3[[#This Row],[GF]]*$CG$5)+(Table3[[#This Row],[GA]]*$CG$6))/Table3[[#This Row],[GP]])) + (Table3[[#This Row],[W]]*$CG$3)+(Table3[[#This Row],[L]]*$CG$4)+(Table3[[#This Row],[GF]]*$CG$5)+(Table3[[#This Row],[GA]]*$CG$6)</f>
        <v>125.5552095347943</v>
      </c>
      <c r="BN29">
        <f>COUNTIFS(DataRegularSeason20242025!$D$3:$D$1315,$A29,DataRegularSeason20242025!$H$3:$H$1315, $A29)</f>
        <v>18</v>
      </c>
      <c r="BO29">
        <f>COUNTIFS(DataRegularSeason20242025!$E$3:$E$1315,$A29,DataRegularSeason20242025!$H$3:$H$1315, $A29)</f>
        <v>24</v>
      </c>
      <c r="BP29">
        <f t="shared" si="8"/>
        <v>42</v>
      </c>
      <c r="BQ29">
        <f t="shared" si="9"/>
        <v>5</v>
      </c>
      <c r="BR29">
        <f t="shared" si="10"/>
        <v>4</v>
      </c>
      <c r="BS29">
        <f t="shared" si="11"/>
        <v>9</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32</v>
      </c>
      <c r="B30" t="s">
        <v>98</v>
      </c>
      <c r="C30" t="s">
        <v>99</v>
      </c>
      <c r="D30">
        <f>COUNTIFS(DataRegularSeason20242025!$D$3:$D$1315,$A30,DataRegularSeason20242025!$R$3:$R$1315,1,DataRegularSeason20242025!$N$3:$N$1315,1) + COUNTIFS(DataRegularSeason20242025!$E$3:$E$1315,$A30,DataRegularSeason20242025!$R$3:$R$1315,1,DataRegularSeason20242025!$N$3:$N$1315,1)</f>
        <v>42</v>
      </c>
      <c r="E30" s="15">
        <f>Table3[[#This Row],[Watched]]/Table3[[#This Row],[GP]]</f>
        <v>0.82352941176470584</v>
      </c>
      <c r="F30">
        <f>COUNTIFS(DataRegularSeason20242025!$N$3:$N$1315,1,DataRegularSeason20242025!$D$3:$D$1315,$A30)</f>
        <v>25</v>
      </c>
      <c r="G30">
        <f>41-Table3[[#This Row],[GP_A]]</f>
        <v>16</v>
      </c>
      <c r="H30">
        <f>COUNTIFS(DataRegularSeason20242025!$E$3:$E$1315,$A30,DataRegularSeason20242025!$N$3:$N$1315,1)</f>
        <v>26</v>
      </c>
      <c r="I30">
        <f>41-Table3[[#This Row],[GP_H]]</f>
        <v>15</v>
      </c>
      <c r="J30">
        <f t="shared" si="0"/>
        <v>51</v>
      </c>
      <c r="K30">
        <f>82-Table3[[#This Row],[GP]]</f>
        <v>31</v>
      </c>
      <c r="L30">
        <f>COUNTIFS(DataRegularSeason20242025!$D$3:$D$1315,$A30, DataRegularSeason20242025!$L$3:$L$1315, $A30,DataRegularSeason20242025!$N$3:$N$1315,1)</f>
        <v>14</v>
      </c>
      <c r="M30">
        <f>COUNTIFS(DataRegularSeason20242025!$D$3:$D$1315,$A30, DataRegularSeason20242025!$L$3:$L$1315, $A30,DataRegularSeason20242025!$N$3:$N$1315,1,DataRegularSeason20242025!$M$3:$M$1315,"REG")</f>
        <v>12</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0</v>
      </c>
      <c r="P30">
        <f t="shared" si="1"/>
        <v>11</v>
      </c>
      <c r="Q30">
        <f>COUNTIFS(DataRegularSeason20242025!$D$3:$D$1315,$A30, DataRegularSeason20242025!$S$3:$S$1315, $A30,DataRegularSeason20242025!$M$3:$M$1315,"REG")</f>
        <v>9</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0</v>
      </c>
      <c r="X30">
        <f t="shared" si="2"/>
        <v>12</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1</v>
      </c>
      <c r="AB30">
        <f>Table3[[#This Row],[W_A]]+Table3[[#This Row],[W_H]]</f>
        <v>28</v>
      </c>
      <c r="AC30">
        <f>Table3[[#This Row],[L_A]]+Table3[[#This Row],[L_H]]</f>
        <v>23</v>
      </c>
      <c r="AD30">
        <f>Table3[[#This Row],[RW_A]]+Table3[[#This Row],[RW_H]]</f>
        <v>25</v>
      </c>
      <c r="AE30">
        <f>Table3[[#This Row],[RL_A]]+Table3[[#This Row],[RL_H]]</f>
        <v>17</v>
      </c>
      <c r="AF30">
        <f>Table3[[#This Row],[OTW_A]]+Table3[[#This Row],[OTW_H]]</f>
        <v>3</v>
      </c>
      <c r="AG30">
        <f>Table3[[#This Row],[OTL_A]]+Table3[[#This Row],[OTL_H]]</f>
        <v>5</v>
      </c>
      <c r="AH30">
        <f>Table3[[#This Row],[SOW_A]]+Table3[[#This Row],[SOW_H]]</f>
        <v>0</v>
      </c>
      <c r="AI30">
        <f>Table3[[#This Row],[SOL_A]]+Table3[[#This Row],[SOL_H]]</f>
        <v>1</v>
      </c>
      <c r="AJ30" s="20" t="str">
        <f>_xlfn.CONCAT(TEXT(Table3[[#This Row],[OTW]]+Table3[[#This Row],[SOW]], "0"), "-", TEXT(Table3[[#This Row],[OTL]]+Table3[[#This Row],[SOL]],"0"))</f>
        <v>3-6</v>
      </c>
      <c r="AK30">
        <f>(2*(Table3[[#This Row],[W_A]]+Table3[[#This Row],[W_H]]))+Table3[[#This Row],[OTL_A]]+Table3[[#This Row],[SOL_A]]+Table3[[#This Row],[OTL_H]]+Table3[[#This Row],[SOL_H]]</f>
        <v>62</v>
      </c>
      <c r="AL30">
        <f>(3*(Table3[[#This Row],[RW_A]]+Table3[[#This Row],[RW_H]]))+(2*(Table3[[#This Row],[OTW_A]]+Table3[[#This Row],[SOW_A]]+Table3[[#This Row],[OTW_H]]+Table3[[#This Row],[SOW_H]]))+Table3[[#This Row],[OTL_A]]+Table3[[#This Row],[SOL_A]]+Table3[[#This Row],[OTL_H]]+Table3[[#This Row],[SOL_H]]</f>
        <v>87</v>
      </c>
      <c r="AM30" s="15">
        <f>Table3[[#This Row],[PTS]]/(2*Table3[[#This Row],[GP]])</f>
        <v>0.60784313725490191</v>
      </c>
      <c r="AN30" s="15">
        <f>Table3[[#This Row],[PTS2]]/(3*Table3[[#This Row],[GP]])</f>
        <v>0.56862745098039214</v>
      </c>
      <c r="AO30">
        <f>(2*Table3[[#This Row],[GR]])+Table3[[#This Row],[PTS]]</f>
        <v>124</v>
      </c>
      <c r="AP30">
        <f>(3*Table3[[#This Row],[GR]])+Table3[[#This Row],[PTS2]]</f>
        <v>180</v>
      </c>
      <c r="AQ30">
        <f>Table3[[#This Row],[PTS]]+(2 * Table3[[#This Row],[GR]] * Table3[[#This Row],[PTS%]])</f>
        <v>99.686274509803923</v>
      </c>
      <c r="AR30">
        <f>Table3[[#This Row],[PTS2]]+(3 * Table3[[#This Row],[GR]] * Table3[[#This Row],[PTS%2]])</f>
        <v>139.88235294117646</v>
      </c>
      <c r="AS30" s="20" t="str">
        <f>_xlfn.CONCAT(TEXT(Table3[[#This Row],[W]], "0"), "-", TEXT(Table3[[#This Row],[RL]],"0"), "-", TEXT(Table3[[#This Row],[OTL]]+Table3[[#This Row],[SOL]], "0"))</f>
        <v>28-17-6</v>
      </c>
      <c r="AT30">
        <f>COUNTIFS(DataRegularSeason20242025!$D$3:$D$1315,Table3[[#This Row],[Teams]],DataRegularSeason20242025!$K$3:$K$1315,0)</f>
        <v>2</v>
      </c>
      <c r="AU30">
        <f>SUMIF(DataRegularSeason20242025!$D$3:$D$1315,$A30, DataRegularSeason20242025!$J$3:$J$1315)</f>
        <v>77</v>
      </c>
      <c r="AV30">
        <f>SUMIF(DataRegularSeason20242025!$D$3:$D$1315,$A30, DataRegularSeason20242025!$K$3:$K$1315)</f>
        <v>65</v>
      </c>
      <c r="AW30">
        <f t="shared" si="3"/>
        <v>12</v>
      </c>
      <c r="AX30">
        <f>COUNTIFS(DataRegularSeason20242025!$E$3:$E$1315,Table3[[#This Row],[Teams]],DataRegularSeason20242025!$J$3:$J$1315,0)</f>
        <v>3</v>
      </c>
      <c r="AY30">
        <f>SUMIF(DataRegularSeason20242025!$E$3:$E$1315,$A30,DataRegularSeason20242025!$K$3:$K$1315)</f>
        <v>80</v>
      </c>
      <c r="AZ30">
        <f>SUMIF(DataRegularSeason20242025!$E$3:$E$1315,$A30,DataRegularSeason20242025!$J$3:$J$1315)</f>
        <v>64</v>
      </c>
      <c r="BA30">
        <f t="shared" si="4"/>
        <v>16</v>
      </c>
      <c r="BB30">
        <f t="shared" si="5"/>
        <v>157</v>
      </c>
      <c r="BC30">
        <f t="shared" si="6"/>
        <v>129</v>
      </c>
      <c r="BD30">
        <f t="shared" si="7"/>
        <v>28</v>
      </c>
      <c r="BE30" s="17">
        <f>Table3[[#This Row],[GF]]/Table3[[#This Row],[GP]]</f>
        <v>3.0784313725490198</v>
      </c>
      <c r="BF30" s="17">
        <f>Table3[[#This Row],[GA]]/Table3[[#This Row],[GP]]</f>
        <v>2.5294117647058822</v>
      </c>
      <c r="BG30" s="17">
        <f>(Table3[[#This Row],[GF]]-Table3[[#This Row],[GA]])/Table3[[#This Row],[GP]]</f>
        <v>0.5490196078431373</v>
      </c>
      <c r="BH30" s="49" t="str">
        <f>_xlfn.CONCAT(TEXT(Table3[[#This Row],[W_H]], "0"), "-", TEXT(Table3[[#This Row],[RL_H]],"0"), "-", TEXT(Table3[[#This Row],[OTL_H]]+Table3[[#This Row],[SOL_H]], "0"))</f>
        <v>14-8-4</v>
      </c>
      <c r="BI30" s="49" t="str">
        <f>_xlfn.CONCAT(TEXT(Table3[[#This Row],[W_A]], "0"), "-", TEXT(Table3[[#This Row],[RL_A]],"0"), "-", TEXT(Table3[[#This Row],[OTL_A]]+Table3[[#This Row],[SOL_A]], "0"))</f>
        <v>14-9-2</v>
      </c>
      <c r="BJ30" s="49">
        <f>((2*(Table3[[#This Row],[W_H]]))+Table3[[#This Row],[OTL_H]]+Table3[[#This Row],[SOL_H]])/(2*Table3[[#This Row],[GP_H]])</f>
        <v>0.61538461538461542</v>
      </c>
      <c r="BK30" s="49">
        <f>((2*(Table3[[#This Row],[W_A]]))+Table3[[#This Row],[OTL_A]]+Table3[[#This Row],[SOL_A]])/(2*Table3[[#This Row],[GP_A]])</f>
        <v>0.6</v>
      </c>
      <c r="BL30" s="21">
        <f>(Table3[[#This Row],[W]]*$CG$3)+(Table3[[#This Row],[L]]*$CG$4)+(Table3[[#This Row],[GF]]*$CG$5)+(Table3[[#This Row],[GA]]*$CG$6)</f>
        <v>57.35</v>
      </c>
      <c r="BM30" s="21">
        <f>(82*(((Table3[[#This Row],[PTS%]]*$CG$3)+((1-Table3[[#This Row],[PTS%]])*$CG$4)+(Table3[[#This Row],[GF]]*$CG$5)+(Table3[[#This Row],[GA]]*$CG$6))/Table3[[#This Row],[GP]])) + (Table3[[#This Row],[W]]*$CG$3)+(Table3[[#This Row],[L]]*$CG$4)+(Table3[[#This Row],[GF]]*$CG$5)+(Table3[[#This Row],[GA]]*$CG$6)</f>
        <v>116.63369857747021</v>
      </c>
      <c r="BN30">
        <f>COUNTIFS(DataRegularSeason20242025!$D$3:$D$1315,$A30,DataRegularSeason20242025!$H$3:$H$1315, $A30)</f>
        <v>16</v>
      </c>
      <c r="BO30">
        <f>COUNTIFS(DataRegularSeason20242025!$E$3:$E$1315,$A30,DataRegularSeason20242025!$H$3:$H$1315, $A30)</f>
        <v>19</v>
      </c>
      <c r="BP30">
        <f t="shared" si="8"/>
        <v>35</v>
      </c>
      <c r="BQ30">
        <f t="shared" si="9"/>
        <v>9</v>
      </c>
      <c r="BR30">
        <f t="shared" si="10"/>
        <v>7</v>
      </c>
      <c r="BS30">
        <f t="shared" si="11"/>
        <v>16</v>
      </c>
      <c r="BV30">
        <v>2003</v>
      </c>
      <c r="BW30" t="str">
        <f>INDEX(Table2[AwayTeam], Table3[[#This Row],[Column2]])</f>
        <v>NSH</v>
      </c>
      <c r="BX30">
        <f>LARGE((Table2[[#This Row],[AwayTeam]]=Table3[[#This Row],[Teams]]), 1)</f>
        <v>0</v>
      </c>
      <c r="CD30" s="66"/>
      <c r="CE30" s="135" t="s">
        <v>24</v>
      </c>
      <c r="CF30" s="136"/>
      <c r="CG30" s="96"/>
      <c r="CH30" s="96"/>
      <c r="CI30" s="96"/>
      <c r="CJ30" s="96"/>
      <c r="CK30" s="96"/>
      <c r="CL30" s="96"/>
      <c r="CM30" s="96"/>
      <c r="CN30" s="96"/>
      <c r="CO30" s="96"/>
      <c r="CP30" s="96"/>
      <c r="CQ30" s="97"/>
    </row>
    <row r="31" spans="1:95" ht="15.75" thickBot="1" x14ac:dyDescent="0.3">
      <c r="A31" t="s">
        <v>16</v>
      </c>
      <c r="B31" t="s">
        <v>98</v>
      </c>
      <c r="C31" t="s">
        <v>81</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0.92156862745098034</v>
      </c>
      <c r="F31">
        <f>COUNTIFS(DataRegularSeason20242025!$N$3:$N$1315,1,DataRegularSeason20242025!$D$3:$D$1315,$A31)</f>
        <v>25</v>
      </c>
      <c r="G31">
        <f>41-Table3[[#This Row],[GP_A]]</f>
        <v>16</v>
      </c>
      <c r="H31">
        <f>COUNTIFS(DataRegularSeason20242025!$E$3:$E$1315,$A31,DataRegularSeason20242025!$N$3:$N$1315,1)</f>
        <v>26</v>
      </c>
      <c r="I31">
        <f>41-Table3[[#This Row],[GP_H]]</f>
        <v>15</v>
      </c>
      <c r="J31">
        <f t="shared" si="0"/>
        <v>51</v>
      </c>
      <c r="K31">
        <f>82-Table3[[#This Row],[GP]]</f>
        <v>31</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0</v>
      </c>
      <c r="P31">
        <f t="shared" si="1"/>
        <v>16</v>
      </c>
      <c r="Q31">
        <f>COUNTIFS(DataRegularSeason20242025!$D$3:$D$1315,$A31, DataRegularSeason20242025!$S$3:$S$1315, $A31,DataRegularSeason20242025!$M$3:$M$1315,"REG")</f>
        <v>13</v>
      </c>
      <c r="R31">
        <f>COUNTIFS(DataRegularSeason20242025!$D$3:$D$1315,$A31, DataRegularSeason20242025!$S$3:$S$1315, $A31,DataRegularSeason20242025!$M$3:$M$1315,"OT")</f>
        <v>2</v>
      </c>
      <c r="S31">
        <f>COUNTIFS(DataRegularSeason20242025!$D$3:$D$1315,$A31, DataRegularSeason20242025!$S$3:$S$1315, $A31,DataRegularSeason20242025!$M$3:$M$1315,"SO")</f>
        <v>1</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5</v>
      </c>
      <c r="W31">
        <f>COUNTIFS(DataRegularSeason20242025!$E$3:$E$1315,$A31, DataRegularSeason20242025!$L$3:$L$1315, $A31,DataRegularSeason20242025!$N$3:$N$1315,1,DataRegularSeason20242025!$M$3:$M$1315,"SO")</f>
        <v>0</v>
      </c>
      <c r="X31">
        <f t="shared" si="2"/>
        <v>10</v>
      </c>
      <c r="Y31">
        <f>COUNTIFS(DataRegularSeason20242025!$E$3:$E$1315,$A31, DataRegularSeason20242025!$S$3:$S$1315, $A31,DataRegularSeason20242025!$M$3:$M$1315,"REG")</f>
        <v>7</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25</v>
      </c>
      <c r="AC31">
        <f>Table3[[#This Row],[L_A]]+Table3[[#This Row],[L_H]]</f>
        <v>26</v>
      </c>
      <c r="AD31">
        <f>Table3[[#This Row],[RW_A]]+Table3[[#This Row],[RW_H]]</f>
        <v>18</v>
      </c>
      <c r="AE31">
        <f>Table3[[#This Row],[RL_A]]+Table3[[#This Row],[RL_H]]</f>
        <v>20</v>
      </c>
      <c r="AF31">
        <f>Table3[[#This Row],[OTW_A]]+Table3[[#This Row],[OTW_H]]</f>
        <v>7</v>
      </c>
      <c r="AG31">
        <f>Table3[[#This Row],[OTL_A]]+Table3[[#This Row],[OTL_H]]</f>
        <v>5</v>
      </c>
      <c r="AH31">
        <f>Table3[[#This Row],[SOW_A]]+Table3[[#This Row],[SOW_H]]</f>
        <v>0</v>
      </c>
      <c r="AI31">
        <f>Table3[[#This Row],[SOL_A]]+Table3[[#This Row],[SOL_H]]</f>
        <v>1</v>
      </c>
      <c r="AJ31" s="20" t="str">
        <f>_xlfn.CONCAT(TEXT(Table3[[#This Row],[OTW]]+Table3[[#This Row],[SOW]], "0"), "-", TEXT(Table3[[#This Row],[OTL]]+Table3[[#This Row],[SOL]],"0"))</f>
        <v>7-6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74</v>
      </c>
      <c r="AM31" s="15">
        <f>Table3[[#This Row],[PTS]]/(2*Table3[[#This Row],[GP]])</f>
        <v>0.5490196078431373</v>
      </c>
      <c r="AN31" s="15">
        <f>Table3[[#This Row],[PTS2]]/(3*Table3[[#This Row],[GP]])</f>
        <v>0.48366013071895425</v>
      </c>
      <c r="AO31">
        <f>(2*Table3[[#This Row],[GR]])+Table3[[#This Row],[PTS]]</f>
        <v>118</v>
      </c>
      <c r="AP31">
        <f>(3*Table3[[#This Row],[GR]])+Table3[[#This Row],[PTS2]]</f>
        <v>167</v>
      </c>
      <c r="AQ31">
        <f>Table3[[#This Row],[PTS]]+(2 * Table3[[#This Row],[GR]] * Table3[[#This Row],[PTS%]])</f>
        <v>90.039215686274503</v>
      </c>
      <c r="AR31">
        <f>Table3[[#This Row],[PTS2]]+(3 * Table3[[#This Row],[GR]] * Table3[[#This Row],[PTS%2]])</f>
        <v>118.98039215686275</v>
      </c>
      <c r="AS31" s="20" t="str">
        <f>_xlfn.CONCAT(TEXT(Table3[[#This Row],[W]], "0"), "-", TEXT(Table3[[#This Row],[RL]],"0"), "-", TEXT(Table3[[#This Row],[OTL]]+Table3[[#This Row],[SOL]], "0"))</f>
        <v>25-20-6</v>
      </c>
      <c r="AT31">
        <f>COUNTIFS(DataRegularSeason20242025!$D$3:$D$1315,Table3[[#This Row],[Teams]],DataRegularSeason20242025!$K$3:$K$1315,0)</f>
        <v>1</v>
      </c>
      <c r="AU31">
        <f>SUMIF(DataRegularSeason20242025!$D$3:$D$1315,$A31, DataRegularSeason20242025!$J$3:$J$1315)</f>
        <v>64</v>
      </c>
      <c r="AV31">
        <f>SUMIF(DataRegularSeason20242025!$D$3:$D$1315,$A31, DataRegularSeason20242025!$K$3:$K$1315)</f>
        <v>97</v>
      </c>
      <c r="AW31">
        <f t="shared" si="3"/>
        <v>-33</v>
      </c>
      <c r="AX31">
        <f>COUNTIFS(DataRegularSeason20242025!$E$3:$E$1315,Table3[[#This Row],[Teams]],DataRegularSeason20242025!$J$3:$J$1315,0)</f>
        <v>4</v>
      </c>
      <c r="AY31">
        <f>SUMIF(DataRegularSeason20242025!$E$3:$E$1315,$A31,DataRegularSeason20242025!$K$3:$K$1315)</f>
        <v>75</v>
      </c>
      <c r="AZ31">
        <f>SUMIF(DataRegularSeason20242025!$E$3:$E$1315,$A31,DataRegularSeason20242025!$J$3:$J$1315)</f>
        <v>62</v>
      </c>
      <c r="BA31">
        <f t="shared" si="4"/>
        <v>13</v>
      </c>
      <c r="BB31">
        <f t="shared" si="5"/>
        <v>139</v>
      </c>
      <c r="BC31">
        <f t="shared" si="6"/>
        <v>159</v>
      </c>
      <c r="BD31">
        <f t="shared" si="7"/>
        <v>-20</v>
      </c>
      <c r="BE31" s="17">
        <f>Table3[[#This Row],[GF]]/Table3[[#This Row],[GP]]</f>
        <v>2.7254901960784315</v>
      </c>
      <c r="BF31" s="17">
        <f>Table3[[#This Row],[GA]]/Table3[[#This Row],[GP]]</f>
        <v>3.1176470588235294</v>
      </c>
      <c r="BG31" s="17">
        <f>(Table3[[#This Row],[GF]]-Table3[[#This Row],[GA]])/Table3[[#This Row],[GP]]</f>
        <v>-0.39215686274509803</v>
      </c>
      <c r="BH31" s="49" t="str">
        <f>_xlfn.CONCAT(TEXT(Table3[[#This Row],[W_H]], "0"), "-", TEXT(Table3[[#This Row],[RL_H]],"0"), "-", TEXT(Table3[[#This Row],[OTL_H]]+Table3[[#This Row],[SOL_H]], "0"))</f>
        <v>16-7-3</v>
      </c>
      <c r="BI31" s="49" t="str">
        <f>_xlfn.CONCAT(TEXT(Table3[[#This Row],[W_A]], "0"), "-", TEXT(Table3[[#This Row],[RL_A]],"0"), "-", TEXT(Table3[[#This Row],[OTL_A]]+Table3[[#This Row],[SOL_A]], "0"))</f>
        <v>9-13-3</v>
      </c>
      <c r="BJ31" s="49">
        <f>((2*(Table3[[#This Row],[W_H]]))+Table3[[#This Row],[OTL_H]]+Table3[[#This Row],[SOL_H]])/(2*Table3[[#This Row],[GP_H]])</f>
        <v>0.67307692307692313</v>
      </c>
      <c r="BK31" s="49">
        <f>((2*(Table3[[#This Row],[W_A]]))+Table3[[#This Row],[OTL_A]]+Table3[[#This Row],[SOL_A]])/(2*Table3[[#This Row],[GP_A]])</f>
        <v>0.42</v>
      </c>
      <c r="BL31" s="21">
        <f>(Table3[[#This Row],[W]]*$CG$3)+(Table3[[#This Row],[L]]*$CG$4)+(Table3[[#This Row],[GF]]*$CG$5)+(Table3[[#This Row],[GA]]*$CG$6)</f>
        <v>57.05</v>
      </c>
      <c r="BM31" s="21">
        <f>(82*(((Table3[[#This Row],[PTS%]]*$CG$3)+((1-Table3[[#This Row],[PTS%]])*$CG$4)+(Table3[[#This Row],[GF]]*$CG$5)+(Table3[[#This Row],[GA]]*$CG$6))/Table3[[#This Row],[GP]])) + (Table3[[#This Row],[W]]*$CG$3)+(Table3[[#This Row],[L]]*$CG$4)+(Table3[[#This Row],[GF]]*$CG$5)+(Table3[[#This Row],[GA]]*$CG$6)</f>
        <v>116.79713571703191</v>
      </c>
      <c r="BN31">
        <f>COUNTIFS(DataRegularSeason20242025!$D$3:$D$1315,$A31,DataRegularSeason20242025!$H$3:$H$1315, $A31)</f>
        <v>9</v>
      </c>
      <c r="BO31">
        <f>COUNTIFS(DataRegularSeason20242025!$E$3:$E$1315,$A31,DataRegularSeason20242025!$H$3:$H$1315, $A31)</f>
        <v>12</v>
      </c>
      <c r="BP31">
        <f t="shared" si="8"/>
        <v>21</v>
      </c>
      <c r="BQ31">
        <f t="shared" si="9"/>
        <v>16</v>
      </c>
      <c r="BR31">
        <f t="shared" si="10"/>
        <v>14</v>
      </c>
      <c r="BS31">
        <f t="shared" si="11"/>
        <v>30</v>
      </c>
      <c r="BV31">
        <v>2011</v>
      </c>
      <c r="BW31" t="str">
        <f>INDEX(Table2[AwayTeam], Table3[[#This Row],[Column2]])</f>
        <v>CAR</v>
      </c>
      <c r="BX31">
        <f>LARGE((Table2[[#This Row],[AwayTeam]]=Table3[[#This Row],[Teams]]), 1)</f>
        <v>0</v>
      </c>
      <c r="CE31" s="137"/>
      <c r="CF31" s="138"/>
      <c r="CG31" s="67">
        <v>0</v>
      </c>
      <c r="CH31" s="67">
        <v>1</v>
      </c>
      <c r="CI31" s="67">
        <v>2</v>
      </c>
      <c r="CJ31" s="67">
        <v>3</v>
      </c>
      <c r="CK31" s="67">
        <v>4</v>
      </c>
      <c r="CL31" s="67">
        <v>5</v>
      </c>
      <c r="CM31" s="67">
        <v>6</v>
      </c>
      <c r="CN31" s="67">
        <v>7</v>
      </c>
      <c r="CO31" s="67">
        <v>8</v>
      </c>
      <c r="CP31" s="67">
        <v>9</v>
      </c>
      <c r="CQ31" s="68">
        <v>10</v>
      </c>
    </row>
    <row r="32" spans="1:95" ht="15.75" thickTop="1" x14ac:dyDescent="0.25">
      <c r="A32" t="s">
        <v>21</v>
      </c>
      <c r="B32" t="s">
        <v>98</v>
      </c>
      <c r="C32" t="s">
        <v>99</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0.90196078431372551</v>
      </c>
      <c r="F32">
        <f>COUNTIFS(DataRegularSeason20242025!$N$3:$N$1315,1,DataRegularSeason20242025!$D$3:$D$1315,$A32)</f>
        <v>26</v>
      </c>
      <c r="G32">
        <f>41-Table3[[#This Row],[GP_A]]</f>
        <v>15</v>
      </c>
      <c r="H32">
        <f>COUNTIFS(DataRegularSeason20242025!$E$3:$E$1315,$A32,DataRegularSeason20242025!$N$3:$N$1315,1)</f>
        <v>25</v>
      </c>
      <c r="I32">
        <f>41-Table3[[#This Row],[GP_H]]</f>
        <v>16</v>
      </c>
      <c r="J32">
        <f t="shared" si="0"/>
        <v>51</v>
      </c>
      <c r="K32">
        <f>82-Table3[[#This Row],[GP]]</f>
        <v>31</v>
      </c>
      <c r="L32">
        <f>COUNTIFS(DataRegularSeason20242025!$D$3:$D$1315,$A32, DataRegularSeason20242025!$L$3:$L$1315, $A32,DataRegularSeason20242025!$N$3:$N$1315,1)</f>
        <v>8</v>
      </c>
      <c r="M32">
        <f>COUNTIFS(DataRegularSeason20242025!$D$3:$D$1315,$A32, DataRegularSeason20242025!$L$3:$L$1315, $A32,DataRegularSeason20242025!$N$3:$N$1315,1,DataRegularSeason20242025!$M$3:$M$1315,"REG")</f>
        <v>7</v>
      </c>
      <c r="N32">
        <f>COUNTIFS(DataRegularSeason20242025!$D$3:$D$1315,$A32, DataRegularSeason20242025!$L$3:$L$1315, $A32,DataRegularSeason20242025!$N$3:$N$1315,1,DataRegularSeason20242025!$M$3:$M$1315,"OT")</f>
        <v>1</v>
      </c>
      <c r="O32">
        <f>COUNTIFS(DataRegularSeason20242025!$D$3:$D$1315,$A32, DataRegularSeason20242025!$L$3:$L$1315, $A32,DataRegularSeason20242025!$N$3:$N$1315,1,DataRegularSeason20242025!$M$3:$M$1315,"SO")</f>
        <v>0</v>
      </c>
      <c r="P32">
        <f t="shared" si="1"/>
        <v>18</v>
      </c>
      <c r="Q32">
        <f>COUNTIFS(DataRegularSeason20242025!$D$3:$D$1315,$A32, DataRegularSeason20242025!$S$3:$S$1315, $A32,DataRegularSeason20242025!$M$3:$M$1315,"REG")</f>
        <v>13</v>
      </c>
      <c r="R32">
        <f>COUNTIFS(DataRegularSeason20242025!$D$3:$D$1315,$A32, DataRegularSeason20242025!$S$3:$S$1315, $A32,DataRegularSeason20242025!$M$3:$M$1315,"OT")</f>
        <v>2</v>
      </c>
      <c r="S32">
        <f>COUNTIFS(DataRegularSeason20242025!$D$3:$D$1315,$A32, DataRegularSeason20242025!$S$3:$S$1315, $A32,DataRegularSeason20242025!$M$3:$M$1315,"SO")</f>
        <v>3</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7</v>
      </c>
      <c r="V32">
        <f>COUNTIFS(DataRegularSeason20242025!$E$3:$E$1315,$A32, DataRegularSeason20242025!$L$3:$L$1315, $A32,DataRegularSeason20242025!$N$3:$N$1315,1,DataRegularSeason20242025!$M$3:$M$1315,"OT")</f>
        <v>4</v>
      </c>
      <c r="W32">
        <f>COUNTIFS(DataRegularSeason20242025!$E$3:$E$1315,$A32, DataRegularSeason20242025!$L$3:$L$1315, $A32,DataRegularSeason20242025!$N$3:$N$1315,1,DataRegularSeason20242025!$M$3:$M$1315,"SO")</f>
        <v>1</v>
      </c>
      <c r="X32">
        <f t="shared" si="2"/>
        <v>13</v>
      </c>
      <c r="Y32">
        <f>COUNTIFS(DataRegularSeason20242025!$E$3:$E$1315,$A32, DataRegularSeason20242025!$S$3:$S$1315, $A32,DataRegularSeason20242025!$M$3:$M$1315,"REG")</f>
        <v>10</v>
      </c>
      <c r="Z32">
        <f>COUNTIFS(DataRegularSeason20242025!$E$3:$E$1315,$A32, DataRegularSeason20242025!$S$3:$S$1315, $A32,DataRegularSeason20242025!$M$3:$M$1315,"OT")</f>
        <v>2</v>
      </c>
      <c r="AA32">
        <f>COUNTIFS(DataRegularSeason20242025!$E$3:$E$1315,$A32, DataRegularSeason20242025!$S$3:$S$1315, $A32,DataRegularSeason20242025!$M$3:$M$1315,"SO")</f>
        <v>1</v>
      </c>
      <c r="AB32">
        <f>Table3[[#This Row],[W_A]]+Table3[[#This Row],[W_H]]</f>
        <v>20</v>
      </c>
      <c r="AC32">
        <f>Table3[[#This Row],[L_A]]+Table3[[#This Row],[L_H]]</f>
        <v>31</v>
      </c>
      <c r="AD32">
        <f>Table3[[#This Row],[RW_A]]+Table3[[#This Row],[RW_H]]</f>
        <v>14</v>
      </c>
      <c r="AE32">
        <f>Table3[[#This Row],[RL_A]]+Table3[[#This Row],[RL_H]]</f>
        <v>23</v>
      </c>
      <c r="AF32">
        <f>Table3[[#This Row],[OTW_A]]+Table3[[#This Row],[OTW_H]]</f>
        <v>5</v>
      </c>
      <c r="AG32">
        <f>Table3[[#This Row],[OTL_A]]+Table3[[#This Row],[OTL_H]]</f>
        <v>4</v>
      </c>
      <c r="AH32">
        <f>Table3[[#This Row],[SOW_A]]+Table3[[#This Row],[SOW_H]]</f>
        <v>1</v>
      </c>
      <c r="AI32">
        <f>Table3[[#This Row],[SOL_A]]+Table3[[#This Row],[SOL_H]]</f>
        <v>4</v>
      </c>
      <c r="AJ32" s="20" t="str">
        <f>_xlfn.CONCAT(TEXT(Table3[[#This Row],[OTW]]+Table3[[#This Row],[SOW]], "0"), "-", TEXT(Table3[[#This Row],[OTL]]+Table3[[#This Row],[SOL]],"0"))</f>
        <v>6-8</v>
      </c>
      <c r="AK32">
        <f>(2*(Table3[[#This Row],[W_A]]+Table3[[#This Row],[W_H]]))+Table3[[#This Row],[OTL_A]]+Table3[[#This Row],[SOL_A]]+Table3[[#This Row],[OTL_H]]+Table3[[#This Row],[SOL_H]]</f>
        <v>48</v>
      </c>
      <c r="AL32">
        <f>(3*(Table3[[#This Row],[RW_A]]+Table3[[#This Row],[RW_H]]))+(2*(Table3[[#This Row],[OTW_A]]+Table3[[#This Row],[SOW_A]]+Table3[[#This Row],[OTW_H]]+Table3[[#This Row],[SOW_H]]))+Table3[[#This Row],[OTL_A]]+Table3[[#This Row],[SOL_A]]+Table3[[#This Row],[OTL_H]]+Table3[[#This Row],[SOL_H]]</f>
        <v>62</v>
      </c>
      <c r="AM32" s="15">
        <f>Table3[[#This Row],[PTS]]/(2*Table3[[#This Row],[GP]])</f>
        <v>0.47058823529411764</v>
      </c>
      <c r="AN32" s="15">
        <f>Table3[[#This Row],[PTS2]]/(3*Table3[[#This Row],[GP]])</f>
        <v>0.40522875816993464</v>
      </c>
      <c r="AO32">
        <f>(2*Table3[[#This Row],[GR]])+Table3[[#This Row],[PTS]]</f>
        <v>110</v>
      </c>
      <c r="AP32">
        <f>(3*Table3[[#This Row],[GR]])+Table3[[#This Row],[PTS2]]</f>
        <v>155</v>
      </c>
      <c r="AQ32">
        <f>Table3[[#This Row],[PTS]]+(2 * Table3[[#This Row],[GR]] * Table3[[#This Row],[PTS%]])</f>
        <v>77.17647058823529</v>
      </c>
      <c r="AR32">
        <f>Table3[[#This Row],[PTS2]]+(3 * Table3[[#This Row],[GR]] * Table3[[#This Row],[PTS%2]])</f>
        <v>99.686274509803923</v>
      </c>
      <c r="AS32" s="20" t="str">
        <f>_xlfn.CONCAT(TEXT(Table3[[#This Row],[W]], "0"), "-", TEXT(Table3[[#This Row],[RL]],"0"), "-", TEXT(Table3[[#This Row],[OTL]]+Table3[[#This Row],[SOL]], "0"))</f>
        <v>20-23-8</v>
      </c>
      <c r="AT32">
        <f>COUNTIFS(DataRegularSeason20242025!$D$3:$D$1315,Table3[[#This Row],[Teams]],DataRegularSeason20242025!$K$3:$K$1315,0)</f>
        <v>0</v>
      </c>
      <c r="AU32">
        <f>SUMIF(DataRegularSeason20242025!$D$3:$D$1315,$A32, DataRegularSeason20242025!$J$3:$J$1315)</f>
        <v>76</v>
      </c>
      <c r="AV32">
        <f>SUMIF(DataRegularSeason20242025!$D$3:$D$1315,$A32, DataRegularSeason20242025!$K$3:$K$1315)</f>
        <v>95</v>
      </c>
      <c r="AW32">
        <f t="shared" si="3"/>
        <v>-19</v>
      </c>
      <c r="AX32">
        <f>COUNTIFS(DataRegularSeason20242025!$E$3:$E$1315,Table3[[#This Row],[Teams]],DataRegularSeason20242025!$J$3:$J$1315,0)</f>
        <v>0</v>
      </c>
      <c r="AY32">
        <f>SUMIF(DataRegularSeason20242025!$E$3:$E$1315,$A32,DataRegularSeason20242025!$K$3:$K$1315)</f>
        <v>74</v>
      </c>
      <c r="AZ32">
        <f>SUMIF(DataRegularSeason20242025!$E$3:$E$1315,$A32,DataRegularSeason20242025!$J$3:$J$1315)</f>
        <v>94</v>
      </c>
      <c r="BA32">
        <f t="shared" si="4"/>
        <v>-20</v>
      </c>
      <c r="BB32">
        <f t="shared" si="5"/>
        <v>150</v>
      </c>
      <c r="BC32">
        <f t="shared" si="6"/>
        <v>189</v>
      </c>
      <c r="BD32">
        <f t="shared" si="7"/>
        <v>-39</v>
      </c>
      <c r="BE32" s="17">
        <f>Table3[[#This Row],[GF]]/Table3[[#This Row],[GP]]</f>
        <v>2.9411764705882355</v>
      </c>
      <c r="BF32" s="17">
        <f>Table3[[#This Row],[GA]]/Table3[[#This Row],[GP]]</f>
        <v>3.7058823529411766</v>
      </c>
      <c r="BG32" s="17">
        <f>(Table3[[#This Row],[GF]]-Table3[[#This Row],[GA]])/Table3[[#This Row],[GP]]</f>
        <v>-0.76470588235294112</v>
      </c>
      <c r="BH32" s="49" t="str">
        <f>_xlfn.CONCAT(TEXT(Table3[[#This Row],[W_H]], "0"), "-", TEXT(Table3[[#This Row],[RL_H]],"0"), "-", TEXT(Table3[[#This Row],[OTL_H]]+Table3[[#This Row],[SOL_H]], "0"))</f>
        <v>12-10-3</v>
      </c>
      <c r="BI32" s="49" t="str">
        <f>_xlfn.CONCAT(TEXT(Table3[[#This Row],[W_A]], "0"), "-", TEXT(Table3[[#This Row],[RL_A]],"0"), "-", TEXT(Table3[[#This Row],[OTL_A]]+Table3[[#This Row],[SOL_A]], "0"))</f>
        <v>8-13-5</v>
      </c>
      <c r="BJ32" s="49">
        <f>((2*(Table3[[#This Row],[W_H]]))+Table3[[#This Row],[OTL_H]]+Table3[[#This Row],[SOL_H]])/(2*Table3[[#This Row],[GP_H]])</f>
        <v>0.54</v>
      </c>
      <c r="BK32" s="49">
        <f>((2*(Table3[[#This Row],[W_A]]))+Table3[[#This Row],[OTL_A]]+Table3[[#This Row],[SOL_A]])/(2*Table3[[#This Row],[GP_A]])</f>
        <v>0.40384615384615385</v>
      </c>
      <c r="BL32" s="21">
        <f>(Table3[[#This Row],[W]]*$CG$3)+(Table3[[#This Row],[L]]*$CG$4)+(Table3[[#This Row],[GF]]*$CG$5)+(Table3[[#This Row],[GA]]*$CG$6)</f>
        <v>60.7</v>
      </c>
      <c r="BM32" s="21">
        <f>(82*(((Table3[[#This Row],[PTS%]]*$CG$3)+((1-Table3[[#This Row],[PTS%]])*$CG$4)+(Table3[[#This Row],[GF]]*$CG$5)+(Table3[[#This Row],[GA]]*$CG$6))/Table3[[#This Row],[GP]])) + (Table3[[#This Row],[W]]*$CG$3)+(Table3[[#This Row],[L]]*$CG$4)+(Table3[[#This Row],[GF]]*$CG$5)+(Table3[[#This Row],[GA]]*$CG$6)</f>
        <v>127.89838523644752</v>
      </c>
      <c r="BN32">
        <f>COUNTIFS(DataRegularSeason20242025!$D$3:$D$1315,$A32,DataRegularSeason20242025!$H$3:$H$1315, $A32)</f>
        <v>14</v>
      </c>
      <c r="BO32">
        <f>COUNTIFS(DataRegularSeason20242025!$E$3:$E$1315,$A32,DataRegularSeason20242025!$H$3:$H$1315, $A32)</f>
        <v>11</v>
      </c>
      <c r="BP32">
        <f t="shared" si="8"/>
        <v>25</v>
      </c>
      <c r="BQ32">
        <f t="shared" si="9"/>
        <v>12</v>
      </c>
      <c r="BR32">
        <f t="shared" si="10"/>
        <v>14</v>
      </c>
      <c r="BS32">
        <f t="shared" si="11"/>
        <v>26</v>
      </c>
      <c r="BV32">
        <v>2017</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43</v>
      </c>
      <c r="E33" s="15">
        <f>Table3[[#This Row],[Watched]]/Table3[[#This Row],[GP]]</f>
        <v>0.82692307692307687</v>
      </c>
      <c r="F33">
        <f>COUNTIFS(DataRegularSeason20242025!$N$3:$N$1315,1,DataRegularSeason20242025!$D$3:$D$1315,$A33)</f>
        <v>27</v>
      </c>
      <c r="G33">
        <f>41-Table3[[#This Row],[GP_A]]</f>
        <v>14</v>
      </c>
      <c r="H33">
        <f>COUNTIFS(DataRegularSeason20242025!$E$3:$E$1315,$A33,DataRegularSeason20242025!$N$3:$N$1315,1)</f>
        <v>25</v>
      </c>
      <c r="I33">
        <f>41-Table3[[#This Row],[GP_H]]</f>
        <v>16</v>
      </c>
      <c r="J33">
        <f t="shared" si="0"/>
        <v>52</v>
      </c>
      <c r="K33">
        <f>82-Table3[[#This Row],[GP]]</f>
        <v>30</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38</v>
      </c>
      <c r="AD33">
        <f>Table3[[#This Row],[RW_A]]+Table3[[#This Row],[RW_H]]</f>
        <v>10</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0.32692307692307693</v>
      </c>
      <c r="AN33" s="15">
        <f>Table3[[#This Row],[PTS2]]/(3*Table3[[#This Row],[GP]])</f>
        <v>0.28205128205128205</v>
      </c>
      <c r="AO33">
        <f>(2*Table3[[#This Row],[GR]])+Table3[[#This Row],[PTS]]</f>
        <v>94</v>
      </c>
      <c r="AP33">
        <f>(3*Table3[[#This Row],[GR]])+Table3[[#This Row],[PTS2]]</f>
        <v>134</v>
      </c>
      <c r="AQ33">
        <f>Table3[[#This Row],[PTS]]+(2 * Table3[[#This Row],[GR]] * Table3[[#This Row],[PTS%]])</f>
        <v>53.615384615384613</v>
      </c>
      <c r="AR33">
        <f>Table3[[#This Row],[PTS2]]+(3 * Table3[[#This Row],[GR]] * Table3[[#This Row],[PTS%2]])</f>
        <v>69.384615384615387</v>
      </c>
      <c r="AS33" s="20" t="str">
        <f>_xlfn.CONCAT(TEXT(Table3[[#This Row],[W]], "0"), "-", TEXT(Table3[[#This Row],[RL]],"0"), "-", TEXT(Table3[[#This Row],[OTL]]+Table3[[#This Row],[SOL]], "0"))</f>
        <v>14-32-6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 t="shared" si="3"/>
        <v>-37</v>
      </c>
      <c r="AX33">
        <f>COUNTIFS(DataRegularSeason20242025!$E$3:$E$1315,Table3[[#This Row],[Teams]],DataRegularSeason20242025!$J$3:$J$1315,0)</f>
        <v>0</v>
      </c>
      <c r="AY33">
        <f>SUMIF(DataRegularSeason20242025!$E$3:$E$1315,$A33,DataRegularSeason20242025!$K$3:$K$1315)</f>
        <v>70</v>
      </c>
      <c r="AZ33">
        <f>SUMIF(DataRegularSeason20242025!$E$3:$E$1315,$A33,DataRegularSeason20242025!$J$3:$J$1315)</f>
        <v>91</v>
      </c>
      <c r="BA33">
        <f t="shared" si="4"/>
        <v>-21</v>
      </c>
      <c r="BB33">
        <f t="shared" si="5"/>
        <v>137</v>
      </c>
      <c r="BC33">
        <f t="shared" si="6"/>
        <v>195</v>
      </c>
      <c r="BD33">
        <f t="shared" si="7"/>
        <v>-58</v>
      </c>
      <c r="BE33" s="17">
        <f>Table3[[#This Row],[GF]]/Table3[[#This Row],[GP]]</f>
        <v>2.6346153846153846</v>
      </c>
      <c r="BF33" s="17">
        <f>Table3[[#This Row],[GA]]/Table3[[#This Row],[GP]]</f>
        <v>3.75</v>
      </c>
      <c r="BG33" s="17">
        <f>(Table3[[#This Row],[GF]]-Table3[[#This Row],[GA]])/Table3[[#This Row],[GP]]</f>
        <v>-1.1153846153846154</v>
      </c>
      <c r="BH33" s="49" t="str">
        <f>_xlfn.CONCAT(TEXT(Table3[[#This Row],[W_H]], "0"), "-", TEXT(Table3[[#This Row],[RL_H]],"0"), "-", TEXT(Table3[[#This Row],[OTL_H]]+Table3[[#This Row],[SOL_H]], "0"))</f>
        <v>8-16-1</v>
      </c>
      <c r="BI33" s="49" t="str">
        <f>_xlfn.CONCAT(TEXT(Table3[[#This Row],[W_A]], "0"), "-", TEXT(Table3[[#This Row],[RL_A]],"0"), "-", TEXT(Table3[[#This Row],[OTL_A]]+Table3[[#This Row],[SOL_A]], "0"))</f>
        <v>6-16-5</v>
      </c>
      <c r="BJ33" s="49">
        <f>((2*(Table3[[#This Row],[W_H]]))+Table3[[#This Row],[OTL_H]]+Table3[[#This Row],[SOL_H]])/(2*Table3[[#This Row],[GP_H]])</f>
        <v>0.34</v>
      </c>
      <c r="BK33" s="49">
        <f>((2*(Table3[[#This Row],[W_A]]))+Table3[[#This Row],[OTL_A]]+Table3[[#This Row],[SOL_A]])/(2*Table3[[#This Row],[GP_A]])</f>
        <v>0.31481481481481483</v>
      </c>
      <c r="BL33" s="21">
        <f>(Table3[[#This Row],[W]]*$CG$3)+(Table3[[#This Row],[L]]*$CG$4)+(Table3[[#This Row],[GF]]*$CG$5)+(Table3[[#This Row],[GA]]*$CG$6)</f>
        <v>58.45</v>
      </c>
      <c r="BM33" s="21">
        <f>(82*(((Table3[[#This Row],[PTS%]]*$CG$3)+((1-Table3[[#This Row],[PTS%]])*$CG$4)+(Table3[[#This Row],[GF]]*$CG$5)+(Table3[[#This Row],[GA]]*$CG$6))/Table3[[#This Row],[GP]])) + (Table3[[#This Row],[W]]*$CG$3)+(Table3[[#This Row],[L]]*$CG$4)+(Table3[[#This Row],[GF]]*$CG$5)+(Table3[[#This Row],[GA]]*$CG$6)</f>
        <v>122.1819526627219</v>
      </c>
      <c r="BN33">
        <f>COUNTIFS(DataRegularSeason20242025!$D$3:$D$1315,$A33,DataRegularSeason20242025!$H$3:$H$1315, $A33)</f>
        <v>4</v>
      </c>
      <c r="BO33">
        <f>COUNTIFS(DataRegularSeason20242025!$E$3:$E$1315,$A33,DataRegularSeason20242025!$H$3:$H$1315, $A33)</f>
        <v>6</v>
      </c>
      <c r="BP33">
        <f t="shared" si="8"/>
        <v>10</v>
      </c>
      <c r="BQ33">
        <f t="shared" si="9"/>
        <v>23</v>
      </c>
      <c r="BR33">
        <f t="shared" si="10"/>
        <v>19</v>
      </c>
      <c r="BS33">
        <f t="shared" si="11"/>
        <v>42</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1304</v>
      </c>
      <c r="E35">
        <f t="shared" ref="E35:BU35" si="14">SUM(E$2:E$33)</f>
        <v>26.445232792113501</v>
      </c>
      <c r="F35">
        <f t="shared" si="14"/>
        <v>789</v>
      </c>
      <c r="G35">
        <f t="shared" si="14"/>
        <v>523</v>
      </c>
      <c r="H35">
        <f t="shared" si="14"/>
        <v>789</v>
      </c>
      <c r="I35">
        <f t="shared" si="14"/>
        <v>523</v>
      </c>
      <c r="J35">
        <f t="shared" si="14"/>
        <v>1578</v>
      </c>
      <c r="K35">
        <f t="shared" si="14"/>
        <v>1046</v>
      </c>
      <c r="L35">
        <f t="shared" si="14"/>
        <v>355</v>
      </c>
      <c r="M35">
        <f t="shared" si="14"/>
        <v>283</v>
      </c>
      <c r="N35">
        <f t="shared" si="14"/>
        <v>56</v>
      </c>
      <c r="O35">
        <f t="shared" si="14"/>
        <v>16</v>
      </c>
      <c r="P35">
        <f t="shared" si="14"/>
        <v>434</v>
      </c>
      <c r="Q35">
        <f t="shared" si="14"/>
        <v>348</v>
      </c>
      <c r="R35">
        <f t="shared" si="14"/>
        <v>63</v>
      </c>
      <c r="S35">
        <f t="shared" si="14"/>
        <v>23</v>
      </c>
      <c r="T35">
        <f t="shared" si="14"/>
        <v>434</v>
      </c>
      <c r="U35">
        <f t="shared" si="14"/>
        <v>348</v>
      </c>
      <c r="V35">
        <f t="shared" si="14"/>
        <v>63</v>
      </c>
      <c r="W35">
        <f t="shared" si="14"/>
        <v>23</v>
      </c>
      <c r="X35">
        <f t="shared" si="14"/>
        <v>355</v>
      </c>
      <c r="Y35">
        <f t="shared" si="14"/>
        <v>283</v>
      </c>
      <c r="Z35">
        <f t="shared" si="14"/>
        <v>56</v>
      </c>
      <c r="AA35">
        <f t="shared" si="14"/>
        <v>16</v>
      </c>
      <c r="AB35">
        <f t="shared" si="14"/>
        <v>789</v>
      </c>
      <c r="AC35">
        <f t="shared" si="14"/>
        <v>789</v>
      </c>
      <c r="AD35">
        <f t="shared" si="14"/>
        <v>631</v>
      </c>
      <c r="AE35">
        <f t="shared" si="14"/>
        <v>631</v>
      </c>
      <c r="AF35">
        <f t="shared" si="14"/>
        <v>119</v>
      </c>
      <c r="AG35">
        <f t="shared" si="14"/>
        <v>119</v>
      </c>
      <c r="AH35">
        <f t="shared" si="14"/>
        <v>39</v>
      </c>
      <c r="AI35">
        <f t="shared" si="14"/>
        <v>39</v>
      </c>
      <c r="AK35">
        <f t="shared" si="14"/>
        <v>1736</v>
      </c>
      <c r="AL35">
        <f t="shared" si="14"/>
        <v>2367</v>
      </c>
      <c r="AM35">
        <f t="shared" si="14"/>
        <v>17.607868563813486</v>
      </c>
      <c r="AN35">
        <f t="shared" si="14"/>
        <v>16.007404974252797</v>
      </c>
      <c r="AO35">
        <f t="shared" si="14"/>
        <v>3828</v>
      </c>
      <c r="AP35">
        <f t="shared" si="14"/>
        <v>5505</v>
      </c>
      <c r="AQ35">
        <f t="shared" si="14"/>
        <v>2887.690444465411</v>
      </c>
      <c r="AR35">
        <f t="shared" si="14"/>
        <v>3937.8216236661879</v>
      </c>
      <c r="AT35">
        <f t="shared" si="14"/>
        <v>39</v>
      </c>
      <c r="AU35">
        <f t="shared" si="14"/>
        <v>2298</v>
      </c>
      <c r="AV35">
        <f t="shared" si="14"/>
        <v>2458</v>
      </c>
      <c r="AW35">
        <f t="shared" si="14"/>
        <v>-160</v>
      </c>
      <c r="AX35">
        <f t="shared" si="14"/>
        <v>54</v>
      </c>
      <c r="AY35">
        <f t="shared" si="14"/>
        <v>2458</v>
      </c>
      <c r="AZ35">
        <f t="shared" si="14"/>
        <v>2298</v>
      </c>
      <c r="BA35">
        <f t="shared" si="14"/>
        <v>160</v>
      </c>
      <c r="BB35">
        <f t="shared" si="14"/>
        <v>4756</v>
      </c>
      <c r="BC35">
        <f t="shared" si="14"/>
        <v>4756</v>
      </c>
      <c r="BD35">
        <f t="shared" si="14"/>
        <v>0</v>
      </c>
      <c r="BE35">
        <f t="shared" si="14"/>
        <v>96.419358107791581</v>
      </c>
      <c r="BF35">
        <f t="shared" si="14"/>
        <v>96.383663030429574</v>
      </c>
      <c r="BG35">
        <f t="shared" si="14"/>
        <v>3.5695077362048799E-2</v>
      </c>
      <c r="BL35">
        <f t="shared" si="14"/>
        <v>1820.1999999999998</v>
      </c>
      <c r="BN35">
        <f t="shared" si="14"/>
        <v>361</v>
      </c>
      <c r="BO35">
        <f t="shared" si="14"/>
        <v>437</v>
      </c>
      <c r="BP35">
        <f t="shared" si="14"/>
        <v>798</v>
      </c>
      <c r="BQ35">
        <f t="shared" si="14"/>
        <v>428</v>
      </c>
      <c r="BR35">
        <f t="shared" si="14"/>
        <v>352</v>
      </c>
      <c r="BS35">
        <f t="shared" si="14"/>
        <v>780</v>
      </c>
      <c r="BT35">
        <f t="shared" si="14"/>
        <v>24</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40.75</v>
      </c>
      <c r="E36">
        <f t="shared" ref="E36:BU36" si="15">AVERAGE(E$2:E$33)</f>
        <v>0.8264135247535469</v>
      </c>
      <c r="F36">
        <f t="shared" si="15"/>
        <v>24.65625</v>
      </c>
      <c r="G36">
        <f t="shared" si="15"/>
        <v>16.34375</v>
      </c>
      <c r="H36">
        <f t="shared" si="15"/>
        <v>24.65625</v>
      </c>
      <c r="I36">
        <f t="shared" si="15"/>
        <v>16.34375</v>
      </c>
      <c r="J36">
        <f t="shared" si="15"/>
        <v>49.3125</v>
      </c>
      <c r="K36">
        <f t="shared" si="15"/>
        <v>32.6875</v>
      </c>
      <c r="L36">
        <f t="shared" si="15"/>
        <v>11.09375</v>
      </c>
      <c r="M36">
        <f t="shared" si="15"/>
        <v>8.84375</v>
      </c>
      <c r="N36">
        <f t="shared" si="15"/>
        <v>1.75</v>
      </c>
      <c r="O36">
        <f t="shared" si="15"/>
        <v>0.5</v>
      </c>
      <c r="P36">
        <f t="shared" si="15"/>
        <v>13.5625</v>
      </c>
      <c r="Q36">
        <f t="shared" si="15"/>
        <v>10.875</v>
      </c>
      <c r="R36">
        <f t="shared" si="15"/>
        <v>1.96875</v>
      </c>
      <c r="S36">
        <f t="shared" si="15"/>
        <v>0.71875</v>
      </c>
      <c r="T36">
        <f t="shared" si="15"/>
        <v>13.5625</v>
      </c>
      <c r="U36">
        <f t="shared" si="15"/>
        <v>10.875</v>
      </c>
      <c r="V36">
        <f t="shared" si="15"/>
        <v>1.96875</v>
      </c>
      <c r="W36">
        <f t="shared" si="15"/>
        <v>0.71875</v>
      </c>
      <c r="X36">
        <f t="shared" si="15"/>
        <v>11.09375</v>
      </c>
      <c r="Y36">
        <f t="shared" si="15"/>
        <v>8.84375</v>
      </c>
      <c r="Z36">
        <f t="shared" si="15"/>
        <v>1.75</v>
      </c>
      <c r="AA36">
        <f t="shared" si="15"/>
        <v>0.5</v>
      </c>
      <c r="AB36">
        <f t="shared" si="15"/>
        <v>24.65625</v>
      </c>
      <c r="AC36">
        <f t="shared" si="15"/>
        <v>24.65625</v>
      </c>
      <c r="AD36">
        <f t="shared" si="15"/>
        <v>19.71875</v>
      </c>
      <c r="AE36">
        <f t="shared" si="15"/>
        <v>19.71875</v>
      </c>
      <c r="AF36">
        <f t="shared" si="15"/>
        <v>3.71875</v>
      </c>
      <c r="AG36">
        <f t="shared" si="15"/>
        <v>3.71875</v>
      </c>
      <c r="AH36">
        <f t="shared" si="15"/>
        <v>1.21875</v>
      </c>
      <c r="AI36">
        <f t="shared" si="15"/>
        <v>1.21875</v>
      </c>
      <c r="AK36">
        <f t="shared" si="15"/>
        <v>54.25</v>
      </c>
      <c r="AL36">
        <f t="shared" si="15"/>
        <v>73.96875</v>
      </c>
      <c r="AM36">
        <f t="shared" si="15"/>
        <v>0.55024589261917145</v>
      </c>
      <c r="AN36">
        <f t="shared" si="15"/>
        <v>0.5002314054453999</v>
      </c>
      <c r="AO36">
        <f t="shared" si="15"/>
        <v>119.625</v>
      </c>
      <c r="AP36">
        <f t="shared" si="15"/>
        <v>172.03125</v>
      </c>
      <c r="AQ36">
        <f t="shared" si="15"/>
        <v>90.240326389544094</v>
      </c>
      <c r="AR36">
        <f t="shared" si="15"/>
        <v>123.05692573956837</v>
      </c>
      <c r="AT36">
        <f t="shared" si="15"/>
        <v>1.21875</v>
      </c>
      <c r="AU36">
        <f t="shared" si="15"/>
        <v>71.8125</v>
      </c>
      <c r="AV36">
        <f t="shared" si="15"/>
        <v>76.8125</v>
      </c>
      <c r="AW36">
        <f t="shared" si="15"/>
        <v>-5</v>
      </c>
      <c r="AX36">
        <f t="shared" si="15"/>
        <v>1.6875</v>
      </c>
      <c r="AY36">
        <f t="shared" si="15"/>
        <v>76.8125</v>
      </c>
      <c r="AZ36">
        <f t="shared" si="15"/>
        <v>71.8125</v>
      </c>
      <c r="BA36">
        <f t="shared" si="15"/>
        <v>5</v>
      </c>
      <c r="BB36">
        <f t="shared" si="15"/>
        <v>148.625</v>
      </c>
      <c r="BC36">
        <f t="shared" si="15"/>
        <v>148.625</v>
      </c>
      <c r="BD36">
        <f t="shared" si="15"/>
        <v>0</v>
      </c>
      <c r="BE36">
        <f t="shared" si="15"/>
        <v>3.0131049408684869</v>
      </c>
      <c r="BF36">
        <f t="shared" si="15"/>
        <v>3.0119894697009242</v>
      </c>
      <c r="BG36">
        <f t="shared" si="15"/>
        <v>1.115471167564025E-3</v>
      </c>
      <c r="BL36">
        <f t="shared" si="15"/>
        <v>56.881249999999994</v>
      </c>
      <c r="BN36">
        <f t="shared" si="15"/>
        <v>11.28125</v>
      </c>
      <c r="BO36">
        <f t="shared" si="15"/>
        <v>13.65625</v>
      </c>
      <c r="BP36">
        <f t="shared" si="15"/>
        <v>24.9375</v>
      </c>
      <c r="BQ36">
        <f t="shared" si="15"/>
        <v>13.375</v>
      </c>
      <c r="BR36">
        <f t="shared" si="15"/>
        <v>11</v>
      </c>
      <c r="BS36">
        <f t="shared" si="15"/>
        <v>24.375</v>
      </c>
      <c r="BT36">
        <f t="shared" si="15"/>
        <v>24</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7.0356236397351442</v>
      </c>
      <c r="E37">
        <f t="shared" ref="E37:BU37" si="16">_xlfn.STDEV.P(E$2:E$33)</f>
        <v>0.1407067943541277</v>
      </c>
      <c r="F37">
        <f t="shared" si="16"/>
        <v>1.4707433282187616</v>
      </c>
      <c r="G37">
        <f t="shared" si="16"/>
        <v>1.4707433282187616</v>
      </c>
      <c r="H37">
        <f t="shared" si="16"/>
        <v>1.7959916306876265</v>
      </c>
      <c r="I37">
        <f t="shared" si="16"/>
        <v>1.7959916306876265</v>
      </c>
      <c r="J37">
        <f t="shared" si="16"/>
        <v>1.2103072956898178</v>
      </c>
      <c r="K37">
        <f t="shared" si="16"/>
        <v>1.2103072956898178</v>
      </c>
      <c r="L37">
        <f t="shared" si="16"/>
        <v>2.9512642947557239</v>
      </c>
      <c r="M37">
        <f t="shared" si="16"/>
        <v>2.8625750536012151</v>
      </c>
      <c r="N37">
        <f t="shared" si="16"/>
        <v>1.1726039399558574</v>
      </c>
      <c r="O37">
        <f t="shared" si="16"/>
        <v>0.66143782776614768</v>
      </c>
      <c r="P37">
        <f t="shared" si="16"/>
        <v>3.2971341722774947</v>
      </c>
      <c r="Q37">
        <f t="shared" si="16"/>
        <v>2.6070817018267762</v>
      </c>
      <c r="R37">
        <f t="shared" si="16"/>
        <v>1.3106385609694231</v>
      </c>
      <c r="S37">
        <f t="shared" si="16"/>
        <v>0.97578093724974968</v>
      </c>
      <c r="T37">
        <f t="shared" si="16"/>
        <v>3.2685767162482207</v>
      </c>
      <c r="U37">
        <f t="shared" si="16"/>
        <v>3.3703671906781909</v>
      </c>
      <c r="V37">
        <f t="shared" si="16"/>
        <v>1.2370422133055929</v>
      </c>
      <c r="W37">
        <f t="shared" si="16"/>
        <v>0.87444178622707636</v>
      </c>
      <c r="X37">
        <f t="shared" si="16"/>
        <v>3.095958807461753</v>
      </c>
      <c r="Y37">
        <f t="shared" si="16"/>
        <v>2.9379986278928043</v>
      </c>
      <c r="Z37">
        <f t="shared" si="16"/>
        <v>1.1989578808281798</v>
      </c>
      <c r="AA37">
        <f t="shared" si="16"/>
        <v>0.61237243569579447</v>
      </c>
      <c r="AB37">
        <f t="shared" si="16"/>
        <v>4.9409600218479808</v>
      </c>
      <c r="AC37">
        <f t="shared" si="16"/>
        <v>4.9850362022256167</v>
      </c>
      <c r="AD37">
        <f t="shared" si="16"/>
        <v>4.9575345119827459</v>
      </c>
      <c r="AE37">
        <f t="shared" si="16"/>
        <v>4.2663975948685327</v>
      </c>
      <c r="AF37">
        <f t="shared" si="16"/>
        <v>1.5458487757539545</v>
      </c>
      <c r="AG37">
        <f t="shared" si="16"/>
        <v>1.824047268439061</v>
      </c>
      <c r="AH37">
        <f t="shared" si="16"/>
        <v>1.1383753500054365</v>
      </c>
      <c r="AI37">
        <f t="shared" si="16"/>
        <v>1.0820806058237991</v>
      </c>
      <c r="AK37">
        <f t="shared" si="16"/>
        <v>8.8987358652788426</v>
      </c>
      <c r="AL37">
        <f t="shared" si="16"/>
        <v>13.623243866183266</v>
      </c>
      <c r="AM37">
        <f t="shared" si="16"/>
        <v>8.9697268565406899E-2</v>
      </c>
      <c r="AN37">
        <f t="shared" si="16"/>
        <v>9.1825813309018844E-2</v>
      </c>
      <c r="AO37">
        <f t="shared" si="16"/>
        <v>9.075206609218327</v>
      </c>
      <c r="AP37">
        <f t="shared" si="16"/>
        <v>14.003312945067679</v>
      </c>
      <c r="AQ37">
        <f t="shared" si="16"/>
        <v>14.710352044726807</v>
      </c>
      <c r="AR37">
        <f t="shared" si="16"/>
        <v>22.589150074018796</v>
      </c>
      <c r="AT37">
        <f t="shared" si="16"/>
        <v>1.2179484543690673</v>
      </c>
      <c r="AU37">
        <f t="shared" si="16"/>
        <v>9.6612547709911887</v>
      </c>
      <c r="AV37">
        <f t="shared" si="16"/>
        <v>11.389242457248859</v>
      </c>
      <c r="AW37">
        <f t="shared" si="16"/>
        <v>15.956973397232948</v>
      </c>
      <c r="AX37">
        <f t="shared" si="16"/>
        <v>1.3331705629813464</v>
      </c>
      <c r="AY37">
        <f t="shared" si="16"/>
        <v>11.052255143182318</v>
      </c>
      <c r="AZ37">
        <f t="shared" si="16"/>
        <v>12.060880720328843</v>
      </c>
      <c r="BA37">
        <f t="shared" si="16"/>
        <v>17.562388789683482</v>
      </c>
      <c r="BB37">
        <f t="shared" si="16"/>
        <v>14.955663642914681</v>
      </c>
      <c r="BC37">
        <f t="shared" si="16"/>
        <v>18.425101763626706</v>
      </c>
      <c r="BD37">
        <f t="shared" si="16"/>
        <v>26.77802270519614</v>
      </c>
      <c r="BE37">
        <f t="shared" si="16"/>
        <v>0.28582379586483947</v>
      </c>
      <c r="BF37">
        <f t="shared" si="16"/>
        <v>0.3462679874273869</v>
      </c>
      <c r="BG37">
        <f t="shared" si="16"/>
        <v>0.53828918857814723</v>
      </c>
      <c r="BL37">
        <f t="shared" si="16"/>
        <v>2.9861856418347466</v>
      </c>
      <c r="BN37">
        <f t="shared" si="16"/>
        <v>5.0697286354892803</v>
      </c>
      <c r="BO37">
        <f t="shared" si="16"/>
        <v>5.4348952094313647</v>
      </c>
      <c r="BP37">
        <f t="shared" si="16"/>
        <v>10.071424613727693</v>
      </c>
      <c r="BQ37">
        <f t="shared" si="16"/>
        <v>5.383713866839507</v>
      </c>
      <c r="BR37">
        <f t="shared" si="16"/>
        <v>5.018714974971183</v>
      </c>
      <c r="BS37">
        <f t="shared" si="16"/>
        <v>10.027306467840702</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0.75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1.8000000000000003</v>
      </c>
      <c r="CK48" s="21">
        <f t="shared" si="19"/>
        <v>2</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3.4499999999999997</v>
      </c>
      <c r="CJ49" s="86"/>
      <c r="CK49" s="21">
        <f t="shared" si="20"/>
        <v>4.5999999999999996</v>
      </c>
      <c r="CL49" s="21">
        <f t="shared" si="20"/>
        <v>2.5</v>
      </c>
      <c r="CM49" s="21">
        <f t="shared" si="20"/>
        <v>0</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1.2</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53.29999999999999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22" t="s">
        <v>47</v>
      </c>
      <c r="D1" s="123"/>
      <c r="E1" s="122" t="s">
        <v>24</v>
      </c>
      <c r="F1" s="123"/>
      <c r="G1" s="122" t="s">
        <v>23</v>
      </c>
      <c r="H1" s="123"/>
      <c r="I1" s="122" t="s">
        <v>28</v>
      </c>
      <c r="J1" s="123"/>
      <c r="K1" s="122" t="s">
        <v>12</v>
      </c>
      <c r="L1" s="123"/>
      <c r="M1" s="122" t="s">
        <v>38</v>
      </c>
      <c r="N1" s="123"/>
      <c r="O1" s="122" t="s">
        <v>25</v>
      </c>
      <c r="P1" s="123"/>
      <c r="Q1" s="122" t="s">
        <v>27</v>
      </c>
      <c r="R1" s="130"/>
      <c r="S1" s="122" t="s">
        <v>17</v>
      </c>
      <c r="T1" s="123"/>
      <c r="U1" s="122" t="s">
        <v>26</v>
      </c>
      <c r="V1" s="123"/>
      <c r="W1" s="122" t="s">
        <v>34</v>
      </c>
      <c r="X1" s="123"/>
      <c r="Y1" s="122" t="s">
        <v>37</v>
      </c>
      <c r="Z1" s="123"/>
      <c r="AA1" s="122" t="s">
        <v>35</v>
      </c>
      <c r="AB1" s="123"/>
      <c r="AC1" s="122" t="s">
        <v>13</v>
      </c>
      <c r="AD1" s="123"/>
      <c r="AE1" s="122" t="s">
        <v>15</v>
      </c>
      <c r="AF1" s="123"/>
      <c r="AG1" s="131" t="s">
        <v>22</v>
      </c>
      <c r="AH1" s="130"/>
      <c r="AI1" s="122" t="s">
        <v>44</v>
      </c>
      <c r="AJ1" s="123"/>
      <c r="AK1" s="122" t="s">
        <v>36</v>
      </c>
      <c r="AL1" s="123"/>
      <c r="AM1" s="122" t="s">
        <v>32</v>
      </c>
      <c r="AN1" s="123"/>
      <c r="AO1" s="122" t="s">
        <v>33</v>
      </c>
      <c r="AP1" s="123"/>
      <c r="AQ1" s="122" t="s">
        <v>20</v>
      </c>
      <c r="AR1" s="123"/>
      <c r="AS1" s="122" t="s">
        <v>45</v>
      </c>
      <c r="AT1" s="123"/>
      <c r="AU1" s="122" t="s">
        <v>21</v>
      </c>
      <c r="AV1" s="123"/>
      <c r="AW1" s="122" t="s">
        <v>46</v>
      </c>
      <c r="AX1" s="130"/>
      <c r="AY1" s="122" t="s">
        <v>16</v>
      </c>
      <c r="AZ1" s="123"/>
      <c r="BA1" s="122" t="s">
        <v>29</v>
      </c>
      <c r="BB1" s="123"/>
      <c r="BC1" s="122" t="s">
        <v>31</v>
      </c>
      <c r="BD1" s="123"/>
      <c r="BE1" s="122" t="s">
        <v>14</v>
      </c>
      <c r="BF1" s="122"/>
      <c r="BG1" s="126" t="s">
        <v>19</v>
      </c>
      <c r="BH1" s="127"/>
      <c r="BI1" s="122" t="s">
        <v>30</v>
      </c>
      <c r="BJ1" s="123"/>
      <c r="BK1" s="122" t="s">
        <v>43</v>
      </c>
      <c r="BL1" s="123"/>
      <c r="BM1" s="122" t="s">
        <v>18</v>
      </c>
      <c r="BN1" s="123"/>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8">
        <f>BO3+BO4</f>
        <v>49</v>
      </c>
      <c r="BQ3" s="124">
        <f>82-BP3</f>
        <v>33</v>
      </c>
    </row>
    <row r="4" spans="1:69" ht="12" customHeight="1" x14ac:dyDescent="0.25">
      <c r="A4" s="12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8"/>
      <c r="BQ4" s="124"/>
    </row>
    <row r="5" spans="1:69" ht="12"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28">
        <f t="shared" ref="BP5" si="1">BO5+BO6</f>
        <v>48</v>
      </c>
      <c r="BQ5" s="124">
        <f t="shared" ref="BQ5" si="2">82-BP5</f>
        <v>34</v>
      </c>
    </row>
    <row r="6" spans="1:69" ht="12" customHeight="1" x14ac:dyDescent="0.25">
      <c r="A6" s="12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28"/>
      <c r="BQ6" s="124"/>
    </row>
    <row r="7" spans="1:69" ht="12"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28">
        <f t="shared" ref="BP7" si="3">BO7+BO8</f>
        <v>49</v>
      </c>
      <c r="BQ7" s="124">
        <f t="shared" ref="BQ7" si="4">82-BP7</f>
        <v>33</v>
      </c>
    </row>
    <row r="8" spans="1:69" ht="12" customHeight="1" x14ac:dyDescent="0.25">
      <c r="A8" s="12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26</v>
      </c>
      <c r="BP8" s="128"/>
      <c r="BQ8" s="124"/>
    </row>
    <row r="9" spans="1:69" ht="12"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27</v>
      </c>
      <c r="BP9" s="128">
        <f t="shared" ref="BP9" si="5">BO9+BO10</f>
        <v>46</v>
      </c>
      <c r="BQ9" s="124">
        <f t="shared" ref="BQ9" si="6">82-BP9</f>
        <v>36</v>
      </c>
    </row>
    <row r="10" spans="1:69" ht="12" customHeight="1" x14ac:dyDescent="0.25">
      <c r="A10" s="12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28"/>
      <c r="BQ10" s="124"/>
    </row>
    <row r="11" spans="1:69" ht="12"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24</v>
      </c>
      <c r="BP11" s="128">
        <f t="shared" ref="BP11" si="7">BO11+BO12</f>
        <v>50</v>
      </c>
      <c r="BQ11" s="124">
        <f t="shared" ref="BQ11" si="8">82-BP11</f>
        <v>32</v>
      </c>
    </row>
    <row r="12" spans="1:69" ht="12" customHeight="1" x14ac:dyDescent="0.25">
      <c r="A12" s="12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28"/>
      <c r="BQ12" s="124"/>
    </row>
    <row r="13" spans="1:69" ht="12"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28">
        <f t="shared" ref="BP13" si="9">BO13+BO14</f>
        <v>52</v>
      </c>
      <c r="BQ13" s="124">
        <f t="shared" ref="BQ13" si="10">82-BP13</f>
        <v>30</v>
      </c>
    </row>
    <row r="14" spans="1:69" ht="12" customHeight="1" x14ac:dyDescent="0.25">
      <c r="A14" s="12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25</v>
      </c>
      <c r="BP14" s="128"/>
      <c r="BQ14" s="124"/>
    </row>
    <row r="15" spans="1:69" ht="12"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28">
        <f t="shared" ref="BP15" si="11">BO15+BO16</f>
        <v>48</v>
      </c>
      <c r="BQ15" s="124">
        <f t="shared" ref="BQ15" si="12">82-BP15</f>
        <v>34</v>
      </c>
    </row>
    <row r="16" spans="1:69" ht="12" customHeight="1" x14ac:dyDescent="0.25">
      <c r="A16" s="12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28"/>
      <c r="BQ16" s="124"/>
    </row>
    <row r="17" spans="1:69" ht="12"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28">
        <f t="shared" ref="BP17" si="13">BO17+BO18</f>
        <v>49</v>
      </c>
      <c r="BQ17" s="124">
        <f t="shared" ref="BQ17" si="14">82-BP17</f>
        <v>33</v>
      </c>
    </row>
    <row r="18" spans="1:69" ht="12" customHeight="1" thickBot="1" x14ac:dyDescent="0.3">
      <c r="A18" s="12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25</v>
      </c>
      <c r="BP18" s="128"/>
      <c r="BQ18" s="124"/>
    </row>
    <row r="19" spans="1:69" ht="12"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28">
        <f t="shared" ref="BP19" si="15">BO19+BO20</f>
        <v>48</v>
      </c>
      <c r="BQ19" s="124">
        <f t="shared" ref="BQ19" si="16">82-BP19</f>
        <v>34</v>
      </c>
    </row>
    <row r="20" spans="1:69" ht="12" customHeight="1" x14ac:dyDescent="0.25">
      <c r="A20" s="12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25</v>
      </c>
      <c r="BP20" s="128"/>
      <c r="BQ20" s="124"/>
    </row>
    <row r="21" spans="1:69" ht="12"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24</v>
      </c>
      <c r="BP21" s="128">
        <f t="shared" ref="BP21" si="17">BO21+BO22</f>
        <v>50</v>
      </c>
      <c r="BQ21" s="124">
        <f t="shared" ref="BQ21" si="18">82-BP21</f>
        <v>32</v>
      </c>
    </row>
    <row r="22" spans="1:69" ht="12" customHeight="1" x14ac:dyDescent="0.25">
      <c r="A22" s="12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28"/>
      <c r="BQ22" s="124"/>
    </row>
    <row r="23" spans="1:69" ht="12"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28">
        <f t="shared" ref="BP23" si="19">BO23+BO24</f>
        <v>49</v>
      </c>
      <c r="BQ23" s="124">
        <f t="shared" ref="BQ23" si="20">82-BP23</f>
        <v>33</v>
      </c>
    </row>
    <row r="24" spans="1:69" ht="12" customHeight="1" x14ac:dyDescent="0.25">
      <c r="A24" s="12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28"/>
      <c r="BQ24" s="124"/>
    </row>
    <row r="25" spans="1:69" ht="12"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25</v>
      </c>
      <c r="BP25" s="128">
        <f t="shared" ref="BP25" si="21">BO25+BO26</f>
        <v>49</v>
      </c>
      <c r="BQ25" s="124">
        <f t="shared" ref="BQ25" si="22">82-BP25</f>
        <v>33</v>
      </c>
    </row>
    <row r="26" spans="1:69" ht="12" customHeight="1" x14ac:dyDescent="0.25">
      <c r="A26" s="12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28"/>
      <c r="BQ26" s="124"/>
    </row>
    <row r="27" spans="1:69" ht="12"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28">
        <f t="shared" ref="BP27" si="23">BO27+BO28</f>
        <v>48</v>
      </c>
      <c r="BQ27" s="124">
        <f t="shared" ref="BQ27" si="24">82-BP27</f>
        <v>34</v>
      </c>
    </row>
    <row r="28" spans="1:69" ht="12" customHeight="1" x14ac:dyDescent="0.25">
      <c r="A28" s="12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28"/>
      <c r="BQ28" s="124"/>
    </row>
    <row r="29" spans="1:69" ht="12"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28">
        <f t="shared" ref="BP29" si="25">BO29+BO30</f>
        <v>50</v>
      </c>
      <c r="BQ29" s="124">
        <f t="shared" ref="BQ29" si="26">82-BP29</f>
        <v>32</v>
      </c>
    </row>
    <row r="30" spans="1:69" ht="12" customHeight="1" x14ac:dyDescent="0.25">
      <c r="A30" s="12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28"/>
      <c r="BQ30" s="124"/>
    </row>
    <row r="31" spans="1:69" ht="12"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28">
        <f t="shared" ref="BP31" si="27">BO31+BO32</f>
        <v>49</v>
      </c>
      <c r="BQ31" s="124">
        <f t="shared" ref="BQ31" si="28">82-BP31</f>
        <v>33</v>
      </c>
    </row>
    <row r="32" spans="1:69" ht="12" customHeight="1" x14ac:dyDescent="0.25">
      <c r="A32" s="12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28"/>
      <c r="BQ32" s="124"/>
    </row>
    <row r="33" spans="1:69" ht="12"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28">
        <f t="shared" ref="BP33" si="29">BO33+BO34</f>
        <v>51</v>
      </c>
      <c r="BQ33" s="124">
        <f t="shared" ref="BQ33" si="30">82-BP33</f>
        <v>31</v>
      </c>
    </row>
    <row r="34" spans="1:69" ht="12" customHeight="1" thickBot="1" x14ac:dyDescent="0.3">
      <c r="A34" s="12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28"/>
      <c r="BQ34" s="124"/>
    </row>
    <row r="35" spans="1:69" ht="12"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28">
        <f t="shared" ref="BP35" si="31">BO35+BO36</f>
        <v>50</v>
      </c>
      <c r="BQ35" s="124">
        <f t="shared" ref="BQ35" si="32">82-BP35</f>
        <v>32</v>
      </c>
    </row>
    <row r="36" spans="1:69" ht="12" customHeight="1" x14ac:dyDescent="0.25">
      <c r="A36" s="12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28"/>
      <c r="BQ36" s="124"/>
    </row>
    <row r="37" spans="1:69" ht="12"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28">
        <f t="shared" ref="BP37" si="33">BO37+BO38</f>
        <v>50</v>
      </c>
      <c r="BQ37" s="124">
        <f t="shared" ref="BQ37" si="34">82-BP37</f>
        <v>32</v>
      </c>
    </row>
    <row r="38" spans="1:69" ht="12" customHeight="1" x14ac:dyDescent="0.25">
      <c r="A38" s="12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28"/>
      <c r="BQ38" s="124"/>
    </row>
    <row r="39" spans="1:69" ht="12"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25</v>
      </c>
      <c r="BP39" s="128">
        <f t="shared" ref="BP39" si="35">BO39+BO40</f>
        <v>51</v>
      </c>
      <c r="BQ39" s="124">
        <f t="shared" ref="BQ39" si="36">82-BP39</f>
        <v>31</v>
      </c>
    </row>
    <row r="40" spans="1:69" ht="12" customHeight="1" x14ac:dyDescent="0.25">
      <c r="A40" s="12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28"/>
      <c r="BQ40" s="124"/>
    </row>
    <row r="41" spans="1:69" ht="12"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28">
        <f t="shared" ref="BP41" si="37">BO41+BO42</f>
        <v>48</v>
      </c>
      <c r="BQ41" s="124">
        <f t="shared" ref="BQ41" si="38">82-BP41</f>
        <v>34</v>
      </c>
    </row>
    <row r="42" spans="1:69" ht="12" customHeight="1" x14ac:dyDescent="0.25">
      <c r="A42" s="12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28"/>
      <c r="BQ42" s="124"/>
    </row>
    <row r="43" spans="1:69" ht="12"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28">
        <f t="shared" ref="BP43" si="39">BO43+BO44</f>
        <v>48</v>
      </c>
      <c r="BQ43" s="124">
        <f t="shared" ref="BQ43" si="40">82-BP43</f>
        <v>34</v>
      </c>
    </row>
    <row r="44" spans="1:69" ht="12" customHeight="1" x14ac:dyDescent="0.25">
      <c r="A44" s="12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23</v>
      </c>
      <c r="BP44" s="128"/>
      <c r="BQ44" s="124"/>
    </row>
    <row r="45" spans="1:69" ht="12"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28">
        <f t="shared" ref="BP45" si="41">BO45+BO46</f>
        <v>50</v>
      </c>
      <c r="BQ45" s="124">
        <f t="shared" ref="BQ45" si="42">82-BP45</f>
        <v>32</v>
      </c>
    </row>
    <row r="46" spans="1:69" ht="12" customHeight="1" x14ac:dyDescent="0.25">
      <c r="A46" s="12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23</v>
      </c>
      <c r="BP46" s="128"/>
      <c r="BQ46" s="124"/>
    </row>
    <row r="47" spans="1:69" ht="12"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28">
        <f t="shared" ref="BP47" si="43">BO47+BO48</f>
        <v>51</v>
      </c>
      <c r="BQ47" s="124">
        <f t="shared" ref="BQ47" si="44">82-BP47</f>
        <v>31</v>
      </c>
    </row>
    <row r="48" spans="1:69" ht="12" customHeight="1" x14ac:dyDescent="0.25">
      <c r="A48" s="12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28"/>
      <c r="BQ48" s="124"/>
    </row>
    <row r="49" spans="1:69" ht="12"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25</v>
      </c>
      <c r="BP49" s="128">
        <f t="shared" ref="BP49" si="45">BO49+BO50</f>
        <v>49</v>
      </c>
      <c r="BQ49" s="124">
        <f t="shared" ref="BQ49" si="46">82-BP49</f>
        <v>33</v>
      </c>
    </row>
    <row r="50" spans="1:69" ht="12" customHeight="1" thickBot="1" x14ac:dyDescent="0.3">
      <c r="A50" s="13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28"/>
      <c r="BQ50" s="124"/>
    </row>
    <row r="51" spans="1:69" ht="12" customHeight="1" thickTop="1" x14ac:dyDescent="0.25">
      <c r="A51" s="12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28">
        <f t="shared" ref="BP51" si="47">BO51+BO52</f>
        <v>51</v>
      </c>
      <c r="BQ51" s="124">
        <f t="shared" ref="BQ51" si="48">82-BP51</f>
        <v>31</v>
      </c>
    </row>
    <row r="52" spans="1:69" ht="12" customHeight="1" x14ac:dyDescent="0.25">
      <c r="A52" s="12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28"/>
      <c r="BQ52" s="124"/>
    </row>
    <row r="53" spans="1:69" ht="12"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28">
        <f t="shared" ref="BP53" si="49">BO53+BO54</f>
        <v>49</v>
      </c>
      <c r="BQ53" s="124">
        <f t="shared" ref="BQ53" si="50">82-BP53</f>
        <v>33</v>
      </c>
    </row>
    <row r="54" spans="1:69" ht="12" customHeight="1" x14ac:dyDescent="0.25">
      <c r="A54" s="12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28"/>
      <c r="BQ54" s="124"/>
    </row>
    <row r="55" spans="1:69" ht="12"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28">
        <f t="shared" ref="BP55" si="51">BO55+BO56</f>
        <v>49</v>
      </c>
      <c r="BQ55" s="124">
        <f t="shared" ref="BQ55" si="52">82-BP55</f>
        <v>33</v>
      </c>
    </row>
    <row r="56" spans="1:69" ht="12" customHeight="1" x14ac:dyDescent="0.25">
      <c r="A56" s="12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27</v>
      </c>
      <c r="BP56" s="128"/>
      <c r="BQ56" s="124"/>
    </row>
    <row r="57" spans="1:69" ht="12"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26</v>
      </c>
      <c r="BP57" s="128">
        <f t="shared" ref="BP57" si="53">BO57+BO58</f>
        <v>50</v>
      </c>
      <c r="BQ57" s="124">
        <f t="shared" ref="BQ57" si="54">82-BP57</f>
        <v>32</v>
      </c>
    </row>
    <row r="58" spans="1:69" ht="12" customHeight="1" x14ac:dyDescent="0.25">
      <c r="A58" s="12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28"/>
      <c r="BQ58" s="124"/>
    </row>
    <row r="59" spans="1:69" ht="12"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28">
        <f t="shared" ref="BP59" si="55">BO59+BO60</f>
        <v>49</v>
      </c>
      <c r="BQ59" s="124">
        <f t="shared" ref="BQ59" si="56">82-BP59</f>
        <v>33</v>
      </c>
    </row>
    <row r="60" spans="1:69" ht="12" customHeight="1" x14ac:dyDescent="0.25">
      <c r="A60" s="12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28"/>
      <c r="BQ60" s="124"/>
    </row>
    <row r="61" spans="1:69" ht="12"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28">
        <f t="shared" ref="BP61" si="57">BO61+BO62</f>
        <v>50</v>
      </c>
      <c r="BQ61" s="124">
        <f t="shared" ref="BQ61" si="58">82-BP61</f>
        <v>32</v>
      </c>
    </row>
    <row r="62" spans="1:69" ht="12" customHeight="1" x14ac:dyDescent="0.25">
      <c r="A62" s="12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28"/>
      <c r="BQ62" s="124"/>
    </row>
    <row r="63" spans="1:69" ht="12"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28">
        <f t="shared" ref="BP63" si="59">BO63+BO64</f>
        <v>48</v>
      </c>
      <c r="BQ63" s="124">
        <f t="shared" ref="BQ63" si="60">82-BP63</f>
        <v>34</v>
      </c>
    </row>
    <row r="64" spans="1:69" ht="12" customHeight="1" x14ac:dyDescent="0.25">
      <c r="A64" s="12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28"/>
      <c r="BQ64" s="124"/>
    </row>
    <row r="65" spans="1:69" ht="12"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28">
        <f t="shared" ref="BP65" si="61">BO65+BO66</f>
        <v>50</v>
      </c>
      <c r="BQ65" s="124">
        <f t="shared" ref="BQ65" si="62">82-BP65</f>
        <v>32</v>
      </c>
    </row>
    <row r="66" spans="1:69" ht="12" customHeight="1" x14ac:dyDescent="0.25">
      <c r="A66" s="12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28"/>
      <c r="BQ66" s="12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69" x14ac:dyDescent="0.25">
      <c r="BP68" s="50">
        <f>2*BP67/SUM(BP3:BQ66)</f>
        <v>0.60137195121951215</v>
      </c>
      <c r="BQ68" s="50">
        <f>2*BQ67/SUM(BP3:BQ66)</f>
        <v>0.3986280487804878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G33"/>
  <sheetViews>
    <sheetView tabSelected="1" workbookViewId="0">
      <selection activeCell="I2" sqref="I2"/>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1-0-0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1-0-0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0-1-0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0-0-1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1-2-0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1-0-0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2-0-1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0-1-0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0-0-1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1-0-0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0-1-0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1-0-0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3"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sheetData>
  <conditionalFormatting sqref="B2:AG33">
    <cfRule type="containsText" dxfId="8" priority="1" operator="containsText" text="0-1-0">
      <formula>NOT(ISERROR(SEARCH("0-1-0",B2)))</formula>
    </cfRule>
    <cfRule type="containsText" dxfId="7" priority="2" operator="containsText" text="0-2-0">
      <formula>NOT(ISERROR(SEARCH("0-2-0",B2)))</formula>
    </cfRule>
    <cfRule type="containsText" dxfId="6" priority="3" operator="containsText" text="0-3-0">
      <formula>NOT(ISERROR(SEARCH("0-3-0",B2)))</formula>
    </cfRule>
    <cfRule type="containsText" dxfId="5" priority="4" operator="containsText" text="0-4-0">
      <formula>NOT(ISERROR(SEARCH("0-4-0",B2)))</formula>
    </cfRule>
    <cfRule type="containsText" dxfId="4" priority="5" operator="containsText" text="1-0-0">
      <formula>NOT(ISERROR(SEARCH("1-0-0",B2)))</formula>
    </cfRule>
    <cfRule type="containsText" dxfId="3" priority="6" operator="containsText" text="2-0-0">
      <formula>NOT(ISERROR(SEARCH("2-0-0",B2)))</formula>
    </cfRule>
    <cfRule type="containsText" dxfId="2" priority="7" operator="containsText" text="3-0-0">
      <formula>NOT(ISERROR(SEARCH("3-0-0",B2)))</formula>
    </cfRule>
    <cfRule type="containsText" dxfId="1" priority="8" operator="containsText" text="4-0-0">
      <formula>NOT(ISERROR(SEARCH("4-0-0",B2)))</formula>
    </cfRule>
    <cfRule type="containsText" dxfId="0" priority="9" operator="containsText" text="0-0-0">
      <formula>NOT(ISERROR(SEARCH("0-0-0",B2)))</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2025-01-29T01:41:02Z</dcterms:modified>
</cp:coreProperties>
</file>