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briggs\Documents\Coding_Practice\Python\Jerseys\"/>
    </mc:Choice>
  </mc:AlternateContent>
  <xr:revisionPtr revIDLastSave="0" documentId="13_ncr:1_{DEEAF881-D704-4FA9-8CFE-0B8C27C9D399}" xr6:coauthVersionLast="47" xr6:coauthVersionMax="47" xr10:uidLastSave="{00000000-0000-0000-0000-000000000000}"/>
  <bookViews>
    <workbookView xWindow="-120" yWindow="-120" windowWidth="29040" windowHeight="15840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9" i="7" l="1"/>
  <c r="I69" i="7"/>
  <c r="H69" i="7"/>
  <c r="G69" i="7"/>
  <c r="F69" i="7"/>
  <c r="E69" i="7"/>
  <c r="D69" i="7"/>
  <c r="J67" i="7"/>
  <c r="I67" i="7"/>
  <c r="H67" i="7"/>
  <c r="G67" i="7"/>
  <c r="F67" i="7"/>
  <c r="E67" i="7"/>
  <c r="D67" i="7"/>
  <c r="H68" i="7"/>
  <c r="G68" i="7"/>
  <c r="F68" i="7"/>
  <c r="E68" i="7"/>
  <c r="D68" i="7"/>
  <c r="I66" i="7"/>
  <c r="H66" i="7"/>
  <c r="G66" i="7"/>
  <c r="F66" i="7"/>
  <c r="E66" i="7"/>
  <c r="D66" i="7"/>
  <c r="H65" i="7"/>
  <c r="G65" i="7"/>
  <c r="F65" i="7"/>
  <c r="E65" i="7"/>
  <c r="D65" i="7"/>
  <c r="G63" i="7"/>
  <c r="F63" i="7"/>
  <c r="E63" i="7"/>
  <c r="D63" i="7"/>
  <c r="H62" i="7"/>
  <c r="G62" i="7"/>
  <c r="F62" i="7"/>
  <c r="E62" i="7"/>
  <c r="D62" i="7"/>
  <c r="H64" i="7"/>
  <c r="G64" i="7"/>
  <c r="F64" i="7"/>
  <c r="E64" i="7"/>
  <c r="D64" i="7"/>
  <c r="G61" i="7"/>
  <c r="F61" i="7"/>
  <c r="E61" i="7"/>
  <c r="D61" i="7"/>
  <c r="I60" i="7"/>
  <c r="H60" i="7"/>
  <c r="G60" i="7"/>
  <c r="F60" i="7"/>
  <c r="E60" i="7"/>
  <c r="D60" i="7"/>
  <c r="H59" i="7"/>
  <c r="G59" i="7"/>
  <c r="F59" i="7"/>
  <c r="E59" i="7"/>
  <c r="D59" i="7"/>
  <c r="H58" i="7"/>
  <c r="G58" i="7"/>
  <c r="F58" i="7"/>
  <c r="E58" i="7"/>
  <c r="D58" i="7"/>
  <c r="G56" i="7"/>
  <c r="F56" i="7"/>
  <c r="E56" i="7"/>
  <c r="D56" i="7"/>
  <c r="I57" i="7"/>
  <c r="H57" i="7"/>
  <c r="G57" i="7"/>
  <c r="F57" i="7"/>
  <c r="E57" i="7"/>
  <c r="D57" i="7"/>
  <c r="J55" i="7"/>
  <c r="I55" i="7"/>
  <c r="H55" i="7"/>
  <c r="G55" i="7"/>
  <c r="F55" i="7"/>
  <c r="E55" i="7"/>
  <c r="D55" i="7"/>
  <c r="I54" i="7"/>
  <c r="H54" i="7"/>
  <c r="G54" i="7"/>
  <c r="F54" i="7"/>
  <c r="E54" i="7"/>
  <c r="D54" i="7"/>
  <c r="G52" i="7"/>
  <c r="F52" i="7"/>
  <c r="E52" i="7"/>
  <c r="D52" i="7"/>
  <c r="I50" i="7"/>
  <c r="H50" i="7"/>
  <c r="G50" i="7"/>
  <c r="F50" i="7"/>
  <c r="E50" i="7"/>
  <c r="D50" i="7"/>
  <c r="I53" i="7"/>
  <c r="H53" i="7"/>
  <c r="G53" i="7"/>
  <c r="F53" i="7"/>
  <c r="E53" i="7"/>
  <c r="D53" i="7"/>
  <c r="G49" i="7"/>
  <c r="F49" i="7"/>
  <c r="E49" i="7"/>
  <c r="D49" i="7"/>
  <c r="I51" i="7"/>
  <c r="H51" i="7"/>
  <c r="G51" i="7"/>
  <c r="F51" i="7"/>
  <c r="E51" i="7"/>
  <c r="D51" i="7"/>
  <c r="D48" i="7"/>
  <c r="I47" i="7"/>
  <c r="H47" i="7"/>
  <c r="G47" i="7"/>
  <c r="F47" i="7"/>
  <c r="E47" i="7"/>
  <c r="D47" i="7"/>
  <c r="H46" i="7"/>
  <c r="G46" i="7"/>
  <c r="F46" i="7"/>
  <c r="E46" i="7"/>
  <c r="D46" i="7"/>
  <c r="D45" i="7"/>
  <c r="I43" i="7"/>
  <c r="H43" i="7"/>
  <c r="G43" i="7"/>
  <c r="F43" i="7"/>
  <c r="E43" i="7"/>
  <c r="D43" i="7"/>
  <c r="H42" i="7"/>
  <c r="G42" i="7"/>
  <c r="F42" i="7"/>
  <c r="E42" i="7"/>
  <c r="D42" i="7"/>
  <c r="I41" i="7"/>
  <c r="H41" i="7"/>
  <c r="G41" i="7"/>
  <c r="F41" i="7"/>
  <c r="E41" i="7"/>
  <c r="D41" i="7"/>
  <c r="I40" i="7"/>
  <c r="H40" i="7"/>
  <c r="G40" i="7"/>
  <c r="F40" i="7"/>
  <c r="E40" i="7"/>
  <c r="D40" i="7"/>
  <c r="H44" i="7"/>
  <c r="G44" i="7"/>
  <c r="F44" i="7"/>
  <c r="E44" i="7"/>
  <c r="D44" i="7"/>
  <c r="G39" i="7"/>
  <c r="F39" i="7"/>
  <c r="E39" i="7"/>
  <c r="D39" i="7"/>
  <c r="H38" i="7"/>
  <c r="G38" i="7"/>
  <c r="F38" i="7"/>
  <c r="E38" i="7"/>
  <c r="D38" i="7"/>
  <c r="BS15" i="1" a="1"/>
  <c r="BS15" i="1" s="1"/>
  <c r="BU15" i="1" a="1"/>
  <c r="BU15" i="1" s="1"/>
  <c r="BS14" i="1" a="1"/>
  <c r="BS14" i="1" s="1"/>
  <c r="BU14" i="1" a="1"/>
  <c r="BU14" i="1" s="1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D9" i="7"/>
  <c r="E9" i="7"/>
  <c r="F9" i="7"/>
  <c r="G9" i="7"/>
  <c r="H9" i="7"/>
  <c r="D8" i="7"/>
  <c r="D11" i="7"/>
  <c r="E11" i="7"/>
  <c r="F11" i="7"/>
  <c r="G11" i="7"/>
  <c r="H11" i="7"/>
  <c r="I11" i="7"/>
  <c r="D13" i="7"/>
  <c r="E13" i="7"/>
  <c r="F13" i="7"/>
  <c r="G13" i="7"/>
  <c r="H13" i="7"/>
  <c r="I13" i="7"/>
  <c r="D29" i="7"/>
  <c r="E29" i="7"/>
  <c r="F29" i="7"/>
  <c r="G29" i="7"/>
  <c r="H29" i="7"/>
  <c r="D25" i="7"/>
  <c r="E25" i="7"/>
  <c r="F25" i="7"/>
  <c r="G25" i="7"/>
  <c r="D20" i="7"/>
  <c r="E20" i="7"/>
  <c r="F20" i="7"/>
  <c r="G20" i="7"/>
  <c r="D19" i="7"/>
  <c r="E19" i="7"/>
  <c r="F19" i="7"/>
  <c r="G19" i="7"/>
  <c r="H19" i="7"/>
  <c r="I19" i="7"/>
  <c r="J19" i="7"/>
  <c r="D7" i="7"/>
  <c r="E7" i="7"/>
  <c r="F7" i="7"/>
  <c r="G7" i="7"/>
  <c r="H7" i="7"/>
  <c r="I7" i="7"/>
  <c r="D28" i="7"/>
  <c r="E28" i="7"/>
  <c r="F28" i="7"/>
  <c r="G28" i="7"/>
  <c r="H28" i="7"/>
  <c r="D4" i="7"/>
  <c r="E4" i="7"/>
  <c r="F4" i="7"/>
  <c r="G4" i="7"/>
  <c r="D27" i="7"/>
  <c r="E27" i="7"/>
  <c r="F27" i="7"/>
  <c r="G27" i="7"/>
  <c r="D21" i="7"/>
  <c r="E21" i="7"/>
  <c r="F21" i="7"/>
  <c r="G21" i="7"/>
  <c r="H21" i="7"/>
  <c r="I21" i="7"/>
  <c r="D6" i="7"/>
  <c r="E6" i="7"/>
  <c r="F6" i="7"/>
  <c r="G6" i="7"/>
  <c r="H6" i="7"/>
  <c r="D12" i="7"/>
  <c r="D24" i="7"/>
  <c r="E24" i="7"/>
  <c r="F24" i="7"/>
  <c r="G24" i="7"/>
  <c r="H24" i="7"/>
  <c r="I24" i="7"/>
  <c r="D15" i="7"/>
  <c r="E15" i="7"/>
  <c r="F15" i="7"/>
  <c r="G15" i="7"/>
  <c r="H15" i="7"/>
  <c r="I15" i="7"/>
  <c r="D14" i="7"/>
  <c r="E14" i="7"/>
  <c r="F14" i="7"/>
  <c r="G14" i="7"/>
  <c r="D5" i="7"/>
  <c r="E5" i="7"/>
  <c r="F5" i="7"/>
  <c r="G5" i="7"/>
  <c r="H5" i="7"/>
  <c r="I5" i="7"/>
  <c r="D17" i="7"/>
  <c r="E17" i="7"/>
  <c r="F17" i="7"/>
  <c r="G17" i="7"/>
  <c r="H17" i="7"/>
  <c r="I17" i="7"/>
  <c r="D16" i="7"/>
  <c r="E16" i="7"/>
  <c r="F16" i="7"/>
  <c r="G16" i="7"/>
  <c r="D32" i="7"/>
  <c r="E32" i="7"/>
  <c r="F32" i="7"/>
  <c r="G32" i="7"/>
  <c r="H32" i="7"/>
  <c r="D33" i="7"/>
  <c r="E33" i="7"/>
  <c r="F33" i="7"/>
  <c r="G33" i="7"/>
  <c r="H33" i="7"/>
  <c r="I33" i="7"/>
  <c r="J33" i="7"/>
  <c r="D22" i="7"/>
  <c r="E22" i="7"/>
  <c r="F22" i="7"/>
  <c r="G22" i="7"/>
  <c r="H22" i="7"/>
  <c r="D3" i="7"/>
  <c r="E3" i="7"/>
  <c r="F3" i="7"/>
  <c r="G3" i="7"/>
  <c r="H3" i="7"/>
  <c r="I3" i="7"/>
  <c r="D2" i="7"/>
  <c r="E2" i="7"/>
  <c r="F2" i="7"/>
  <c r="G2" i="7"/>
  <c r="H2" i="7"/>
  <c r="D23" i="7"/>
  <c r="E23" i="7"/>
  <c r="F23" i="7"/>
  <c r="G23" i="7"/>
  <c r="H23" i="7"/>
  <c r="D30" i="7"/>
  <c r="E30" i="7"/>
  <c r="F30" i="7"/>
  <c r="G30" i="7"/>
  <c r="H30" i="7"/>
  <c r="I30" i="7"/>
  <c r="D26" i="7"/>
  <c r="E26" i="7"/>
  <c r="F26" i="7"/>
  <c r="G26" i="7"/>
  <c r="H26" i="7"/>
  <c r="D18" i="7"/>
  <c r="E18" i="7"/>
  <c r="F18" i="7"/>
  <c r="G18" i="7"/>
  <c r="H18" i="7"/>
  <c r="I18" i="7"/>
  <c r="D10" i="7"/>
  <c r="E10" i="7"/>
  <c r="F10" i="7"/>
  <c r="G10" i="7"/>
  <c r="H10" i="7"/>
  <c r="E31" i="7"/>
  <c r="F31" i="7"/>
  <c r="G31" i="7"/>
  <c r="H31" i="7"/>
  <c r="I31" i="7"/>
  <c r="J31" i="7"/>
  <c r="D31" i="7"/>
  <c r="CR34" i="2" a="1"/>
  <c r="BB28" i="2"/>
  <c r="BB4" i="2"/>
  <c r="BB13" i="2"/>
  <c r="BB2" i="2"/>
  <c r="BB23" i="2"/>
  <c r="BB15" i="2"/>
  <c r="BB33" i="2"/>
  <c r="BB32" i="2"/>
  <c r="BB8" i="2"/>
  <c r="BB18" i="2"/>
  <c r="BB9" i="2"/>
  <c r="BB7" i="2"/>
  <c r="BB3" i="2"/>
  <c r="BB21" i="2"/>
  <c r="BB20" i="2"/>
  <c r="BB19" i="2"/>
  <c r="BB24" i="2"/>
  <c r="BB30" i="2"/>
  <c r="BB17" i="2"/>
  <c r="BB14" i="2"/>
  <c r="BB5" i="2"/>
  <c r="BB10" i="2"/>
  <c r="BB16" i="2"/>
  <c r="BB6" i="2"/>
  <c r="BB27" i="2"/>
  <c r="BB22" i="2"/>
  <c r="BB11" i="2"/>
  <c r="BB12" i="2"/>
  <c r="BB31" i="2"/>
  <c r="BB26" i="2"/>
  <c r="BB25" i="2"/>
  <c r="BB29" i="2"/>
  <c r="AX28" i="2"/>
  <c r="AX4" i="2"/>
  <c r="AX13" i="2"/>
  <c r="AX2" i="2"/>
  <c r="AX23" i="2"/>
  <c r="AX15" i="2"/>
  <c r="AX33" i="2"/>
  <c r="AX32" i="2"/>
  <c r="AX8" i="2"/>
  <c r="AX18" i="2"/>
  <c r="AX9" i="2"/>
  <c r="AX7" i="2"/>
  <c r="AX3" i="2"/>
  <c r="AX21" i="2"/>
  <c r="AX20" i="2"/>
  <c r="AX19" i="2"/>
  <c r="AX24" i="2"/>
  <c r="AX30" i="2"/>
  <c r="AX17" i="2"/>
  <c r="AX14" i="2"/>
  <c r="AX5" i="2"/>
  <c r="AX10" i="2"/>
  <c r="AX16" i="2"/>
  <c r="AX6" i="2"/>
  <c r="AX27" i="2"/>
  <c r="AX22" i="2"/>
  <c r="AX11" i="2"/>
  <c r="AX12" i="2"/>
  <c r="AX31" i="2"/>
  <c r="AX26" i="2"/>
  <c r="AX25" i="2"/>
  <c r="AX29" i="2"/>
  <c r="AY23" i="2"/>
  <c r="AZ23" i="2"/>
  <c r="BC23" i="2"/>
  <c r="BD23" i="2"/>
  <c r="AY21" i="2"/>
  <c r="AZ21" i="2"/>
  <c r="BC21" i="2"/>
  <c r="BD21" i="2"/>
  <c r="AY9" i="2"/>
  <c r="AZ9" i="2"/>
  <c r="BC9" i="2"/>
  <c r="BD9" i="2"/>
  <c r="AY16" i="2"/>
  <c r="AZ16" i="2"/>
  <c r="BC16" i="2"/>
  <c r="BD16" i="2"/>
  <c r="AY13" i="2"/>
  <c r="AZ13" i="2"/>
  <c r="BC13" i="2"/>
  <c r="BD13" i="2"/>
  <c r="AY33" i="2"/>
  <c r="AZ33" i="2"/>
  <c r="BC33" i="2"/>
  <c r="BD33" i="2"/>
  <c r="AY7" i="2"/>
  <c r="AZ7" i="2"/>
  <c r="BC7" i="2"/>
  <c r="BD7" i="2"/>
  <c r="AY6" i="2"/>
  <c r="AZ6" i="2"/>
  <c r="BC6" i="2"/>
  <c r="BD6" i="2"/>
  <c r="AY17" i="2"/>
  <c r="AZ17" i="2"/>
  <c r="BC17" i="2"/>
  <c r="BD17" i="2"/>
  <c r="AY28" i="2"/>
  <c r="AZ28" i="2"/>
  <c r="BC28" i="2"/>
  <c r="BD28" i="2"/>
  <c r="AY2" i="2"/>
  <c r="AZ2" i="2"/>
  <c r="BC2" i="2"/>
  <c r="BD2" i="2"/>
  <c r="AY30" i="2"/>
  <c r="AZ30" i="2"/>
  <c r="BC30" i="2"/>
  <c r="BD30" i="2"/>
  <c r="AY10" i="2"/>
  <c r="AZ10" i="2"/>
  <c r="BC10" i="2"/>
  <c r="BD10" i="2"/>
  <c r="AY31" i="2"/>
  <c r="AZ31" i="2"/>
  <c r="BC31" i="2"/>
  <c r="BD31" i="2"/>
  <c r="AY14" i="2"/>
  <c r="AZ14" i="2"/>
  <c r="BC14" i="2"/>
  <c r="BD14" i="2"/>
  <c r="AY25" i="2"/>
  <c r="AZ25" i="2"/>
  <c r="BC25" i="2"/>
  <c r="BD25" i="2"/>
  <c r="AY19" i="2"/>
  <c r="AZ19" i="2"/>
  <c r="BC19" i="2"/>
  <c r="BD19" i="2"/>
  <c r="AY32" i="2"/>
  <c r="AZ32" i="2"/>
  <c r="BC32" i="2"/>
  <c r="BD32" i="2"/>
  <c r="AY11" i="2"/>
  <c r="AZ11" i="2"/>
  <c r="BC11" i="2"/>
  <c r="BD11" i="2"/>
  <c r="AY24" i="2"/>
  <c r="AZ24" i="2"/>
  <c r="BC24" i="2"/>
  <c r="BD24" i="2"/>
  <c r="AY3" i="2"/>
  <c r="AZ3" i="2"/>
  <c r="BC3" i="2"/>
  <c r="BD3" i="2"/>
  <c r="AY22" i="2"/>
  <c r="AZ22" i="2"/>
  <c r="BC22" i="2"/>
  <c r="BD22" i="2"/>
  <c r="AY26" i="2"/>
  <c r="AZ26" i="2"/>
  <c r="BC26" i="2"/>
  <c r="BD26" i="2"/>
  <c r="AY12" i="2"/>
  <c r="AZ12" i="2"/>
  <c r="BC12" i="2"/>
  <c r="BD12" i="2"/>
  <c r="AY8" i="2"/>
  <c r="AZ8" i="2"/>
  <c r="BC8" i="2"/>
  <c r="BD8" i="2"/>
  <c r="AY5" i="2"/>
  <c r="AZ5" i="2"/>
  <c r="BC5" i="2"/>
  <c r="BD5" i="2"/>
  <c r="AY15" i="2"/>
  <c r="AZ15" i="2"/>
  <c r="BC15" i="2"/>
  <c r="BD15" i="2"/>
  <c r="AY18" i="2"/>
  <c r="AZ18" i="2"/>
  <c r="BC18" i="2"/>
  <c r="BD18" i="2"/>
  <c r="AY27" i="2"/>
  <c r="AZ27" i="2"/>
  <c r="BC27" i="2"/>
  <c r="BD27" i="2"/>
  <c r="AY4" i="2"/>
  <c r="AZ4" i="2"/>
  <c r="BC4" i="2"/>
  <c r="BD4" i="2"/>
  <c r="AY29" i="2"/>
  <c r="AZ29" i="2"/>
  <c r="BC29" i="2"/>
  <c r="BD29" i="2"/>
  <c r="BD20" i="2"/>
  <c r="BC20" i="2"/>
  <c r="AZ20" i="2"/>
  <c r="AY20" i="2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BD4" i="1"/>
  <c r="BL23" i="5"/>
  <c r="BJ11" i="5"/>
  <c r="BN15" i="5"/>
  <c r="BE26" i="5"/>
  <c r="BM64" i="5"/>
  <c r="D9" i="5"/>
  <c r="AX5" i="5"/>
  <c r="BF53" i="5"/>
  <c r="BD17" i="5"/>
  <c r="AX65" i="5"/>
  <c r="D65" i="5"/>
  <c r="BK34" i="5"/>
  <c r="BK44" i="5"/>
  <c r="BJ55" i="5"/>
  <c r="BN41" i="5"/>
  <c r="BN53" i="5"/>
  <c r="BJ15" i="5"/>
  <c r="C8" i="5"/>
  <c r="C32" i="5"/>
  <c r="AZ45" i="5"/>
  <c r="D55" i="5"/>
  <c r="D39" i="5"/>
  <c r="BK22" i="5"/>
  <c r="BB49" i="5"/>
  <c r="C30" i="5"/>
  <c r="BJ35" i="5"/>
  <c r="BG18" i="5"/>
  <c r="BM30" i="5"/>
  <c r="D5" i="5"/>
  <c r="BI46" i="5"/>
  <c r="BK10" i="5"/>
  <c r="BL43" i="5"/>
  <c r="BN51" i="5"/>
  <c r="C22" i="5"/>
  <c r="BN57" i="5"/>
  <c r="BH55" i="5"/>
  <c r="BL37" i="5"/>
  <c r="BH21" i="5"/>
  <c r="BK6" i="5"/>
  <c r="BK32" i="5"/>
  <c r="BM48" i="5"/>
  <c r="BL47" i="5"/>
  <c r="BG66" i="5"/>
  <c r="AF59" i="5"/>
  <c r="AX53" i="5"/>
  <c r="AM54" i="5"/>
  <c r="BK50" i="5"/>
  <c r="BM20" i="5"/>
  <c r="BL31" i="5"/>
  <c r="AD43" i="5"/>
  <c r="C42" i="5"/>
  <c r="BL5" i="5"/>
  <c r="BH11" i="5"/>
  <c r="BK8" i="5"/>
  <c r="D41" i="5"/>
  <c r="BI44" i="5"/>
  <c r="AN49" i="5"/>
  <c r="BF9" i="5"/>
  <c r="AW34" i="5"/>
  <c r="BH9" i="5"/>
  <c r="BJ49" i="5"/>
  <c r="C40" i="5"/>
  <c r="BF41" i="5"/>
  <c r="BF45" i="5"/>
  <c r="BJ25" i="5"/>
  <c r="D45" i="5"/>
  <c r="BI10" i="5"/>
  <c r="C54" i="5"/>
  <c r="BM36" i="5"/>
  <c r="BL27" i="5"/>
  <c r="BM8" i="5"/>
  <c r="BN5" i="5"/>
  <c r="BN27" i="5"/>
  <c r="AY26" i="5"/>
  <c r="D63" i="5"/>
  <c r="BE50" i="5"/>
  <c r="C12" i="5"/>
  <c r="BL11" i="5"/>
  <c r="AX41" i="5"/>
  <c r="D47" i="5"/>
  <c r="BI42" i="5"/>
  <c r="BI56" i="5"/>
  <c r="BK26" i="5"/>
  <c r="D21" i="5"/>
  <c r="BH37" i="5"/>
  <c r="BN55" i="5"/>
  <c r="BM52" i="5"/>
  <c r="BI48" i="5"/>
  <c r="BN35" i="5"/>
  <c r="C46" i="5"/>
  <c r="BA18" i="5"/>
  <c r="C38" i="5"/>
  <c r="BH45" i="5"/>
  <c r="BN61" i="5"/>
  <c r="C50" i="5"/>
  <c r="AY50" i="5"/>
  <c r="BF21" i="5"/>
  <c r="BJ53" i="5"/>
  <c r="BH63" i="5"/>
  <c r="BI12" i="5"/>
  <c r="BH31" i="5"/>
  <c r="D37" i="5"/>
  <c r="AU66" i="5"/>
  <c r="D51" i="5"/>
  <c r="BK38" i="5"/>
  <c r="BJ33" i="5"/>
  <c r="BB13" i="5"/>
  <c r="BK42" i="5"/>
  <c r="BN23" i="5"/>
  <c r="BL9" i="5"/>
  <c r="BM14" i="5"/>
  <c r="BM60" i="5"/>
  <c r="D25" i="5"/>
  <c r="C66" i="5"/>
  <c r="BG56" i="5"/>
  <c r="D53" i="5"/>
  <c r="BJ7" i="5"/>
  <c r="BJ43" i="5"/>
  <c r="BK56" i="5"/>
  <c r="BH5" i="5"/>
  <c r="AV25" i="5"/>
  <c r="BG30" i="5"/>
  <c r="BN37" i="5"/>
  <c r="BK30" i="5"/>
  <c r="AY38" i="5"/>
  <c r="BH39" i="5"/>
  <c r="BI58" i="5"/>
  <c r="BK54" i="5"/>
  <c r="BK40" i="5"/>
  <c r="BL53" i="5"/>
  <c r="AZ9" i="5"/>
  <c r="BI26" i="5"/>
  <c r="D57" i="5"/>
  <c r="BG54" i="5"/>
  <c r="AZ21" i="5"/>
  <c r="BG38" i="5"/>
  <c r="BJ21" i="5"/>
  <c r="BI8" i="5"/>
  <c r="BL39" i="5"/>
  <c r="BJ45" i="5"/>
  <c r="BM40" i="5"/>
  <c r="C6" i="5"/>
  <c r="BI34" i="5"/>
  <c r="D19" i="5"/>
  <c r="BI40" i="5"/>
  <c r="X55" i="5"/>
  <c r="BI20" i="5"/>
  <c r="C26" i="5"/>
  <c r="BH27" i="5"/>
  <c r="AT47" i="5"/>
  <c r="BE14" i="5"/>
  <c r="BN29" i="5"/>
  <c r="AQ50" i="5"/>
  <c r="BM16" i="5"/>
  <c r="BI64" i="5"/>
  <c r="BH51" i="5"/>
  <c r="BH53" i="5"/>
  <c r="BM26" i="5"/>
  <c r="BG42" i="5"/>
  <c r="BL55" i="5"/>
  <c r="C34" i="5"/>
  <c r="BN19" i="5"/>
  <c r="BL33" i="5"/>
  <c r="C36" i="5"/>
  <c r="BI22" i="5"/>
  <c r="BC58" i="5"/>
  <c r="BF33" i="5"/>
  <c r="BN13" i="5"/>
  <c r="BI38" i="5"/>
  <c r="BM24" i="5"/>
  <c r="BL13" i="5"/>
  <c r="AW22" i="5"/>
  <c r="BJ29" i="5"/>
  <c r="BJ39" i="5"/>
  <c r="D33" i="5"/>
  <c r="BL41" i="5"/>
  <c r="D43" i="5"/>
  <c r="AA44" i="5"/>
  <c r="AW10" i="5"/>
  <c r="BM32" i="5"/>
  <c r="BN49" i="5"/>
  <c r="BI32" i="5"/>
  <c r="BK46" i="5"/>
  <c r="BN17" i="5"/>
  <c r="C16" i="5"/>
  <c r="BM58" i="5"/>
  <c r="BM18" i="5"/>
  <c r="BJ9" i="5"/>
  <c r="D11" i="5"/>
  <c r="AU42" i="5"/>
  <c r="BA30" i="5"/>
  <c r="BH33" i="5"/>
  <c r="BJ41" i="5"/>
  <c r="BL45" i="5"/>
  <c r="BG44" i="5"/>
  <c r="BG26" i="5"/>
  <c r="BH43" i="5"/>
  <c r="AL57" i="5"/>
  <c r="BJ17" i="5"/>
  <c r="AI58" i="5"/>
  <c r="BL7" i="5"/>
  <c r="BJ5" i="5"/>
  <c r="BH57" i="5"/>
  <c r="BM28" i="5"/>
  <c r="AU54" i="5"/>
  <c r="BI6" i="5"/>
  <c r="D31" i="5"/>
  <c r="BK66" i="5"/>
  <c r="BD29" i="5"/>
  <c r="BI52" i="5"/>
  <c r="C10" i="5"/>
  <c r="C44" i="5"/>
  <c r="AK62" i="5"/>
  <c r="BL21" i="5"/>
  <c r="BJ31" i="5"/>
  <c r="BM22" i="5"/>
  <c r="BH41" i="5"/>
  <c r="AZ33" i="5"/>
  <c r="BH25" i="5"/>
  <c r="C56" i="5"/>
  <c r="Q46" i="5"/>
  <c r="AY14" i="5"/>
  <c r="AT25" i="5"/>
  <c r="AJ53" i="5"/>
  <c r="BG6" i="5"/>
  <c r="BL25" i="5"/>
  <c r="BJ65" i="5"/>
  <c r="AW46" i="5"/>
  <c r="AV37" i="5"/>
  <c r="BK12" i="5"/>
  <c r="BK14" i="5"/>
  <c r="BB61" i="5"/>
  <c r="BL15" i="5"/>
  <c r="BI4" i="5"/>
  <c r="BI60" i="5"/>
  <c r="BI14" i="5"/>
  <c r="BN21" i="5"/>
  <c r="BH3" i="5"/>
  <c r="C14" i="5"/>
  <c r="BN31" i="5"/>
  <c r="C28" i="5"/>
  <c r="AZ3" i="5"/>
  <c r="L65" i="5"/>
  <c r="AY64" i="5"/>
  <c r="T63" i="5"/>
  <c r="BK62" i="5"/>
  <c r="AG66" i="5"/>
  <c r="BM46" i="5"/>
  <c r="P61" i="5"/>
  <c r="J55" i="5"/>
  <c r="Y54" i="5"/>
  <c r="G66" i="5"/>
  <c r="AC4" i="5"/>
  <c r="AQ66" i="5"/>
  <c r="AA4" i="5"/>
  <c r="AS44" i="5"/>
  <c r="AJ61" i="5"/>
  <c r="AT41" i="5"/>
  <c r="AI64" i="5"/>
  <c r="Q4" i="5"/>
  <c r="V55" i="5"/>
  <c r="BD65" i="5"/>
  <c r="AB63" i="5"/>
  <c r="BE52" i="5"/>
  <c r="O4" i="5"/>
  <c r="Q50" i="5"/>
  <c r="AY62" i="5"/>
  <c r="AC60" i="5"/>
  <c r="AU62" i="5"/>
  <c r="Q60" i="5"/>
  <c r="R47" i="5"/>
  <c r="AX59" i="5"/>
  <c r="AW4" i="5"/>
  <c r="Y66" i="5"/>
  <c r="BL3" i="5"/>
  <c r="R63" i="5"/>
  <c r="AU60" i="5"/>
  <c r="AW60" i="5"/>
  <c r="BJ59" i="5"/>
  <c r="S62" i="5"/>
  <c r="W62" i="5"/>
  <c r="AW48" i="5"/>
  <c r="T3" i="5"/>
  <c r="AC50" i="5"/>
  <c r="X61" i="5"/>
  <c r="BE64" i="5"/>
  <c r="E56" i="5"/>
  <c r="BJ57" i="5"/>
  <c r="K66" i="5"/>
  <c r="AB61" i="5"/>
  <c r="AM66" i="5"/>
  <c r="AZ63" i="5"/>
  <c r="M48" i="5"/>
  <c r="AP53" i="5"/>
  <c r="AD47" i="5"/>
  <c r="M60" i="5"/>
  <c r="V19" i="5"/>
  <c r="S22" i="5"/>
  <c r="O6" i="5"/>
  <c r="F15" i="5"/>
  <c r="F9" i="5"/>
  <c r="I6" i="5"/>
  <c r="AL29" i="5"/>
  <c r="AC38" i="5"/>
  <c r="BF27" i="5"/>
  <c r="AA58" i="5"/>
  <c r="AH29" i="5"/>
  <c r="AC34" i="5"/>
  <c r="AE10" i="5"/>
  <c r="J31" i="5"/>
  <c r="U18" i="5"/>
  <c r="R21" i="5"/>
  <c r="AB5" i="5"/>
  <c r="E28" i="5"/>
  <c r="AQ16" i="5"/>
  <c r="P43" i="5"/>
  <c r="AF17" i="5"/>
  <c r="Q32" i="5"/>
  <c r="AD7" i="5"/>
  <c r="G30" i="5"/>
  <c r="BF7" i="5"/>
  <c r="G58" i="5"/>
  <c r="BD13" i="5"/>
  <c r="M56" i="5"/>
  <c r="AI28" i="5"/>
  <c r="AB35" i="5"/>
  <c r="AM30" i="5"/>
  <c r="AD39" i="5"/>
  <c r="BD25" i="5"/>
  <c r="Y56" i="5"/>
  <c r="AK28" i="5"/>
  <c r="AB37" i="5"/>
  <c r="AU44" i="5"/>
  <c r="AR47" i="5"/>
  <c r="AS18" i="5"/>
  <c r="R45" i="5"/>
  <c r="AW8" i="5"/>
  <c r="H49" i="5"/>
  <c r="AD5" i="5"/>
  <c r="E30" i="5"/>
  <c r="Z13" i="5"/>
  <c r="M26" i="5"/>
  <c r="AU52" i="5"/>
  <c r="AZ47" i="5"/>
  <c r="AF9" i="5"/>
  <c r="I32" i="5"/>
  <c r="AW14" i="5"/>
  <c r="N49" i="5"/>
  <c r="L15" i="5"/>
  <c r="O12" i="5"/>
  <c r="AU26" i="5"/>
  <c r="Z47" i="5"/>
  <c r="BE10" i="5"/>
  <c r="J57" i="5"/>
  <c r="AD9" i="5"/>
  <c r="I30" i="5"/>
  <c r="BF43" i="5"/>
  <c r="AQ58" i="5"/>
  <c r="AG46" i="5"/>
  <c r="AT33" i="5"/>
  <c r="AQ18" i="5"/>
  <c r="R43" i="5"/>
  <c r="AI46" i="5"/>
  <c r="AT35" i="5"/>
  <c r="AY18" i="5"/>
  <c r="R51" i="5"/>
  <c r="V27" i="5"/>
  <c r="AA22" i="5"/>
  <c r="AX25" i="5"/>
  <c r="Y50" i="5"/>
  <c r="AA12" i="5"/>
  <c r="L27" i="5"/>
  <c r="F17" i="5"/>
  <c r="Q6" i="5"/>
  <c r="BD11" i="5"/>
  <c r="K56" i="5"/>
  <c r="AW36" i="5"/>
  <c r="AJ49" i="5"/>
  <c r="I16" i="5"/>
  <c r="P9" i="5"/>
  <c r="AW6" i="5"/>
  <c r="F49" i="5"/>
  <c r="AY58" i="5"/>
  <c r="BF51" i="5"/>
  <c r="AN11" i="5"/>
  <c r="K40" i="5"/>
  <c r="AH43" i="5"/>
  <c r="AQ34" i="5"/>
  <c r="Z21" i="5"/>
  <c r="U26" i="5"/>
  <c r="BF31" i="5"/>
  <c r="AE58" i="5"/>
  <c r="AH25" i="5"/>
  <c r="Y34" i="5"/>
  <c r="BA6" i="5"/>
  <c r="BF37" i="5"/>
  <c r="AK58" i="5"/>
  <c r="AD17" i="5"/>
  <c r="Q30" i="5"/>
  <c r="AT11" i="5"/>
  <c r="K46" i="5"/>
  <c r="AM16" i="5"/>
  <c r="P39" i="5"/>
  <c r="AE18" i="5"/>
  <c r="R31" i="5"/>
  <c r="AO20" i="5"/>
  <c r="T41" i="5"/>
  <c r="AG28" i="5"/>
  <c r="AB33" i="5"/>
  <c r="D23" i="5"/>
  <c r="AE26" i="5"/>
  <c r="Z31" i="5"/>
  <c r="AY22" i="5"/>
  <c r="V51" i="5"/>
  <c r="C58" i="5"/>
  <c r="AW24" i="5"/>
  <c r="X49" i="5"/>
  <c r="BN9" i="5"/>
  <c r="X5" i="5"/>
  <c r="E24" i="5"/>
  <c r="AY54" i="5"/>
  <c r="BB51" i="5"/>
  <c r="AK10" i="5"/>
  <c r="J37" i="5"/>
  <c r="BA48" i="5"/>
  <c r="AV53" i="5"/>
  <c r="BA14" i="5"/>
  <c r="N53" i="5"/>
  <c r="AL15" i="5"/>
  <c r="O38" i="5"/>
  <c r="AH17" i="5"/>
  <c r="Q34" i="5"/>
  <c r="AC28" i="5"/>
  <c r="AB29" i="5"/>
  <c r="AL9" i="5"/>
  <c r="I38" i="5"/>
  <c r="AU38" i="5"/>
  <c r="AL47" i="5"/>
  <c r="K14" i="5"/>
  <c r="N11" i="5"/>
  <c r="AK32" i="5"/>
  <c r="AF37" i="5"/>
  <c r="AT13" i="5"/>
  <c r="M46" i="5"/>
  <c r="Q20" i="5"/>
  <c r="T17" i="5"/>
  <c r="M12" i="5"/>
  <c r="L13" i="5"/>
  <c r="AR39" i="5"/>
  <c r="AM44" i="5"/>
  <c r="AJ43" i="5"/>
  <c r="AQ36" i="5"/>
  <c r="V13" i="5"/>
  <c r="M22" i="5"/>
  <c r="AM24" i="5"/>
  <c r="X39" i="5"/>
  <c r="BE46" i="5"/>
  <c r="AT57" i="5"/>
  <c r="AU28" i="5"/>
  <c r="AB47" i="5"/>
  <c r="AM14" i="5"/>
  <c r="N39" i="5"/>
  <c r="AK22" i="5"/>
  <c r="V37" i="5"/>
  <c r="AR9" i="5"/>
  <c r="I44" i="5"/>
  <c r="AF23" i="5"/>
  <c r="W32" i="5"/>
  <c r="AY10" i="5"/>
  <c r="J51" i="5"/>
  <c r="AR7" i="5"/>
  <c r="G44" i="5"/>
  <c r="AY6" i="5"/>
  <c r="F51" i="5"/>
  <c r="AV15" i="5"/>
  <c r="O48" i="5"/>
  <c r="AZ5" i="5"/>
  <c r="E52" i="5"/>
  <c r="AA14" i="5"/>
  <c r="N27" i="5"/>
  <c r="BL19" i="5"/>
  <c r="H13" i="5"/>
  <c r="M8" i="5"/>
  <c r="BG28" i="5"/>
  <c r="AB59" i="5"/>
  <c r="AN7" i="5"/>
  <c r="G40" i="5"/>
  <c r="U16" i="5"/>
  <c r="P21" i="5"/>
  <c r="AA30" i="5"/>
  <c r="AD27" i="5"/>
  <c r="AO8" i="5"/>
  <c r="H41" i="5"/>
  <c r="BM10" i="5"/>
  <c r="AJ17" i="5"/>
  <c r="Q36" i="5"/>
  <c r="AB15" i="5"/>
  <c r="O28" i="5"/>
  <c r="AO40" i="5"/>
  <c r="AN41" i="5"/>
  <c r="BF13" i="5"/>
  <c r="M58" i="5"/>
  <c r="AT29" i="5"/>
  <c r="AC46" i="5"/>
  <c r="U8" i="5"/>
  <c r="H21" i="5"/>
  <c r="BK48" i="5"/>
  <c r="BD51" i="5"/>
  <c r="AY56" i="5"/>
  <c r="AL21" i="5"/>
  <c r="U38" i="5"/>
  <c r="BM44" i="5"/>
  <c r="BF5" i="5"/>
  <c r="E58" i="5"/>
  <c r="BM34" i="5"/>
  <c r="R3" i="5"/>
  <c r="C18" i="5"/>
  <c r="AZ37" i="5"/>
  <c r="AK52" i="5"/>
  <c r="AG42" i="5"/>
  <c r="AP33" i="5"/>
  <c r="AQ24" i="5"/>
  <c r="X43" i="5"/>
  <c r="AG10" i="5"/>
  <c r="J33" i="5"/>
  <c r="BE34" i="5"/>
  <c r="AH57" i="5"/>
  <c r="BL29" i="5"/>
  <c r="AK20" i="5"/>
  <c r="T37" i="5"/>
  <c r="BD45" i="5"/>
  <c r="AS56" i="5"/>
  <c r="BA10" i="5"/>
  <c r="J53" i="5"/>
  <c r="AS22" i="5"/>
  <c r="V45" i="5"/>
  <c r="BK24" i="5"/>
  <c r="AH7" i="5"/>
  <c r="G34" i="5"/>
  <c r="BN3" i="5"/>
  <c r="AN3" i="5"/>
  <c r="AB3" i="5"/>
  <c r="N3" i="5"/>
  <c r="BM4" i="5"/>
  <c r="BA4" i="5"/>
  <c r="AO4" i="5"/>
  <c r="E4" i="5"/>
  <c r="BC66" i="5"/>
  <c r="AE66" i="5"/>
  <c r="S66" i="5"/>
  <c r="BH65" i="5"/>
  <c r="AV65" i="5"/>
  <c r="AJ65" i="5"/>
  <c r="X65" i="5"/>
  <c r="AM64" i="5"/>
  <c r="AA64" i="5"/>
  <c r="O64" i="5"/>
  <c r="C64" i="5"/>
  <c r="BD63" i="5"/>
  <c r="AR63" i="5"/>
  <c r="AF63" i="5"/>
  <c r="H63" i="5"/>
  <c r="BG62" i="5"/>
  <c r="AI62" i="5"/>
  <c r="K62" i="5"/>
  <c r="BL61" i="5"/>
  <c r="AZ61" i="5"/>
  <c r="AN61" i="5"/>
  <c r="D61" i="5"/>
  <c r="BC60" i="5"/>
  <c r="AQ60" i="5"/>
  <c r="AE60" i="5"/>
  <c r="C60" i="5"/>
  <c r="BB59" i="5"/>
  <c r="AD59" i="5"/>
  <c r="I58" i="5"/>
  <c r="N57" i="5"/>
  <c r="Q56" i="5"/>
  <c r="R53" i="5"/>
  <c r="U52" i="5"/>
  <c r="Z51" i="5"/>
  <c r="AH49" i="5"/>
  <c r="AK48" i="5"/>
  <c r="AP47" i="5"/>
  <c r="Y46" i="5"/>
  <c r="BA42" i="5"/>
  <c r="BB39" i="5"/>
  <c r="BA36" i="5"/>
  <c r="BN33" i="5"/>
  <c r="AP9" i="5"/>
  <c r="I42" i="5"/>
  <c r="AH21" i="5"/>
  <c r="U34" i="5"/>
  <c r="AG6" i="5"/>
  <c r="F33" i="5"/>
  <c r="AF15" i="5"/>
  <c r="O32" i="5"/>
  <c r="AU58" i="5"/>
  <c r="BF47" i="5"/>
  <c r="V25" i="5"/>
  <c r="Y22" i="5"/>
  <c r="BC28" i="5"/>
  <c r="AB55" i="5"/>
  <c r="AQ20" i="5"/>
  <c r="T43" i="5"/>
  <c r="AN23" i="5"/>
  <c r="W40" i="5"/>
  <c r="AH23" i="5"/>
  <c r="W34" i="5"/>
  <c r="AV31" i="5"/>
  <c r="AE48" i="5"/>
  <c r="AO44" i="5"/>
  <c r="AR41" i="5"/>
  <c r="W8" i="5"/>
  <c r="H23" i="5"/>
  <c r="AS30" i="5"/>
  <c r="AD45" i="5"/>
  <c r="AM42" i="5"/>
  <c r="AP39" i="5"/>
  <c r="AG20" i="5"/>
  <c r="T33" i="5"/>
  <c r="AI6" i="5"/>
  <c r="F35" i="5"/>
  <c r="W10" i="5"/>
  <c r="J23" i="5"/>
  <c r="AG18" i="5"/>
  <c r="R33" i="5"/>
  <c r="AL39" i="5"/>
  <c r="AM38" i="5"/>
  <c r="AL19" i="5"/>
  <c r="S38" i="5"/>
  <c r="AP31" i="5"/>
  <c r="AE42" i="5"/>
  <c r="AZ15" i="5"/>
  <c r="O52" i="5"/>
  <c r="BE12" i="5"/>
  <c r="L57" i="5"/>
  <c r="BC14" i="5"/>
  <c r="N55" i="5"/>
  <c r="BB41" i="5"/>
  <c r="AO54" i="5"/>
  <c r="BB37" i="5"/>
  <c r="BG20" i="5"/>
  <c r="T59" i="5"/>
  <c r="AK44" i="5"/>
  <c r="AR37" i="5"/>
  <c r="E8" i="5"/>
  <c r="H5" i="5"/>
  <c r="D35" i="5"/>
  <c r="BA22" i="5"/>
  <c r="V53" i="5"/>
  <c r="AN43" i="5"/>
  <c r="AQ40" i="5"/>
  <c r="AH5" i="5"/>
  <c r="E34" i="5"/>
  <c r="AL11" i="5"/>
  <c r="K38" i="5"/>
  <c r="T21" i="5"/>
  <c r="U20" i="5"/>
  <c r="AJ29" i="5"/>
  <c r="AC36" i="5"/>
  <c r="BB21" i="5"/>
  <c r="U54" i="5"/>
  <c r="AE20" i="5"/>
  <c r="T31" i="5"/>
  <c r="AM18" i="5"/>
  <c r="R39" i="5"/>
  <c r="X27" i="5"/>
  <c r="AA24" i="5"/>
  <c r="AP19" i="5"/>
  <c r="S42" i="5"/>
  <c r="AF19" i="5"/>
  <c r="S32" i="5"/>
  <c r="C52" i="5"/>
  <c r="BB5" i="5"/>
  <c r="E54" i="5"/>
  <c r="AN19" i="5"/>
  <c r="S40" i="5"/>
  <c r="AV23" i="5"/>
  <c r="W48" i="5"/>
  <c r="AY12" i="5"/>
  <c r="L51" i="5"/>
  <c r="AV59" i="5"/>
  <c r="BG48" i="5"/>
  <c r="BC38" i="5"/>
  <c r="AL55" i="5"/>
  <c r="BE24" i="5"/>
  <c r="X57" i="5"/>
  <c r="T7" i="5"/>
  <c r="G20" i="5"/>
  <c r="AZ7" i="5"/>
  <c r="G52" i="5"/>
  <c r="BI50" i="5"/>
  <c r="AJ9" i="5"/>
  <c r="I36" i="5"/>
  <c r="BM6" i="5"/>
  <c r="AR11" i="5"/>
  <c r="K44" i="5"/>
  <c r="AO14" i="5"/>
  <c r="N41" i="5"/>
  <c r="AV41" i="5"/>
  <c r="AO48" i="5"/>
  <c r="AT27" i="5"/>
  <c r="AA46" i="5"/>
  <c r="BI30" i="5"/>
  <c r="AN27" i="5"/>
  <c r="AA40" i="5"/>
  <c r="BE18" i="5"/>
  <c r="R57" i="5"/>
  <c r="BM12" i="5"/>
  <c r="AM8" i="5"/>
  <c r="H39" i="5"/>
  <c r="AJ13" i="5"/>
  <c r="M36" i="5"/>
  <c r="BC46" i="5"/>
  <c r="BK16" i="5"/>
  <c r="J17" i="5"/>
  <c r="Q10" i="5"/>
  <c r="AB19" i="5"/>
  <c r="S28" i="5"/>
  <c r="BL51" i="5"/>
  <c r="Q8" i="5"/>
  <c r="H17" i="5"/>
  <c r="BK20" i="5"/>
  <c r="W18" i="5"/>
  <c r="R23" i="5"/>
  <c r="Y10" i="5"/>
  <c r="J25" i="5"/>
  <c r="AE12" i="5"/>
  <c r="L31" i="5"/>
  <c r="AM10" i="5"/>
  <c r="J39" i="5"/>
  <c r="AY40" i="5"/>
  <c r="AN51" i="5"/>
  <c r="AX7" i="5"/>
  <c r="G50" i="5"/>
  <c r="BB19" i="5"/>
  <c r="S54" i="5"/>
  <c r="AC14" i="5"/>
  <c r="N29" i="5"/>
  <c r="Y16" i="5"/>
  <c r="P25" i="5"/>
  <c r="BA46" i="5"/>
  <c r="AT53" i="5"/>
  <c r="AR17" i="5"/>
  <c r="Q44" i="5"/>
  <c r="BH15" i="5"/>
  <c r="AG26" i="5"/>
  <c r="Z33" i="5"/>
  <c r="AT19" i="5"/>
  <c r="S46" i="5"/>
  <c r="BH23" i="5"/>
  <c r="BL17" i="5"/>
  <c r="AH31" i="5"/>
  <c r="AE34" i="5"/>
  <c r="BA52" i="5"/>
  <c r="AZ53" i="5"/>
  <c r="AG24" i="5"/>
  <c r="X33" i="5"/>
  <c r="AU6" i="5"/>
  <c r="F47" i="5"/>
  <c r="AZ55" i="5"/>
  <c r="BC52" i="5"/>
  <c r="AR5" i="5"/>
  <c r="E44" i="5"/>
  <c r="AK8" i="5"/>
  <c r="H37" i="5"/>
  <c r="AW58" i="5"/>
  <c r="AO18" i="5"/>
  <c r="R41" i="5"/>
  <c r="BM54" i="5"/>
  <c r="AS24" i="5"/>
  <c r="X45" i="5"/>
  <c r="BF17" i="5"/>
  <c r="Q58" i="5"/>
  <c r="S6" i="5"/>
  <c r="F19" i="5"/>
  <c r="X9" i="5"/>
  <c r="I24" i="5"/>
  <c r="BC12" i="5"/>
  <c r="L55" i="5"/>
  <c r="BD53" i="5"/>
  <c r="G16" i="5"/>
  <c r="P7" i="5"/>
  <c r="BD39" i="5"/>
  <c r="AM56" i="5"/>
  <c r="BL49" i="5"/>
  <c r="AM22" i="5"/>
  <c r="V39" i="5"/>
  <c r="AA32" i="5"/>
  <c r="AF27" i="5"/>
  <c r="O14" i="5"/>
  <c r="N15" i="5"/>
  <c r="AP27" i="5"/>
  <c r="AA42" i="5"/>
  <c r="H25" i="5"/>
  <c r="Y8" i="5"/>
  <c r="AP25" i="5"/>
  <c r="Y42" i="5"/>
  <c r="AM46" i="5"/>
  <c r="AT39" i="5"/>
  <c r="AG8" i="5"/>
  <c r="H33" i="5"/>
  <c r="AX3" i="5"/>
  <c r="AL3" i="5"/>
  <c r="Z3" i="5"/>
  <c r="L3" i="5"/>
  <c r="BK4" i="5"/>
  <c r="AY4" i="5"/>
  <c r="AM4" i="5"/>
  <c r="BA66" i="5"/>
  <c r="AO66" i="5"/>
  <c r="AC66" i="5"/>
  <c r="Q66" i="5"/>
  <c r="E66" i="5"/>
  <c r="BF65" i="5"/>
  <c r="AT65" i="5"/>
  <c r="AH65" i="5"/>
  <c r="V65" i="5"/>
  <c r="J65" i="5"/>
  <c r="AW64" i="5"/>
  <c r="AK64" i="5"/>
  <c r="Y64" i="5"/>
  <c r="M64" i="5"/>
  <c r="BN63" i="5"/>
  <c r="BB63" i="5"/>
  <c r="AP63" i="5"/>
  <c r="AD63" i="5"/>
  <c r="F63" i="5"/>
  <c r="BE62" i="5"/>
  <c r="AS62" i="5"/>
  <c r="AG62" i="5"/>
  <c r="U62" i="5"/>
  <c r="I62" i="5"/>
  <c r="AX61" i="5"/>
  <c r="AL61" i="5"/>
  <c r="Z61" i="5"/>
  <c r="N61" i="5"/>
  <c r="BA60" i="5"/>
  <c r="AO60" i="5"/>
  <c r="O60" i="5"/>
  <c r="BN59" i="5"/>
  <c r="Z59" i="5"/>
  <c r="BA58" i="5"/>
  <c r="BM56" i="5"/>
  <c r="M54" i="5"/>
  <c r="F53" i="5"/>
  <c r="I52" i="5"/>
  <c r="N51" i="5"/>
  <c r="V49" i="5"/>
  <c r="Y48" i="5"/>
  <c r="BC24" i="5"/>
  <c r="BA40" i="5"/>
  <c r="AN53" i="5"/>
  <c r="AP11" i="5"/>
  <c r="K42" i="5"/>
  <c r="BC50" i="5"/>
  <c r="AX55" i="5"/>
  <c r="AG16" i="5"/>
  <c r="P33" i="5"/>
  <c r="BG40" i="5"/>
  <c r="AN59" i="5"/>
  <c r="AL23" i="5"/>
  <c r="W38" i="5"/>
  <c r="AH11" i="5"/>
  <c r="K34" i="5"/>
  <c r="AE14" i="5"/>
  <c r="N31" i="5"/>
  <c r="Z11" i="5"/>
  <c r="K26" i="5"/>
  <c r="AO16" i="5"/>
  <c r="P41" i="5"/>
  <c r="AA16" i="5"/>
  <c r="P27" i="5"/>
  <c r="AW42" i="5"/>
  <c r="AP49" i="5"/>
  <c r="AI38" i="5"/>
  <c r="AL35" i="5"/>
  <c r="BB23" i="5"/>
  <c r="W54" i="5"/>
  <c r="BC16" i="5"/>
  <c r="P55" i="5"/>
  <c r="BD9" i="5"/>
  <c r="I56" i="5"/>
  <c r="AX19" i="5"/>
  <c r="S50" i="5"/>
  <c r="AM12" i="5"/>
  <c r="L39" i="5"/>
  <c r="AX31" i="5"/>
  <c r="AE50" i="5"/>
  <c r="H11" i="5"/>
  <c r="K8" i="5"/>
  <c r="T11" i="5"/>
  <c r="K20" i="5"/>
  <c r="U14" i="5"/>
  <c r="N21" i="5"/>
  <c r="AP29" i="5"/>
  <c r="AC42" i="5"/>
  <c r="AI8" i="5"/>
  <c r="H35" i="5"/>
  <c r="O10" i="5"/>
  <c r="J15" i="5"/>
  <c r="BG36" i="5"/>
  <c r="AJ59" i="5"/>
  <c r="AX45" i="5"/>
  <c r="AS50" i="5"/>
  <c r="BC42" i="5"/>
  <c r="AP55" i="5"/>
  <c r="BA16" i="5"/>
  <c r="P53" i="5"/>
  <c r="BG24" i="5"/>
  <c r="X59" i="5"/>
  <c r="BI16" i="5"/>
  <c r="AS8" i="5"/>
  <c r="H45" i="5"/>
  <c r="AJ15" i="5"/>
  <c r="O36" i="5"/>
  <c r="BM42" i="5"/>
  <c r="BL59" i="5"/>
  <c r="M16" i="5"/>
  <c r="P13" i="5"/>
  <c r="AU22" i="5"/>
  <c r="V47" i="5"/>
  <c r="BG10" i="5"/>
  <c r="J59" i="5"/>
  <c r="BC10" i="5"/>
  <c r="AP7" i="5"/>
  <c r="G42" i="5"/>
  <c r="D13" i="5"/>
  <c r="AO22" i="5"/>
  <c r="V41" i="5"/>
  <c r="AC10" i="5"/>
  <c r="J29" i="5"/>
  <c r="C24" i="5"/>
  <c r="L21" i="5"/>
  <c r="U12" i="5"/>
  <c r="BG14" i="5"/>
  <c r="BE48" i="5"/>
  <c r="AV57" i="5"/>
  <c r="AO30" i="5"/>
  <c r="AD41" i="5"/>
  <c r="AX13" i="5"/>
  <c r="M50" i="5"/>
  <c r="O8" i="5"/>
  <c r="H15" i="5"/>
  <c r="BB25" i="5"/>
  <c r="AS34" i="5"/>
  <c r="AH45" i="5"/>
  <c r="AE22" i="5"/>
  <c r="V31" i="5"/>
  <c r="AU16" i="5"/>
  <c r="P47" i="5"/>
  <c r="BG58" i="5"/>
  <c r="E14" i="5"/>
  <c r="N5" i="5"/>
  <c r="BB11" i="5"/>
  <c r="K54" i="5"/>
  <c r="AZ39" i="5"/>
  <c r="AM52" i="5"/>
  <c r="BN7" i="5"/>
  <c r="AH15" i="5"/>
  <c r="O34" i="5"/>
  <c r="W30" i="5"/>
  <c r="AD23" i="5"/>
  <c r="AR21" i="5"/>
  <c r="U44" i="5"/>
  <c r="AL27" i="5"/>
  <c r="AA38" i="5"/>
  <c r="AN15" i="5"/>
  <c r="O40" i="5"/>
  <c r="Q22" i="5"/>
  <c r="V17" i="5"/>
  <c r="BE8" i="5"/>
  <c r="H57" i="5"/>
  <c r="AU34" i="5"/>
  <c r="AH47" i="5"/>
  <c r="AR25" i="5"/>
  <c r="Y44" i="5"/>
  <c r="U6" i="5"/>
  <c r="F21" i="5"/>
  <c r="P11" i="5"/>
  <c r="K16" i="5"/>
  <c r="AI30" i="5"/>
  <c r="AD35" i="5"/>
  <c r="BC54" i="5"/>
  <c r="BB55" i="5"/>
  <c r="AS6" i="5"/>
  <c r="F45" i="5"/>
  <c r="C48" i="5"/>
  <c r="AT59" i="5"/>
  <c r="BG46" i="5"/>
  <c r="AY34" i="5"/>
  <c r="AH51" i="5"/>
  <c r="AI34" i="5"/>
  <c r="AH35" i="5"/>
  <c r="V5" i="5"/>
  <c r="E22" i="5"/>
  <c r="AR15" i="5"/>
  <c r="O44" i="5"/>
  <c r="AW52" i="5"/>
  <c r="AZ49" i="5"/>
  <c r="BE6" i="5"/>
  <c r="F57" i="5"/>
  <c r="AP23" i="5"/>
  <c r="W42" i="5"/>
  <c r="K6" i="5"/>
  <c r="F11" i="5"/>
  <c r="U28" i="5"/>
  <c r="AB21" i="5"/>
  <c r="AG54" i="5"/>
  <c r="BB33" i="5"/>
  <c r="AI24" i="5"/>
  <c r="X35" i="5"/>
  <c r="AT21" i="5"/>
  <c r="U46" i="5"/>
  <c r="AW44" i="5"/>
  <c r="AR49" i="5"/>
  <c r="AB11" i="5"/>
  <c r="K28" i="5"/>
  <c r="D29" i="5"/>
  <c r="AI26" i="5"/>
  <c r="Z35" i="5"/>
  <c r="AX11" i="5"/>
  <c r="K50" i="5"/>
  <c r="AL45" i="5"/>
  <c r="AS38" i="5"/>
  <c r="AJ27" i="5"/>
  <c r="AA36" i="5"/>
  <c r="AT31" i="5"/>
  <c r="AE46" i="5"/>
  <c r="Z19" i="5"/>
  <c r="S26" i="5"/>
  <c r="T25" i="5"/>
  <c r="Y20" i="5"/>
  <c r="AY44" i="5"/>
  <c r="AR51" i="5"/>
  <c r="AY42" i="5"/>
  <c r="AP51" i="5"/>
  <c r="R15" i="5"/>
  <c r="O18" i="5"/>
  <c r="AR31" i="5"/>
  <c r="AE44" i="5"/>
  <c r="O20" i="5"/>
  <c r="T15" i="5"/>
  <c r="AY32" i="5"/>
  <c r="AF51" i="5"/>
  <c r="AI16" i="5"/>
  <c r="P35" i="5"/>
  <c r="N9" i="5"/>
  <c r="I14" i="5"/>
  <c r="BN43" i="5"/>
  <c r="AJ5" i="5"/>
  <c r="E36" i="5"/>
  <c r="AM32" i="5"/>
  <c r="AF39" i="5"/>
  <c r="D27" i="5"/>
  <c r="AT9" i="5"/>
  <c r="I46" i="5"/>
  <c r="L7" i="5"/>
  <c r="G12" i="5"/>
  <c r="AW20" i="5"/>
  <c r="T49" i="5"/>
  <c r="Y6" i="5"/>
  <c r="F25" i="5"/>
  <c r="X15" i="5"/>
  <c r="O24" i="5"/>
  <c r="BE40" i="5"/>
  <c r="AN57" i="5"/>
  <c r="AA6" i="5"/>
  <c r="F27" i="5"/>
  <c r="AD11" i="5"/>
  <c r="K30" i="5"/>
  <c r="AA8" i="5"/>
  <c r="H27" i="5"/>
  <c r="BC32" i="5"/>
  <c r="AF55" i="5"/>
  <c r="AV3" i="5"/>
  <c r="AJ3" i="5"/>
  <c r="X3" i="5"/>
  <c r="J3" i="5"/>
  <c r="AK4" i="5"/>
  <c r="Y4" i="5"/>
  <c r="M4" i="5"/>
  <c r="AY66" i="5"/>
  <c r="AA66" i="5"/>
  <c r="O66" i="5"/>
  <c r="AR65" i="5"/>
  <c r="AF65" i="5"/>
  <c r="T65" i="5"/>
  <c r="H65" i="5"/>
  <c r="BG64" i="5"/>
  <c r="AU64" i="5"/>
  <c r="W64" i="5"/>
  <c r="K64" i="5"/>
  <c r="AN63" i="5"/>
  <c r="P63" i="5"/>
  <c r="BC62" i="5"/>
  <c r="AQ62" i="5"/>
  <c r="AE62" i="5"/>
  <c r="G62" i="5"/>
  <c r="BH61" i="5"/>
  <c r="AV61" i="5"/>
  <c r="L61" i="5"/>
  <c r="BK60" i="5"/>
  <c r="AY60" i="5"/>
  <c r="AM60" i="5"/>
  <c r="AA60" i="5"/>
  <c r="AR59" i="5"/>
  <c r="R59" i="5"/>
  <c r="AS58" i="5"/>
  <c r="BF55" i="5"/>
  <c r="BI54" i="5"/>
  <c r="BJ51" i="5"/>
  <c r="BM50" i="5"/>
  <c r="E50" i="5"/>
  <c r="J49" i="5"/>
  <c r="BE38" i="5"/>
  <c r="BF35" i="5"/>
  <c r="BG32" i="5"/>
  <c r="AQ8" i="5"/>
  <c r="H43" i="5"/>
  <c r="AW30" i="5"/>
  <c r="AD49" i="5"/>
  <c r="AK36" i="5"/>
  <c r="AJ37" i="5"/>
  <c r="AQ32" i="5"/>
  <c r="AF43" i="5"/>
  <c r="T45" i="5"/>
  <c r="AS20" i="5"/>
  <c r="AX23" i="5"/>
  <c r="W50" i="5"/>
  <c r="Q12" i="5"/>
  <c r="L17" i="5"/>
  <c r="AV19" i="5"/>
  <c r="S48" i="5"/>
  <c r="BB57" i="5"/>
  <c r="BE54" i="5"/>
  <c r="AZ31" i="5"/>
  <c r="AE52" i="5"/>
  <c r="AB9" i="5"/>
  <c r="I28" i="5"/>
  <c r="BA20" i="5"/>
  <c r="T53" i="5"/>
  <c r="AN13" i="5"/>
  <c r="M40" i="5"/>
  <c r="U10" i="5"/>
  <c r="J21" i="5"/>
  <c r="AY46" i="5"/>
  <c r="AT51" i="5"/>
  <c r="BH19" i="5"/>
  <c r="S60" i="5"/>
  <c r="BC18" i="5"/>
  <c r="R55" i="5"/>
  <c r="AW18" i="5"/>
  <c r="R49" i="5"/>
  <c r="BB7" i="5"/>
  <c r="G54" i="5"/>
  <c r="AR13" i="5"/>
  <c r="M44" i="5"/>
  <c r="AW56" i="5"/>
  <c r="BD49" i="5"/>
  <c r="AI40" i="5"/>
  <c r="AN35" i="5"/>
  <c r="V11" i="5"/>
  <c r="K22" i="5"/>
  <c r="S12" i="5"/>
  <c r="L19" i="5"/>
  <c r="AJ33" i="5"/>
  <c r="AG36" i="5"/>
  <c r="AR23" i="5"/>
  <c r="W44" i="5"/>
  <c r="AU14" i="5"/>
  <c r="N47" i="5"/>
  <c r="AR45" i="5"/>
  <c r="AV55" i="5"/>
  <c r="BC48" i="5"/>
  <c r="AZ23" i="5"/>
  <c r="W52" i="5"/>
  <c r="AC6" i="5"/>
  <c r="F29" i="5"/>
  <c r="AM6" i="5"/>
  <c r="F39" i="5"/>
  <c r="BB27" i="5"/>
  <c r="AA54" i="5"/>
  <c r="AL17" i="5"/>
  <c r="Q38" i="5"/>
  <c r="AU24" i="5"/>
  <c r="X47" i="5"/>
  <c r="AG32" i="5"/>
  <c r="AF33" i="5"/>
  <c r="G14" i="5"/>
  <c r="N7" i="5"/>
  <c r="BH7" i="5"/>
  <c r="G60" i="5"/>
  <c r="BA32" i="5"/>
  <c r="AF53" i="5"/>
  <c r="AO34" i="5"/>
  <c r="AH41" i="5"/>
  <c r="AW38" i="5"/>
  <c r="AL49" i="5"/>
  <c r="BD33" i="5"/>
  <c r="AG56" i="5"/>
  <c r="BI36" i="5"/>
  <c r="AZ11" i="5"/>
  <c r="K52" i="5"/>
  <c r="AO46" i="5"/>
  <c r="AU12" i="5"/>
  <c r="L47" i="5"/>
  <c r="AB13" i="5"/>
  <c r="M28" i="5"/>
  <c r="W6" i="5"/>
  <c r="F23" i="5"/>
  <c r="BD43" i="5"/>
  <c r="AQ56" i="5"/>
  <c r="BA28" i="5"/>
  <c r="AB53" i="5"/>
  <c r="AZ41" i="5"/>
  <c r="AO52" i="5"/>
  <c r="BL35" i="5"/>
  <c r="AT37" i="5"/>
  <c r="AK46" i="5"/>
  <c r="AB23" i="5"/>
  <c r="W28" i="5"/>
  <c r="T29" i="5"/>
  <c r="AC20" i="5"/>
  <c r="AM34" i="5"/>
  <c r="AH39" i="5"/>
  <c r="AN9" i="5"/>
  <c r="I40" i="5"/>
  <c r="AF21" i="5"/>
  <c r="U32" i="5"/>
  <c r="D17" i="5"/>
  <c r="BC8" i="5"/>
  <c r="H55" i="5"/>
  <c r="AS36" i="5"/>
  <c r="AJ45" i="5"/>
  <c r="AD25" i="5"/>
  <c r="Y30" i="5"/>
  <c r="AF7" i="5"/>
  <c r="G32" i="5"/>
  <c r="K10" i="5"/>
  <c r="J11" i="5"/>
  <c r="Y14" i="5"/>
  <c r="N25" i="5"/>
  <c r="BC22" i="5"/>
  <c r="AH27" i="5"/>
  <c r="AA34" i="5"/>
  <c r="AQ12" i="5"/>
  <c r="L43" i="5"/>
  <c r="AP35" i="5"/>
  <c r="AI42" i="5"/>
  <c r="P5" i="5"/>
  <c r="E16" i="5"/>
  <c r="AU10" i="5"/>
  <c r="J47" i="5"/>
  <c r="BF19" i="5"/>
  <c r="S58" i="5"/>
  <c r="AL7" i="5"/>
  <c r="G38" i="5"/>
  <c r="Z9" i="5"/>
  <c r="I26" i="5"/>
  <c r="AU50" i="5"/>
  <c r="AX47" i="5"/>
  <c r="BK28" i="5"/>
  <c r="AL5" i="5"/>
  <c r="E38" i="5"/>
  <c r="AC8" i="5"/>
  <c r="H29" i="5"/>
  <c r="BK36" i="5"/>
  <c r="D7" i="5"/>
  <c r="BA12" i="5"/>
  <c r="L53" i="5"/>
  <c r="AB7" i="5"/>
  <c r="G28" i="5"/>
  <c r="AK14" i="5"/>
  <c r="N37" i="5"/>
  <c r="AX21" i="5"/>
  <c r="U50" i="5"/>
  <c r="BH35" i="5"/>
  <c r="AD19" i="5"/>
  <c r="S30" i="5"/>
  <c r="AF11" i="5"/>
  <c r="K32" i="5"/>
  <c r="AI14" i="5"/>
  <c r="N35" i="5"/>
  <c r="AD31" i="5"/>
  <c r="AE30" i="5"/>
  <c r="AQ42" i="5"/>
  <c r="AP43" i="5"/>
  <c r="AV11" i="5"/>
  <c r="K48" i="5"/>
  <c r="BD41" i="5"/>
  <c r="AE8" i="5"/>
  <c r="H31" i="5"/>
  <c r="R9" i="5"/>
  <c r="I18" i="5"/>
  <c r="BN45" i="5"/>
  <c r="AZ57" i="5"/>
  <c r="AK42" i="5"/>
  <c r="AP37" i="5"/>
  <c r="D59" i="5"/>
  <c r="AQ10" i="5"/>
  <c r="J43" i="5"/>
  <c r="D15" i="5"/>
  <c r="AN37" i="5"/>
  <c r="AK40" i="5"/>
  <c r="V7" i="5"/>
  <c r="G22" i="5"/>
  <c r="AG14" i="5"/>
  <c r="N33" i="5"/>
  <c r="AX15" i="5"/>
  <c r="O50" i="5"/>
  <c r="BD47" i="5"/>
  <c r="AU56" i="5"/>
  <c r="AK12" i="5"/>
  <c r="L37" i="5"/>
  <c r="AU32" i="5"/>
  <c r="AF47" i="5"/>
  <c r="AJ11" i="5"/>
  <c r="K36" i="5"/>
  <c r="BC6" i="5"/>
  <c r="F55" i="5"/>
  <c r="AH37" i="5"/>
  <c r="AK34" i="5"/>
  <c r="AN25" i="5"/>
  <c r="Y40" i="5"/>
  <c r="BJ27" i="5"/>
  <c r="AV17" i="5"/>
  <c r="Q48" i="5"/>
  <c r="H19" i="5"/>
  <c r="S8" i="5"/>
  <c r="AX17" i="5"/>
  <c r="AC12" i="5"/>
  <c r="L29" i="5"/>
  <c r="W20" i="5"/>
  <c r="T23" i="5"/>
  <c r="AV43" i="5"/>
  <c r="AQ48" i="5"/>
  <c r="R5" i="5"/>
  <c r="E18" i="5"/>
  <c r="AU36" i="5"/>
  <c r="AJ47" i="5"/>
  <c r="AK18" i="5"/>
  <c r="R37" i="5"/>
  <c r="BJ3" i="5"/>
  <c r="AQ14" i="5"/>
  <c r="N43" i="5"/>
  <c r="BB9" i="5"/>
  <c r="I54" i="5"/>
  <c r="AJ19" i="5"/>
  <c r="S36" i="5"/>
  <c r="AE6" i="5"/>
  <c r="F31" i="5"/>
  <c r="BF15" i="5"/>
  <c r="O58" i="5"/>
  <c r="BF3" i="5"/>
  <c r="AT3" i="5"/>
  <c r="AH3" i="5"/>
  <c r="V3" i="5"/>
  <c r="H3" i="5"/>
  <c r="BG4" i="5"/>
  <c r="AU4" i="5"/>
  <c r="AI4" i="5"/>
  <c r="W4" i="5"/>
  <c r="K4" i="5"/>
  <c r="BI66" i="5"/>
  <c r="AW66" i="5"/>
  <c r="AK66" i="5"/>
  <c r="M66" i="5"/>
  <c r="BB65" i="5"/>
  <c r="AP65" i="5"/>
  <c r="AD65" i="5"/>
  <c r="R65" i="5"/>
  <c r="F65" i="5"/>
  <c r="AS64" i="5"/>
  <c r="AG64" i="5"/>
  <c r="U64" i="5"/>
  <c r="I64" i="5"/>
  <c r="BJ63" i="5"/>
  <c r="AX63" i="5"/>
  <c r="AL63" i="5"/>
  <c r="Z63" i="5"/>
  <c r="N63" i="5"/>
  <c r="BM62" i="5"/>
  <c r="BA62" i="5"/>
  <c r="AO62" i="5"/>
  <c r="AC62" i="5"/>
  <c r="Q62" i="5"/>
  <c r="E62" i="5"/>
  <c r="BF61" i="5"/>
  <c r="AT61" i="5"/>
  <c r="AH61" i="5"/>
  <c r="V61" i="5"/>
  <c r="J61" i="5"/>
  <c r="AK60" i="5"/>
  <c r="Y60" i="5"/>
  <c r="K60" i="5"/>
  <c r="AP59" i="5"/>
  <c r="N59" i="5"/>
  <c r="AO58" i="5"/>
  <c r="AX57" i="5"/>
  <c r="BA56" i="5"/>
  <c r="BA50" i="5"/>
  <c r="BF49" i="5"/>
  <c r="BN47" i="5"/>
  <c r="AR27" i="5"/>
  <c r="AT15" i="5"/>
  <c r="O46" i="5"/>
  <c r="AJ31" i="5"/>
  <c r="AE36" i="5"/>
  <c r="BM38" i="5"/>
  <c r="AN29" i="5"/>
  <c r="AC40" i="5"/>
  <c r="BA38" i="5"/>
  <c r="AL53" i="5"/>
  <c r="M18" i="5"/>
  <c r="R13" i="5"/>
  <c r="AX39" i="5"/>
  <c r="AM50" i="5"/>
  <c r="AG30" i="5"/>
  <c r="AD33" i="5"/>
  <c r="AM28" i="5"/>
  <c r="AB39" i="5"/>
  <c r="AI10" i="5"/>
  <c r="J35" i="5"/>
  <c r="BC36" i="5"/>
  <c r="AJ55" i="5"/>
  <c r="AL13" i="5"/>
  <c r="M38" i="5"/>
  <c r="AX9" i="5"/>
  <c r="I50" i="5"/>
  <c r="AH13" i="5"/>
  <c r="M34" i="5"/>
  <c r="AY36" i="5"/>
  <c r="AJ51" i="5"/>
  <c r="Y32" i="5"/>
  <c r="AF25" i="5"/>
  <c r="BA44" i="5"/>
  <c r="AR53" i="5"/>
  <c r="AK50" i="5"/>
  <c r="AX37" i="5"/>
  <c r="Z7" i="5"/>
  <c r="G26" i="5"/>
  <c r="BH29" i="5"/>
  <c r="X31" i="5"/>
  <c r="AE24" i="5"/>
  <c r="BE22" i="5"/>
  <c r="V57" i="5"/>
  <c r="AC48" i="5"/>
  <c r="AV29" i="5"/>
  <c r="AA20" i="5"/>
  <c r="T27" i="5"/>
  <c r="Z23" i="5"/>
  <c r="W26" i="5"/>
  <c r="AW32" i="5"/>
  <c r="AF49" i="5"/>
  <c r="U30" i="5"/>
  <c r="AD21" i="5"/>
  <c r="AZ17" i="5"/>
  <c r="Q52" i="5"/>
  <c r="AC22" i="5"/>
  <c r="V29" i="5"/>
  <c r="AK30" i="5"/>
  <c r="AD37" i="5"/>
  <c r="AO26" i="5"/>
  <c r="Z41" i="5"/>
  <c r="X17" i="5"/>
  <c r="Q24" i="5"/>
  <c r="Q14" i="5"/>
  <c r="N17" i="5"/>
  <c r="AV21" i="5"/>
  <c r="U48" i="5"/>
  <c r="AJ41" i="5"/>
  <c r="AO36" i="5"/>
  <c r="AK26" i="5"/>
  <c r="Z37" i="5"/>
  <c r="AA10" i="5"/>
  <c r="J27" i="5"/>
  <c r="AA26" i="5"/>
  <c r="Z27" i="5"/>
  <c r="BG52" i="5"/>
  <c r="AZ59" i="5"/>
  <c r="BE42" i="5"/>
  <c r="AP57" i="5"/>
  <c r="M30" i="5"/>
  <c r="AD13" i="5"/>
  <c r="AV45" i="5"/>
  <c r="AS48" i="5"/>
  <c r="Y28" i="5"/>
  <c r="AB25" i="5"/>
  <c r="AS28" i="5"/>
  <c r="AB45" i="5"/>
  <c r="AV7" i="5"/>
  <c r="G48" i="5"/>
  <c r="AV27" i="5"/>
  <c r="AA48" i="5"/>
  <c r="S18" i="5"/>
  <c r="R19" i="5"/>
  <c r="AQ38" i="5"/>
  <c r="AL43" i="5"/>
  <c r="AZ13" i="5"/>
  <c r="M52" i="5"/>
  <c r="P23" i="5"/>
  <c r="W16" i="5"/>
  <c r="AU8" i="5"/>
  <c r="H47" i="5"/>
  <c r="V15" i="5"/>
  <c r="O22" i="5"/>
  <c r="AT23" i="5"/>
  <c r="W46" i="5"/>
  <c r="BF25" i="5"/>
  <c r="Y58" i="5"/>
  <c r="AY30" i="5"/>
  <c r="AD51" i="5"/>
  <c r="AV33" i="5"/>
  <c r="AG48" i="5"/>
  <c r="BE20" i="5"/>
  <c r="T57" i="5"/>
  <c r="AX33" i="5"/>
  <c r="AG50" i="5"/>
  <c r="AE16" i="5"/>
  <c r="P31" i="5"/>
  <c r="G18" i="5"/>
  <c r="R7" i="5"/>
  <c r="AN5" i="5"/>
  <c r="E40" i="5"/>
  <c r="AY16" i="5"/>
  <c r="P51" i="5"/>
  <c r="AM26" i="5"/>
  <c r="Z39" i="5"/>
  <c r="BB31" i="5"/>
  <c r="AE54" i="5"/>
  <c r="AZ35" i="5"/>
  <c r="AI52" i="5"/>
  <c r="AT43" i="5"/>
  <c r="AQ46" i="5"/>
  <c r="AO24" i="5"/>
  <c r="X41" i="5"/>
  <c r="BJ47" i="5"/>
  <c r="BD37" i="5"/>
  <c r="AK56" i="5"/>
  <c r="BE30" i="5"/>
  <c r="AD57" i="5"/>
  <c r="BC20" i="5"/>
  <c r="T55" i="5"/>
  <c r="AM36" i="5"/>
  <c r="AJ39" i="5"/>
  <c r="BH17" i="5"/>
  <c r="BD7" i="5"/>
  <c r="G56" i="5"/>
  <c r="AS42" i="5"/>
  <c r="AP45" i="5"/>
  <c r="AV5" i="5"/>
  <c r="E48" i="5"/>
  <c r="AI20" i="5"/>
  <c r="T35" i="5"/>
  <c r="BF29" i="5"/>
  <c r="AC58" i="5"/>
  <c r="T13" i="5"/>
  <c r="M20" i="5"/>
  <c r="AU40" i="5"/>
  <c r="AN47" i="5"/>
  <c r="X11" i="5"/>
  <c r="K24" i="5"/>
  <c r="AP21" i="5"/>
  <c r="U42" i="5"/>
  <c r="BD35" i="5"/>
  <c r="AI56" i="5"/>
  <c r="BD15" i="5"/>
  <c r="O56" i="5"/>
  <c r="BG22" i="5"/>
  <c r="V59" i="5"/>
  <c r="AO28" i="5"/>
  <c r="AB41" i="5"/>
  <c r="AN31" i="5"/>
  <c r="AE40" i="5"/>
  <c r="BG8" i="5"/>
  <c r="H59" i="5"/>
  <c r="BI18" i="5"/>
  <c r="BC26" i="5"/>
  <c r="Z55" i="5"/>
  <c r="BE32" i="5"/>
  <c r="AF57" i="5"/>
  <c r="AP13" i="5"/>
  <c r="M42" i="5"/>
  <c r="BB17" i="5"/>
  <c r="Q54" i="5"/>
  <c r="L9" i="5"/>
  <c r="I12" i="5"/>
  <c r="AV35" i="5"/>
  <c r="AI48" i="5"/>
  <c r="AV39" i="5"/>
  <c r="AM48" i="5"/>
  <c r="AO10" i="5"/>
  <c r="J41" i="5"/>
  <c r="BD23" i="5"/>
  <c r="W56" i="5"/>
  <c r="T5" i="5"/>
  <c r="E20" i="5"/>
  <c r="BE36" i="5"/>
  <c r="AJ57" i="5"/>
  <c r="AO6" i="5"/>
  <c r="F41" i="5"/>
  <c r="U56" i="5"/>
  <c r="BB43" i="5"/>
  <c r="AQ54" i="5"/>
  <c r="M6" i="5"/>
  <c r="F13" i="5"/>
  <c r="AU18" i="5"/>
  <c r="AF13" i="5"/>
  <c r="M32" i="5"/>
  <c r="W14" i="5"/>
  <c r="N23" i="5"/>
  <c r="BG50" i="5"/>
  <c r="AX27" i="5"/>
  <c r="AA50" i="5"/>
  <c r="AQ6" i="5"/>
  <c r="F43" i="5"/>
  <c r="BB35" i="5"/>
  <c r="AI54" i="5"/>
  <c r="W22" i="5"/>
  <c r="V23" i="5"/>
  <c r="AL25" i="5"/>
  <c r="Y38" i="5"/>
  <c r="BE28" i="5"/>
  <c r="AB57" i="5"/>
  <c r="BB29" i="5"/>
  <c r="AC54" i="5"/>
  <c r="D49" i="5"/>
  <c r="BG16" i="5"/>
  <c r="P59" i="5"/>
  <c r="BA34" i="5"/>
  <c r="AH53" i="5"/>
  <c r="AJ21" i="5"/>
  <c r="U36" i="5"/>
  <c r="AW16" i="5"/>
  <c r="P49" i="5"/>
  <c r="BD27" i="5"/>
  <c r="AA56" i="5"/>
  <c r="AZ29" i="5"/>
  <c r="AC52" i="5"/>
  <c r="AS32" i="5"/>
  <c r="AF45" i="5"/>
  <c r="K18" i="5"/>
  <c r="R11" i="5"/>
  <c r="AI22" i="5"/>
  <c r="V35" i="5"/>
  <c r="Z5" i="5"/>
  <c r="E26" i="5"/>
  <c r="BD3" i="5"/>
  <c r="AR3" i="5"/>
  <c r="AF3" i="5"/>
  <c r="BE4" i="5"/>
  <c r="AS4" i="5"/>
  <c r="AG4" i="5"/>
  <c r="U4" i="5"/>
  <c r="I4" i="5"/>
  <c r="AI66" i="5"/>
  <c r="W66" i="5"/>
  <c r="BL65" i="5"/>
  <c r="AZ65" i="5"/>
  <c r="AN65" i="5"/>
  <c r="AB65" i="5"/>
  <c r="P65" i="5"/>
  <c r="BC64" i="5"/>
  <c r="AQ64" i="5"/>
  <c r="AE64" i="5"/>
  <c r="S64" i="5"/>
  <c r="G64" i="5"/>
  <c r="AV63" i="5"/>
  <c r="AJ63" i="5"/>
  <c r="X63" i="5"/>
  <c r="L63" i="5"/>
  <c r="AM62" i="5"/>
  <c r="AA62" i="5"/>
  <c r="O62" i="5"/>
  <c r="C62" i="5"/>
  <c r="BD61" i="5"/>
  <c r="AR61" i="5"/>
  <c r="AF61" i="5"/>
  <c r="T61" i="5"/>
  <c r="H61" i="5"/>
  <c r="AI60" i="5"/>
  <c r="W60" i="5"/>
  <c r="I60" i="5"/>
  <c r="BF59" i="5"/>
  <c r="AL59" i="5"/>
  <c r="F59" i="5"/>
  <c r="AG58" i="5"/>
  <c r="AO56" i="5"/>
  <c r="AT55" i="5"/>
  <c r="AW54" i="5"/>
  <c r="AS52" i="5"/>
  <c r="AX51" i="5"/>
  <c r="BB47" i="5"/>
  <c r="AU46" i="5"/>
  <c r="AX43" i="5"/>
  <c r="AW40" i="5"/>
  <c r="BJ37" i="5"/>
  <c r="AT17" i="5"/>
  <c r="AP15" i="5"/>
  <c r="O42" i="5"/>
  <c r="AO12" i="5"/>
  <c r="L41" i="5"/>
  <c r="AS16" i="5"/>
  <c r="P45" i="5"/>
  <c r="BA8" i="5"/>
  <c r="H53" i="5"/>
  <c r="AF5" i="5"/>
  <c r="E32" i="5"/>
  <c r="AI12" i="5"/>
  <c r="L35" i="5"/>
  <c r="AR35" i="5"/>
  <c r="AI44" i="5"/>
  <c r="BG12" i="5"/>
  <c r="L59" i="5"/>
  <c r="S14" i="5"/>
  <c r="N19" i="5"/>
  <c r="BB45" i="5"/>
  <c r="AS54" i="5"/>
  <c r="BG34" i="5"/>
  <c r="AH59" i="5"/>
  <c r="AP17" i="5"/>
  <c r="Q42" i="5"/>
  <c r="X19" i="5"/>
  <c r="S24" i="5"/>
  <c r="BE16" i="5"/>
  <c r="P57" i="5"/>
  <c r="AB51" i="5"/>
  <c r="AY28" i="5"/>
  <c r="V9" i="5"/>
  <c r="I22" i="5"/>
  <c r="J13" i="5"/>
  <c r="M10" i="5"/>
  <c r="AZ27" i="5"/>
  <c r="AA52" i="5"/>
  <c r="AT5" i="5"/>
  <c r="E46" i="5"/>
  <c r="BC40" i="5"/>
  <c r="AN55" i="5"/>
  <c r="G10" i="5"/>
  <c r="J7" i="5"/>
  <c r="AJ25" i="5"/>
  <c r="Y36" i="5"/>
  <c r="AH19" i="5"/>
  <c r="S34" i="5"/>
  <c r="AJ7" i="5"/>
  <c r="G36" i="5"/>
  <c r="AZ25" i="5"/>
  <c r="Y52" i="5"/>
  <c r="AE28" i="5"/>
  <c r="AB31" i="5"/>
  <c r="BN25" i="5"/>
  <c r="BF11" i="5"/>
  <c r="K58" i="5"/>
  <c r="U24" i="5"/>
  <c r="X21" i="5"/>
  <c r="AF29" i="5"/>
  <c r="AC32" i="5"/>
  <c r="BB15" i="5"/>
  <c r="O54" i="5"/>
  <c r="AR33" i="5"/>
  <c r="AG44" i="5"/>
  <c r="AN17" i="5"/>
  <c r="Q40" i="5"/>
  <c r="AZ19" i="5"/>
  <c r="S52" i="5"/>
  <c r="X7" i="5"/>
  <c r="G24" i="5"/>
  <c r="AX35" i="5"/>
  <c r="AI50" i="5"/>
  <c r="T9" i="5"/>
  <c r="I20" i="5"/>
  <c r="BK58" i="5"/>
  <c r="R29" i="5"/>
  <c r="AC18" i="5"/>
  <c r="AP5" i="5"/>
  <c r="E42" i="5"/>
  <c r="BF39" i="5"/>
  <c r="AM58" i="5"/>
  <c r="AW12" i="5"/>
  <c r="L49" i="5"/>
  <c r="I8" i="5"/>
  <c r="H9" i="5"/>
  <c r="AO38" i="5"/>
  <c r="AL41" i="5"/>
  <c r="BD19" i="5"/>
  <c r="S56" i="5"/>
  <c r="AR19" i="5"/>
  <c r="S44" i="5"/>
  <c r="P17" i="5"/>
  <c r="Q16" i="5"/>
  <c r="BC44" i="5"/>
  <c r="AR55" i="5"/>
  <c r="Y18" i="5"/>
  <c r="R25" i="5"/>
  <c r="AK6" i="5"/>
  <c r="F37" i="5"/>
  <c r="AS26" i="5"/>
  <c r="Z45" i="5"/>
  <c r="BK18" i="5"/>
  <c r="AQ28" i="5"/>
  <c r="AB43" i="5"/>
  <c r="BH47" i="5"/>
  <c r="E12" i="5"/>
  <c r="L5" i="5"/>
  <c r="BH49" i="5"/>
  <c r="BA26" i="5"/>
  <c r="Z53" i="5"/>
  <c r="G6" i="5"/>
  <c r="F7" i="5"/>
  <c r="AM20" i="5"/>
  <c r="T39" i="5"/>
  <c r="L33" i="5"/>
  <c r="AG12" i="5"/>
  <c r="AQ22" i="5"/>
  <c r="V43" i="5"/>
  <c r="Y24" i="5"/>
  <c r="X25" i="5"/>
  <c r="AK16" i="5"/>
  <c r="P37" i="5"/>
  <c r="AY20" i="5"/>
  <c r="T51" i="5"/>
  <c r="BA24" i="5"/>
  <c r="X53" i="5"/>
  <c r="BE44" i="5"/>
  <c r="AR57" i="5"/>
  <c r="AY24" i="5"/>
  <c r="X51" i="5"/>
  <c r="AW26" i="5"/>
  <c r="Z49" i="5"/>
  <c r="BJ19" i="5"/>
  <c r="AI32" i="5"/>
  <c r="AF35" i="5"/>
  <c r="BJ23" i="5"/>
  <c r="AG40" i="5"/>
  <c r="AN33" i="5"/>
  <c r="AV49" i="5"/>
  <c r="AZ43" i="5"/>
  <c r="AQ52" i="5"/>
  <c r="BF23" i="5"/>
  <c r="W58" i="5"/>
  <c r="AD15" i="5"/>
  <c r="O30" i="5"/>
  <c r="S16" i="5"/>
  <c r="P19" i="5"/>
  <c r="S10" i="5"/>
  <c r="J19" i="5"/>
  <c r="BE56" i="5"/>
  <c r="BD57" i="5"/>
  <c r="Z17" i="5"/>
  <c r="Q26" i="5"/>
  <c r="AC24" i="5"/>
  <c r="X29" i="5"/>
  <c r="AH9" i="5"/>
  <c r="I34" i="5"/>
  <c r="C20" i="5"/>
  <c r="AS12" i="5"/>
  <c r="L45" i="5"/>
  <c r="AY8" i="5"/>
  <c r="H51" i="5"/>
  <c r="AA18" i="5"/>
  <c r="R27" i="5"/>
  <c r="AK24" i="5"/>
  <c r="X37" i="5"/>
  <c r="AI18" i="5"/>
  <c r="R35" i="5"/>
  <c r="AC16" i="5"/>
  <c r="P29" i="5"/>
  <c r="AL33" i="5"/>
  <c r="AG38" i="5"/>
  <c r="AQ26" i="5"/>
  <c r="Z43" i="5"/>
  <c r="AX29" i="5"/>
  <c r="AS10" i="5"/>
  <c r="J45" i="5"/>
  <c r="BI24" i="5"/>
  <c r="BL57" i="5"/>
  <c r="BD5" i="5"/>
  <c r="BC30" i="5"/>
  <c r="AD55" i="5"/>
  <c r="BN11" i="5"/>
  <c r="J5" i="5"/>
  <c r="E10" i="5"/>
  <c r="BI28" i="5"/>
  <c r="BN39" i="5"/>
  <c r="BJ13" i="5"/>
  <c r="W12" i="5"/>
  <c r="L23" i="5"/>
  <c r="AV9" i="5"/>
  <c r="I48" i="5"/>
  <c r="AR29" i="5"/>
  <c r="AC44" i="5"/>
  <c r="AW28" i="5"/>
  <c r="AB49" i="5"/>
  <c r="AG22" i="5"/>
  <c r="V33" i="5"/>
  <c r="AS14" i="5"/>
  <c r="N45" i="5"/>
  <c r="BK52" i="5"/>
  <c r="Z29" i="5"/>
  <c r="AC26" i="5"/>
  <c r="AV13" i="5"/>
  <c r="AL31" i="5"/>
  <c r="AE38" i="5"/>
  <c r="AJ23" i="5"/>
  <c r="W36" i="5"/>
  <c r="AT7" i="5"/>
  <c r="G46" i="5"/>
  <c r="Y12" i="5"/>
  <c r="L25" i="5"/>
  <c r="AN21" i="5"/>
  <c r="U40" i="5"/>
  <c r="AU20" i="5"/>
  <c r="T47" i="5"/>
  <c r="AU30" i="5"/>
  <c r="AF41" i="5"/>
  <c r="AO32" i="5"/>
  <c r="BC34" i="5"/>
  <c r="BH13" i="5"/>
  <c r="AY48" i="5"/>
  <c r="AV51" i="5"/>
  <c r="F3" i="5"/>
  <c r="BB3" i="5"/>
  <c r="AP3" i="5"/>
  <c r="AD3" i="5"/>
  <c r="P3" i="5"/>
  <c r="BC4" i="5"/>
  <c r="AQ4" i="5"/>
  <c r="AE4" i="5"/>
  <c r="S4" i="5"/>
  <c r="G4" i="5"/>
  <c r="BE66" i="5"/>
  <c r="AS66" i="5"/>
  <c r="U66" i="5"/>
  <c r="I66" i="5"/>
  <c r="AL65" i="5"/>
  <c r="Z65" i="5"/>
  <c r="N65" i="5"/>
  <c r="BA64" i="5"/>
  <c r="AO64" i="5"/>
  <c r="AC64" i="5"/>
  <c r="Q64" i="5"/>
  <c r="E64" i="5"/>
  <c r="BF63" i="5"/>
  <c r="AT63" i="5"/>
  <c r="AH63" i="5"/>
  <c r="V63" i="5"/>
  <c r="J63" i="5"/>
  <c r="AW62" i="5"/>
  <c r="Y62" i="5"/>
  <c r="M62" i="5"/>
  <c r="AP61" i="5"/>
  <c r="AD61" i="5"/>
  <c r="R61" i="5"/>
  <c r="F61" i="5"/>
  <c r="BE60" i="5"/>
  <c r="AS60" i="5"/>
  <c r="AG60" i="5"/>
  <c r="U60" i="5"/>
  <c r="E60" i="5"/>
  <c r="BD59" i="5"/>
  <c r="U58" i="5"/>
  <c r="Z57" i="5"/>
  <c r="AC56" i="5"/>
  <c r="AH55" i="5"/>
  <c r="AK54" i="5"/>
  <c r="AD53" i="5"/>
  <c r="AG52" i="5"/>
  <c r="AL51" i="5"/>
  <c r="AO50" i="5"/>
  <c r="AT49" i="5"/>
  <c r="AQ30" i="5"/>
  <c r="BD21" i="5"/>
  <c r="D29" i="2"/>
  <c r="D11" i="2"/>
  <c r="D25" i="2"/>
  <c r="D21" i="2"/>
  <c r="D16" i="2"/>
  <c r="D17" i="2"/>
  <c r="D14" i="2"/>
  <c r="D22" i="2"/>
  <c r="D12" i="2"/>
  <c r="R26" i="2"/>
  <c r="D10" i="2"/>
  <c r="D8" i="2"/>
  <c r="D4" i="2"/>
  <c r="R4" i="2"/>
  <c r="S9" i="2"/>
  <c r="D26" i="2"/>
  <c r="R2" i="2"/>
  <c r="D9" i="2"/>
  <c r="D18" i="2"/>
  <c r="Q5" i="2"/>
  <c r="Q28" i="2"/>
  <c r="R17" i="2"/>
  <c r="R22" i="2"/>
  <c r="D6" i="2"/>
  <c r="D19" i="2"/>
  <c r="D27" i="2"/>
  <c r="D20" i="2"/>
  <c r="D24" i="2"/>
  <c r="D15" i="2"/>
  <c r="D23" i="2"/>
  <c r="N19" i="2"/>
  <c r="W15" i="2"/>
  <c r="AA24" i="2"/>
  <c r="M29" i="2"/>
  <c r="W30" i="2"/>
  <c r="N16" i="2"/>
  <c r="W17" i="2"/>
  <c r="N29" i="2"/>
  <c r="U24" i="2"/>
  <c r="W32" i="2"/>
  <c r="O5" i="2"/>
  <c r="U18" i="2"/>
  <c r="W22" i="2"/>
  <c r="AA20" i="2"/>
  <c r="O29" i="2"/>
  <c r="U30" i="2"/>
  <c r="W9" i="2"/>
  <c r="V24" i="2"/>
  <c r="V30" i="2"/>
  <c r="O33" i="2"/>
  <c r="W24" i="2"/>
  <c r="V33" i="2"/>
  <c r="U33" i="2"/>
  <c r="W33" i="2"/>
  <c r="N28" i="2"/>
  <c r="W25" i="2"/>
  <c r="O28" i="2"/>
  <c r="M28" i="2"/>
  <c r="W21" i="2"/>
  <c r="N32" i="2"/>
  <c r="W13" i="2"/>
  <c r="U10" i="2"/>
  <c r="Z16" i="2"/>
  <c r="V31" i="2"/>
  <c r="N6" i="2"/>
  <c r="M26" i="2"/>
  <c r="N17" i="2"/>
  <c r="W23" i="2"/>
  <c r="N18" i="2"/>
  <c r="V25" i="2"/>
  <c r="N26" i="2"/>
  <c r="V16" i="2"/>
  <c r="N5" i="2"/>
  <c r="N22" i="2"/>
  <c r="N11" i="2"/>
  <c r="W26" i="2"/>
  <c r="N27" i="2"/>
  <c r="N2" i="2"/>
  <c r="N14" i="2"/>
  <c r="U14" i="2"/>
  <c r="O9" i="2"/>
  <c r="M9" i="2"/>
  <c r="U19" i="2"/>
  <c r="N3" i="2"/>
  <c r="V2" i="2"/>
  <c r="V8" i="2"/>
  <c r="V13" i="2"/>
  <c r="V14" i="2"/>
  <c r="V5" i="2"/>
  <c r="W16" i="2"/>
  <c r="V29" i="2"/>
  <c r="V17" i="2"/>
  <c r="W5" i="2"/>
  <c r="V9" i="2"/>
  <c r="W12" i="2"/>
  <c r="V27" i="2"/>
  <c r="V10" i="2"/>
  <c r="V6" i="2"/>
  <c r="N8" i="2"/>
  <c r="W31" i="2"/>
  <c r="W29" i="2"/>
  <c r="W4" i="2"/>
  <c r="W27" i="2"/>
  <c r="W8" i="2"/>
  <c r="U8" i="2"/>
  <c r="W3" i="2"/>
  <c r="N7" i="2"/>
  <c r="N4" i="2"/>
  <c r="U16" i="2"/>
  <c r="U4" i="2"/>
  <c r="V21" i="2"/>
  <c r="V15" i="2"/>
  <c r="W19" i="2"/>
  <c r="W2" i="2"/>
  <c r="M13" i="2"/>
  <c r="U9" i="2"/>
  <c r="U27" i="2"/>
  <c r="W14" i="2"/>
  <c r="U21" i="2"/>
  <c r="U15" i="2"/>
  <c r="V19" i="2"/>
  <c r="W6" i="2"/>
  <c r="Y12" i="2"/>
  <c r="M20" i="2"/>
  <c r="T13" i="2"/>
  <c r="N9" i="2"/>
  <c r="U6" i="2"/>
  <c r="V12" i="2"/>
  <c r="T11" i="2"/>
  <c r="L12" i="2"/>
  <c r="N20" i="2"/>
  <c r="U13" i="2"/>
  <c r="V22" i="2"/>
  <c r="W28" i="2"/>
  <c r="W11" i="2"/>
  <c r="M16" i="2"/>
  <c r="U12" i="2"/>
  <c r="V3" i="2"/>
  <c r="O6" i="2"/>
  <c r="U22" i="2"/>
  <c r="V28" i="2"/>
  <c r="V11" i="2"/>
  <c r="W18" i="2"/>
  <c r="M18" i="2"/>
  <c r="U25" i="2"/>
  <c r="U3" i="2"/>
  <c r="U28" i="2"/>
  <c r="U11" i="2"/>
  <c r="V18" i="2"/>
  <c r="U29" i="2"/>
  <c r="U31" i="2"/>
  <c r="V26" i="2"/>
  <c r="V23" i="2"/>
  <c r="M27" i="2"/>
  <c r="V32" i="2"/>
  <c r="N25" i="2"/>
  <c r="N31" i="2"/>
  <c r="U26" i="2"/>
  <c r="U23" i="2"/>
  <c r="V4" i="2"/>
  <c r="U17" i="2"/>
  <c r="U32" i="2"/>
  <c r="W10" i="2"/>
  <c r="W20" i="2"/>
  <c r="Y20" i="2"/>
  <c r="U20" i="2"/>
  <c r="V20" i="2"/>
  <c r="W7" i="2"/>
  <c r="U7" i="2"/>
  <c r="V7" i="2"/>
  <c r="Z20" i="2"/>
  <c r="N23" i="2"/>
  <c r="M30" i="2"/>
  <c r="M21" i="2"/>
  <c r="O21" i="2"/>
  <c r="T21" i="2"/>
  <c r="M5" i="2"/>
  <c r="M6" i="2"/>
  <c r="N13" i="2"/>
  <c r="O12" i="2"/>
  <c r="L29" i="2"/>
  <c r="T32" i="2"/>
  <c r="T23" i="2"/>
  <c r="M8" i="2"/>
  <c r="N12" i="2"/>
  <c r="O25" i="2"/>
  <c r="O22" i="2"/>
  <c r="L18" i="2"/>
  <c r="L11" i="2"/>
  <c r="L16" i="2"/>
  <c r="T19" i="2"/>
  <c r="T20" i="2"/>
  <c r="M12" i="2"/>
  <c r="O3" i="2"/>
  <c r="L17" i="2"/>
  <c r="L8" i="2"/>
  <c r="L25" i="2"/>
  <c r="T25" i="2"/>
  <c r="M25" i="2"/>
  <c r="M22" i="2"/>
  <c r="O7" i="2"/>
  <c r="O11" i="2"/>
  <c r="L22" i="2"/>
  <c r="L10" i="2"/>
  <c r="T29" i="2"/>
  <c r="T14" i="2"/>
  <c r="O31" i="2"/>
  <c r="L28" i="2"/>
  <c r="T4" i="2"/>
  <c r="T31" i="2"/>
  <c r="M11" i="2"/>
  <c r="O18" i="2"/>
  <c r="T27" i="2"/>
  <c r="T10" i="2"/>
  <c r="M31" i="2"/>
  <c r="N30" i="2"/>
  <c r="O26" i="2"/>
  <c r="O23" i="2"/>
  <c r="L27" i="2"/>
  <c r="T18" i="2"/>
  <c r="T30" i="2"/>
  <c r="O17" i="2"/>
  <c r="O32" i="2"/>
  <c r="L5" i="2"/>
  <c r="L19" i="2"/>
  <c r="L21" i="2"/>
  <c r="T15" i="2"/>
  <c r="O16" i="2"/>
  <c r="O4" i="2"/>
  <c r="L26" i="2"/>
  <c r="L31" i="2"/>
  <c r="T17" i="2"/>
  <c r="M17" i="2"/>
  <c r="M32" i="2"/>
  <c r="O27" i="2"/>
  <c r="L2" i="2"/>
  <c r="L6" i="2"/>
  <c r="T8" i="2"/>
  <c r="T6" i="2"/>
  <c r="M4" i="2"/>
  <c r="O15" i="2"/>
  <c r="T12" i="2"/>
  <c r="T7" i="2"/>
  <c r="N21" i="2"/>
  <c r="N15" i="2"/>
  <c r="O20" i="2"/>
  <c r="O10" i="2"/>
  <c r="L4" i="2"/>
  <c r="T26" i="2"/>
  <c r="T33" i="2"/>
  <c r="M15" i="2"/>
  <c r="N10" i="2"/>
  <c r="O19" i="2"/>
  <c r="O2" i="2"/>
  <c r="L15" i="2"/>
  <c r="L32" i="2"/>
  <c r="L9" i="2"/>
  <c r="T22" i="2"/>
  <c r="M10" i="2"/>
  <c r="O14" i="2"/>
  <c r="L14" i="2"/>
  <c r="T3" i="2"/>
  <c r="T16" i="2"/>
  <c r="M19" i="2"/>
  <c r="M2" i="2"/>
  <c r="N33" i="2"/>
  <c r="T24" i="2"/>
  <c r="T9" i="2"/>
  <c r="M33" i="2"/>
  <c r="M14" i="2"/>
  <c r="O8" i="2"/>
  <c r="M24" i="2"/>
  <c r="T28" i="2"/>
  <c r="N24" i="2"/>
  <c r="O24" i="2"/>
  <c r="L24" i="2"/>
  <c r="L33" i="2"/>
  <c r="AA12" i="2"/>
  <c r="L20" i="2"/>
  <c r="R23" i="2"/>
  <c r="AA26" i="2"/>
  <c r="Z30" i="2"/>
  <c r="Q19" i="2"/>
  <c r="Q33" i="2"/>
  <c r="Q8" i="2"/>
  <c r="AA16" i="2"/>
  <c r="S7" i="2"/>
  <c r="Q30" i="2"/>
  <c r="Y16" i="2"/>
  <c r="Z5" i="2"/>
  <c r="Q29" i="2"/>
  <c r="S3" i="2"/>
  <c r="R18" i="2"/>
  <c r="AA5" i="2"/>
  <c r="S27" i="2"/>
  <c r="R31" i="2"/>
  <c r="R11" i="2"/>
  <c r="Y5" i="2"/>
  <c r="Z7" i="2"/>
  <c r="Z4" i="2"/>
  <c r="S32" i="2"/>
  <c r="AA30" i="2"/>
  <c r="AA7" i="2"/>
  <c r="Y7" i="2"/>
  <c r="Z12" i="2"/>
  <c r="Y30" i="2"/>
  <c r="Z33" i="2"/>
  <c r="Y33" i="2"/>
  <c r="AA33" i="2"/>
  <c r="AA19" i="2"/>
  <c r="Z24" i="2"/>
  <c r="Y24" i="2"/>
  <c r="I45" i="7"/>
  <c r="H45" i="7"/>
  <c r="G45" i="7"/>
  <c r="F45" i="7"/>
  <c r="I68" i="7"/>
  <c r="I23" i="7"/>
  <c r="J59" i="7"/>
  <c r="I59" i="7"/>
  <c r="I58" i="7"/>
  <c r="J54" i="7"/>
  <c r="J30" i="7"/>
  <c r="J66" i="7"/>
  <c r="E8" i="7"/>
  <c r="E45" i="7"/>
  <c r="I48" i="7"/>
  <c r="H48" i="7"/>
  <c r="G48" i="7"/>
  <c r="F48" i="7"/>
  <c r="E48" i="7"/>
  <c r="BM7" i="1"/>
  <c r="BM6" i="1"/>
  <c r="BU5" i="1" a="1"/>
  <c r="BU5" i="1" s="1"/>
  <c r="BS5" i="1" a="1"/>
  <c r="BS5" i="1" s="1"/>
  <c r="Z32" i="2"/>
  <c r="Q4" i="2"/>
  <c r="AA32" i="2"/>
  <c r="BD20" i="1"/>
  <c r="BD19" i="1"/>
  <c r="BD22" i="1"/>
  <c r="J23" i="7"/>
  <c r="S4" i="2"/>
  <c r="I32" i="7"/>
  <c r="I22" i="7"/>
  <c r="G8" i="7"/>
  <c r="H8" i="7"/>
  <c r="I8" i="7"/>
  <c r="F8" i="7"/>
  <c r="J18" i="7"/>
  <c r="G12" i="7"/>
  <c r="H12" i="7"/>
  <c r="I12" i="7"/>
  <c r="E12" i="7"/>
  <c r="F12" i="7"/>
  <c r="Q9" i="2"/>
  <c r="R30" i="2"/>
  <c r="Z3" i="2"/>
  <c r="S30" i="2"/>
  <c r="Z28" i="2"/>
  <c r="Q17" i="2"/>
  <c r="S18" i="2"/>
  <c r="R9" i="2"/>
  <c r="Y3" i="2"/>
  <c r="Q32" i="2"/>
  <c r="S17" i="2"/>
  <c r="AA3" i="2"/>
  <c r="S22" i="2"/>
  <c r="Q22" i="2"/>
  <c r="R28" i="2"/>
  <c r="Y15" i="2"/>
  <c r="S28" i="2"/>
  <c r="S33" i="2"/>
  <c r="R33" i="2"/>
  <c r="R5" i="2"/>
  <c r="R32" i="2"/>
  <c r="R14" i="2"/>
  <c r="S26" i="2"/>
  <c r="Q26" i="2"/>
  <c r="AA8" i="2"/>
  <c r="S5" i="2"/>
  <c r="AA17" i="2"/>
  <c r="R3" i="2"/>
  <c r="Z19" i="2"/>
  <c r="AA9" i="2"/>
  <c r="Y9" i="2"/>
  <c r="R8" i="2"/>
  <c r="S8" i="2"/>
  <c r="Z9" i="2"/>
  <c r="Y31" i="2"/>
  <c r="S25" i="2"/>
  <c r="S29" i="2"/>
  <c r="Y6" i="2"/>
  <c r="R25" i="2"/>
  <c r="Q25" i="2"/>
  <c r="R29" i="2"/>
  <c r="Y17" i="2"/>
  <c r="Z8" i="2"/>
  <c r="Y21" i="2"/>
  <c r="Z31" i="2"/>
  <c r="S19" i="2"/>
  <c r="Q3" i="2"/>
  <c r="Z17" i="2"/>
  <c r="Z15" i="2"/>
  <c r="AA15" i="2"/>
  <c r="S15" i="2"/>
  <c r="Q11" i="2"/>
  <c r="AA6" i="2"/>
  <c r="R15" i="2"/>
  <c r="AA31" i="2"/>
  <c r="Q18" i="2"/>
  <c r="S11" i="2"/>
  <c r="R19" i="2"/>
  <c r="Q14" i="2"/>
  <c r="AA21" i="2"/>
  <c r="Q15" i="2"/>
  <c r="Y8" i="2"/>
  <c r="Y19" i="2"/>
  <c r="Z6" i="2"/>
  <c r="S10" i="2"/>
  <c r="Z21" i="2"/>
  <c r="Q10" i="2"/>
  <c r="S14" i="2"/>
  <c r="AA29" i="2"/>
  <c r="Z27" i="2"/>
  <c r="Q7" i="2"/>
  <c r="Y32" i="2"/>
  <c r="R7" i="2"/>
  <c r="Z23" i="2"/>
  <c r="Z11" i="2"/>
  <c r="Y23" i="2"/>
  <c r="Y11" i="2"/>
  <c r="Y29" i="2"/>
  <c r="AA4" i="2"/>
  <c r="AA11" i="2"/>
  <c r="Y4" i="2"/>
  <c r="Q27" i="2"/>
  <c r="Q31" i="2"/>
  <c r="R10" i="2"/>
  <c r="AA23" i="2"/>
  <c r="S2" i="2"/>
  <c r="S31" i="2"/>
  <c r="Q2" i="2"/>
  <c r="Z29" i="2"/>
  <c r="R27" i="2"/>
  <c r="S12" i="2"/>
  <c r="Z10" i="2"/>
  <c r="R16" i="2"/>
  <c r="AA14" i="2"/>
  <c r="Z14" i="2"/>
  <c r="S6" i="2"/>
  <c r="AA25" i="2"/>
  <c r="Z22" i="2"/>
  <c r="AA22" i="2"/>
  <c r="AA27" i="2"/>
  <c r="S23" i="2"/>
  <c r="Q23" i="2"/>
  <c r="S16" i="2"/>
  <c r="Y10" i="2"/>
  <c r="Q16" i="2"/>
  <c r="Y28" i="2"/>
  <c r="R21" i="2"/>
  <c r="Y14" i="2"/>
  <c r="Q21" i="2"/>
  <c r="Y27" i="2"/>
  <c r="S24" i="2"/>
  <c r="Q24" i="2"/>
  <c r="AA13" i="2"/>
  <c r="Y13" i="2"/>
  <c r="Z13" i="2"/>
  <c r="R12" i="2"/>
  <c r="Y22" i="2"/>
  <c r="Q12" i="2"/>
  <c r="AA28" i="2"/>
  <c r="Q13" i="2"/>
  <c r="Y18" i="2"/>
  <c r="S13" i="2"/>
  <c r="Z26" i="2"/>
  <c r="Q20" i="2"/>
  <c r="AA2" i="2"/>
  <c r="Y2" i="2"/>
  <c r="Z2" i="2"/>
  <c r="Z25" i="2"/>
  <c r="Q6" i="2"/>
  <c r="R6" i="2"/>
  <c r="Y25" i="2"/>
  <c r="Y26" i="2"/>
  <c r="S21" i="2"/>
  <c r="Z18" i="2"/>
  <c r="AA18" i="2"/>
  <c r="R13" i="2"/>
  <c r="R24" i="2"/>
  <c r="AA10" i="2"/>
  <c r="S20" i="2"/>
  <c r="R20" i="2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B8" i="6"/>
  <c r="J8" i="6"/>
  <c r="Y8" i="6"/>
  <c r="AC8" i="6"/>
  <c r="AD8" i="6"/>
  <c r="AF8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CY32" i="2"/>
  <c r="CZ32" i="2"/>
  <c r="DA32" i="2"/>
  <c r="DB32" i="2"/>
  <c r="DC32" i="2"/>
  <c r="DD32" i="2"/>
  <c r="DE32" i="2"/>
  <c r="DF32" i="2"/>
  <c r="DG32" i="2"/>
  <c r="DH32" i="2"/>
  <c r="CX33" i="2"/>
  <c r="CZ33" i="2"/>
  <c r="DA33" i="2"/>
  <c r="DB33" i="2"/>
  <c r="DC33" i="2"/>
  <c r="DD33" i="2"/>
  <c r="DE33" i="2"/>
  <c r="DF33" i="2"/>
  <c r="DG33" i="2"/>
  <c r="DH33" i="2"/>
  <c r="CX34" i="2"/>
  <c r="CY34" i="2"/>
  <c r="DA34" i="2"/>
  <c r="DB34" i="2"/>
  <c r="DC34" i="2"/>
  <c r="DD34" i="2"/>
  <c r="DE34" i="2"/>
  <c r="DF34" i="2"/>
  <c r="DG34" i="2"/>
  <c r="DH34" i="2"/>
  <c r="CX35" i="2"/>
  <c r="CY35" i="2"/>
  <c r="CZ35" i="2"/>
  <c r="DB35" i="2"/>
  <c r="DC35" i="2"/>
  <c r="DD35" i="2"/>
  <c r="DE35" i="2"/>
  <c r="DF35" i="2"/>
  <c r="DG35" i="2"/>
  <c r="DH35" i="2"/>
  <c r="CX36" i="2"/>
  <c r="CY36" i="2"/>
  <c r="CZ36" i="2"/>
  <c r="DA36" i="2"/>
  <c r="DC36" i="2"/>
  <c r="DD36" i="2"/>
  <c r="DE36" i="2"/>
  <c r="DF36" i="2"/>
  <c r="DG36" i="2"/>
  <c r="DH36" i="2"/>
  <c r="CX37" i="2"/>
  <c r="CY37" i="2"/>
  <c r="CZ37" i="2"/>
  <c r="DA37" i="2"/>
  <c r="DB37" i="2"/>
  <c r="DD37" i="2"/>
  <c r="DE37" i="2"/>
  <c r="DF37" i="2"/>
  <c r="DG37" i="2"/>
  <c r="DH37" i="2"/>
  <c r="CX38" i="2"/>
  <c r="CY38" i="2"/>
  <c r="CZ38" i="2"/>
  <c r="DA38" i="2"/>
  <c r="DB38" i="2"/>
  <c r="DC38" i="2"/>
  <c r="DE38" i="2"/>
  <c r="DF38" i="2"/>
  <c r="DG38" i="2"/>
  <c r="DH38" i="2"/>
  <c r="CX39" i="2"/>
  <c r="CY39" i="2"/>
  <c r="CZ39" i="2"/>
  <c r="DA39" i="2"/>
  <c r="DB39" i="2"/>
  <c r="DC39" i="2"/>
  <c r="DD39" i="2"/>
  <c r="DF39" i="2"/>
  <c r="DG39" i="2"/>
  <c r="DH39" i="2"/>
  <c r="CX40" i="2"/>
  <c r="CY40" i="2"/>
  <c r="CZ40" i="2"/>
  <c r="DA40" i="2"/>
  <c r="DB40" i="2"/>
  <c r="DC40" i="2"/>
  <c r="DD40" i="2"/>
  <c r="DE40" i="2"/>
  <c r="DG40" i="2"/>
  <c r="DH40" i="2"/>
  <c r="CX41" i="2"/>
  <c r="CY41" i="2"/>
  <c r="CZ41" i="2"/>
  <c r="DA41" i="2"/>
  <c r="DB41" i="2"/>
  <c r="DC41" i="2"/>
  <c r="DD41" i="2"/>
  <c r="DE41" i="2"/>
  <c r="DF41" i="2"/>
  <c r="DH41" i="2"/>
  <c r="CX42" i="2"/>
  <c r="CY42" i="2"/>
  <c r="CZ42" i="2"/>
  <c r="DA42" i="2"/>
  <c r="DB42" i="2"/>
  <c r="DC42" i="2"/>
  <c r="DD42" i="2"/>
  <c r="DE42" i="2"/>
  <c r="DF42" i="2"/>
  <c r="DG4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CF29" i="2"/>
  <c r="CE29" i="2" s="1"/>
  <c r="CF4" i="2"/>
  <c r="CE4" i="2" s="1"/>
  <c r="CF27" i="2"/>
  <c r="CE27" i="2" s="1"/>
  <c r="CF28" i="2"/>
  <c r="CE28" i="2" s="1"/>
  <c r="CF30" i="2"/>
  <c r="CE30" i="2" s="1"/>
  <c r="CF10" i="2"/>
  <c r="CE10" i="2" s="1"/>
  <c r="CF6" i="2"/>
  <c r="CE6" i="2" s="1"/>
  <c r="CF5" i="2"/>
  <c r="CE5" i="2" s="1"/>
  <c r="CF9" i="2"/>
  <c r="CE9" i="2" s="1"/>
  <c r="CF7" i="2"/>
  <c r="CE7" i="2" s="1"/>
  <c r="CF14" i="2"/>
  <c r="CE14" i="2" s="1"/>
  <c r="CF2" i="2"/>
  <c r="CE2" i="2" s="1"/>
  <c r="CF8" i="2"/>
  <c r="CE8" i="2" s="1"/>
  <c r="CF13" i="2"/>
  <c r="CE13" i="2" s="1"/>
  <c r="CF16" i="2"/>
  <c r="CE16" i="2" s="1"/>
  <c r="CF11" i="2"/>
  <c r="CE11" i="2" s="1"/>
  <c r="CF18" i="2"/>
  <c r="CE18" i="2" s="1"/>
  <c r="CF31" i="2"/>
  <c r="CE31" i="2" s="1"/>
  <c r="CF23" i="2"/>
  <c r="CE23" i="2" s="1"/>
  <c r="CF17" i="2"/>
  <c r="CE17" i="2" s="1"/>
  <c r="CF12" i="2"/>
  <c r="CE12" i="2" s="1"/>
  <c r="CF32" i="2"/>
  <c r="CE32" i="2" s="1"/>
  <c r="CF24" i="2"/>
  <c r="CE24" i="2" s="1"/>
  <c r="CF3" i="2"/>
  <c r="CE3" i="2" s="1"/>
  <c r="CF15" i="2"/>
  <c r="CE15" i="2" s="1"/>
  <c r="CF20" i="2"/>
  <c r="CE20" i="2" s="1"/>
  <c r="CF19" i="2"/>
  <c r="CE19" i="2" s="1"/>
  <c r="CF22" i="2"/>
  <c r="CE22" i="2" s="1"/>
  <c r="CF21" i="2"/>
  <c r="CE21" i="2" s="1"/>
  <c r="CF25" i="2"/>
  <c r="CE25" i="2" s="1"/>
  <c r="CF26" i="2"/>
  <c r="CE26" i="2" s="1"/>
  <c r="CF33" i="2"/>
  <c r="CE33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BH35" i="1"/>
  <c r="BH34" i="1"/>
  <c r="BH33" i="1"/>
  <c r="BH31" i="1"/>
  <c r="BI20" i="1"/>
  <c r="BI13" i="1"/>
  <c r="N373" i="1"/>
  <c r="CA35" i="2"/>
  <c r="CA36" i="2"/>
  <c r="CA37" i="2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I362" i="1" s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I590" i="1" s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I877" i="1" s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I954" i="1" s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I1175" i="1" s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H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H590" i="1" s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H877" i="1" s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H954" i="1" s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H1175" i="1" s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AI1093" i="1" l="1"/>
  <c r="AI1096" i="1"/>
  <c r="AI1090" i="1"/>
  <c r="AI1089" i="1"/>
  <c r="AI1095" i="1"/>
  <c r="AI1092" i="1"/>
  <c r="AI1097" i="1"/>
  <c r="AI1091" i="1"/>
  <c r="AI1094" i="1"/>
  <c r="AH1008" i="1"/>
  <c r="AH1010" i="1"/>
  <c r="AH1011" i="1"/>
  <c r="AH1009" i="1"/>
  <c r="AH912" i="1"/>
  <c r="AH915" i="1"/>
  <c r="AH916" i="1"/>
  <c r="AH913" i="1"/>
  <c r="AH917" i="1"/>
  <c r="AH914" i="1"/>
  <c r="AH918" i="1"/>
  <c r="AH919" i="1"/>
  <c r="AH115" i="1"/>
  <c r="AH116" i="1"/>
  <c r="AH118" i="1"/>
  <c r="AH112" i="1"/>
  <c r="AH114" i="1"/>
  <c r="AH113" i="1"/>
  <c r="AH117" i="1"/>
  <c r="AI1011" i="1"/>
  <c r="AI1008" i="1"/>
  <c r="AI1009" i="1"/>
  <c r="AI1010" i="1"/>
  <c r="AI919" i="1"/>
  <c r="AI915" i="1"/>
  <c r="AI913" i="1"/>
  <c r="AI918" i="1"/>
  <c r="AI917" i="1"/>
  <c r="AI912" i="1"/>
  <c r="AI916" i="1"/>
  <c r="AI914" i="1"/>
  <c r="AH1170" i="1"/>
  <c r="AH1168" i="1"/>
  <c r="AH1172" i="1"/>
  <c r="AH1173" i="1"/>
  <c r="AH1174" i="1"/>
  <c r="AH1169" i="1"/>
  <c r="AH1171" i="1"/>
  <c r="AH1167" i="1"/>
  <c r="AH1165" i="1"/>
  <c r="AH1166" i="1"/>
  <c r="AH944" i="1"/>
  <c r="AH945" i="1"/>
  <c r="AH947" i="1"/>
  <c r="AH948" i="1"/>
  <c r="AH949" i="1"/>
  <c r="AH941" i="1"/>
  <c r="AH942" i="1"/>
  <c r="AH943" i="1"/>
  <c r="AH950" i="1"/>
  <c r="AH951" i="1"/>
  <c r="AH952" i="1"/>
  <c r="AH953" i="1"/>
  <c r="AH946" i="1"/>
  <c r="AH848" i="1"/>
  <c r="AH850" i="1"/>
  <c r="AH846" i="1"/>
  <c r="AH853" i="1"/>
  <c r="AH854" i="1"/>
  <c r="AH855" i="1"/>
  <c r="AH849" i="1"/>
  <c r="AH857" i="1"/>
  <c r="AH858" i="1"/>
  <c r="AH859" i="1"/>
  <c r="AH847" i="1"/>
  <c r="AH851" i="1"/>
  <c r="AH852" i="1"/>
  <c r="AH856" i="1"/>
  <c r="AH845" i="1"/>
  <c r="AH672" i="1"/>
  <c r="AH677" i="1"/>
  <c r="AH678" i="1"/>
  <c r="AH674" i="1"/>
  <c r="AH673" i="1"/>
  <c r="AH671" i="1"/>
  <c r="AH675" i="1"/>
  <c r="AH669" i="1"/>
  <c r="AH670" i="1"/>
  <c r="AH676" i="1"/>
  <c r="AH576" i="1"/>
  <c r="AH577" i="1"/>
  <c r="AH578" i="1"/>
  <c r="AH573" i="1"/>
  <c r="AH574" i="1"/>
  <c r="AH575" i="1"/>
  <c r="AH558" i="1"/>
  <c r="AH559" i="1"/>
  <c r="AH563" i="1"/>
  <c r="AH562" i="1"/>
  <c r="AH564" i="1"/>
  <c r="AH565" i="1"/>
  <c r="AH560" i="1"/>
  <c r="AH561" i="1"/>
  <c r="AH557" i="1"/>
  <c r="AH445" i="1"/>
  <c r="AH451" i="1"/>
  <c r="AH452" i="1"/>
  <c r="AH453" i="1"/>
  <c r="AH454" i="1"/>
  <c r="AH455" i="1"/>
  <c r="AH456" i="1"/>
  <c r="AH457" i="1"/>
  <c r="AH458" i="1"/>
  <c r="AH447" i="1"/>
  <c r="AH448" i="1"/>
  <c r="AH446" i="1"/>
  <c r="AH450" i="1"/>
  <c r="AH449" i="1"/>
  <c r="AH419" i="1"/>
  <c r="AH420" i="1"/>
  <c r="AH413" i="1"/>
  <c r="AH414" i="1"/>
  <c r="AH418" i="1"/>
  <c r="AH415" i="1"/>
  <c r="AH417" i="1"/>
  <c r="AH416" i="1"/>
  <c r="AH421" i="1"/>
  <c r="AH422" i="1"/>
  <c r="AH338" i="1"/>
  <c r="AH335" i="1"/>
  <c r="AH337" i="1"/>
  <c r="AH334" i="1"/>
  <c r="AH336" i="1"/>
  <c r="AH333" i="1"/>
  <c r="AH320" i="1"/>
  <c r="AH318" i="1"/>
  <c r="AH319" i="1"/>
  <c r="AH317" i="1"/>
  <c r="AH301" i="1"/>
  <c r="AH302" i="1"/>
  <c r="AH210" i="1"/>
  <c r="AH207" i="1"/>
  <c r="AH211" i="1"/>
  <c r="AH212" i="1"/>
  <c r="AH213" i="1"/>
  <c r="AH214" i="1"/>
  <c r="AH208" i="1"/>
  <c r="AH209" i="1"/>
  <c r="AH205" i="1"/>
  <c r="AH206" i="1"/>
  <c r="AH64" i="1"/>
  <c r="AH65" i="1"/>
  <c r="AH66" i="1"/>
  <c r="AH67" i="1"/>
  <c r="AH62" i="1"/>
  <c r="AH68" i="1"/>
  <c r="AH63" i="1"/>
  <c r="AH61" i="1"/>
  <c r="AH69" i="1"/>
  <c r="AI1313" i="1"/>
  <c r="AI1309" i="1"/>
  <c r="AI1311" i="1"/>
  <c r="AI1312" i="1"/>
  <c r="AI1310" i="1"/>
  <c r="AI1174" i="1"/>
  <c r="AI1167" i="1"/>
  <c r="AI1171" i="1"/>
  <c r="AI1172" i="1"/>
  <c r="AI1166" i="1"/>
  <c r="AI1169" i="1"/>
  <c r="AI1170" i="1"/>
  <c r="AI1165" i="1"/>
  <c r="AI1173" i="1"/>
  <c r="AI1168" i="1"/>
  <c r="AI951" i="1"/>
  <c r="AI942" i="1"/>
  <c r="AI948" i="1"/>
  <c r="AI947" i="1"/>
  <c r="AI949" i="1"/>
  <c r="AI944" i="1"/>
  <c r="AI945" i="1"/>
  <c r="AI950" i="1"/>
  <c r="AI941" i="1"/>
  <c r="AI953" i="1"/>
  <c r="AI952" i="1"/>
  <c r="AI943" i="1"/>
  <c r="AI946" i="1"/>
  <c r="AI846" i="1"/>
  <c r="AI854" i="1"/>
  <c r="AI856" i="1"/>
  <c r="AI851" i="1"/>
  <c r="AI853" i="1"/>
  <c r="AI848" i="1"/>
  <c r="AI850" i="1"/>
  <c r="AI847" i="1"/>
  <c r="AI845" i="1"/>
  <c r="AI852" i="1"/>
  <c r="AI855" i="1"/>
  <c r="AI849" i="1"/>
  <c r="AI859" i="1"/>
  <c r="AI858" i="1"/>
  <c r="AI857" i="1"/>
  <c r="AI675" i="1"/>
  <c r="AI676" i="1"/>
  <c r="AI672" i="1"/>
  <c r="AI678" i="1"/>
  <c r="AI673" i="1"/>
  <c r="AI671" i="1"/>
  <c r="AI674" i="1"/>
  <c r="AI669" i="1"/>
  <c r="AI677" i="1"/>
  <c r="AI670" i="1"/>
  <c r="AI576" i="1"/>
  <c r="AI574" i="1"/>
  <c r="AI577" i="1"/>
  <c r="AI578" i="1"/>
  <c r="AI575" i="1"/>
  <c r="AI573" i="1"/>
  <c r="AI560" i="1"/>
  <c r="AI559" i="1"/>
  <c r="AI558" i="1"/>
  <c r="AI565" i="1"/>
  <c r="AI557" i="1"/>
  <c r="AI563" i="1"/>
  <c r="AI561" i="1"/>
  <c r="AI562" i="1"/>
  <c r="AI564" i="1"/>
  <c r="AI456" i="1"/>
  <c r="AI452" i="1"/>
  <c r="AI448" i="1"/>
  <c r="AI454" i="1"/>
  <c r="AI445" i="1"/>
  <c r="AI455" i="1"/>
  <c r="AI451" i="1"/>
  <c r="AI453" i="1"/>
  <c r="AI457" i="1"/>
  <c r="AI446" i="1"/>
  <c r="AI449" i="1"/>
  <c r="AI447" i="1"/>
  <c r="AI458" i="1"/>
  <c r="AI450" i="1"/>
  <c r="AI421" i="1"/>
  <c r="AI422" i="1"/>
  <c r="AI419" i="1"/>
  <c r="AI420" i="1"/>
  <c r="AI416" i="1"/>
  <c r="AI413" i="1"/>
  <c r="AI418" i="1"/>
  <c r="AI414" i="1"/>
  <c r="AI417" i="1"/>
  <c r="AI415" i="1"/>
  <c r="AI338" i="1"/>
  <c r="AI337" i="1"/>
  <c r="AI335" i="1"/>
  <c r="AI333" i="1"/>
  <c r="AI336" i="1"/>
  <c r="AI334" i="1"/>
  <c r="AI319" i="1"/>
  <c r="AI318" i="1"/>
  <c r="AI320" i="1"/>
  <c r="AI317" i="1"/>
  <c r="AI302" i="1"/>
  <c r="AI301" i="1"/>
  <c r="AI211" i="1"/>
  <c r="AI208" i="1"/>
  <c r="AI205" i="1"/>
  <c r="AI207" i="1"/>
  <c r="AI214" i="1"/>
  <c r="AI210" i="1"/>
  <c r="AI213" i="1"/>
  <c r="AI206" i="1"/>
  <c r="AI209" i="1"/>
  <c r="AI212" i="1"/>
  <c r="AI65" i="1"/>
  <c r="AI66" i="1"/>
  <c r="AI63" i="1"/>
  <c r="AI67" i="1"/>
  <c r="AI69" i="1"/>
  <c r="AI68" i="1"/>
  <c r="AI64" i="1"/>
  <c r="AI61" i="1"/>
  <c r="AI62" i="1"/>
  <c r="AI130" i="1"/>
  <c r="AI136" i="1"/>
  <c r="AI131" i="1"/>
  <c r="AI134" i="1"/>
  <c r="AI129" i="1"/>
  <c r="AI138" i="1"/>
  <c r="AI137" i="1"/>
  <c r="AI132" i="1"/>
  <c r="AI128" i="1"/>
  <c r="AI135" i="1"/>
  <c r="AI133" i="1"/>
  <c r="AH1276" i="1"/>
  <c r="AH1280" i="1"/>
  <c r="AH1278" i="1"/>
  <c r="AH1279" i="1"/>
  <c r="AH1277" i="1"/>
  <c r="AH1281" i="1"/>
  <c r="AH1068" i="1"/>
  <c r="AH1072" i="1"/>
  <c r="AH1069" i="1"/>
  <c r="AH1070" i="1"/>
  <c r="AH1071" i="1"/>
  <c r="AH1038" i="1"/>
  <c r="AH1039" i="1"/>
  <c r="AH1043" i="1"/>
  <c r="AH1042" i="1"/>
  <c r="AH1041" i="1"/>
  <c r="AH1040" i="1"/>
  <c r="AH1036" i="1"/>
  <c r="AH1037" i="1"/>
  <c r="AH975" i="1"/>
  <c r="AH976" i="1"/>
  <c r="AH972" i="1"/>
  <c r="AH973" i="1"/>
  <c r="AH974" i="1"/>
  <c r="AH860" i="1"/>
  <c r="AH861" i="1"/>
  <c r="AH864" i="1"/>
  <c r="AH863" i="1"/>
  <c r="AH862" i="1"/>
  <c r="AH866" i="1"/>
  <c r="AH865" i="1"/>
  <c r="AH803" i="1"/>
  <c r="AH797" i="1"/>
  <c r="AH798" i="1"/>
  <c r="AH799" i="1"/>
  <c r="AH802" i="1"/>
  <c r="AH801" i="1"/>
  <c r="AH800" i="1"/>
  <c r="AH796" i="1"/>
  <c r="AH689" i="1"/>
  <c r="AH688" i="1"/>
  <c r="AH686" i="1"/>
  <c r="AH687" i="1"/>
  <c r="AH684" i="1"/>
  <c r="AH685" i="1"/>
  <c r="AH691" i="1"/>
  <c r="AH690" i="1"/>
  <c r="AH692" i="1"/>
  <c r="AH694" i="1"/>
  <c r="AH693" i="1"/>
  <c r="AH695" i="1"/>
  <c r="AH654" i="1"/>
  <c r="AH655" i="1"/>
  <c r="AH659" i="1"/>
  <c r="AH660" i="1"/>
  <c r="AH661" i="1"/>
  <c r="AH658" i="1"/>
  <c r="AH652" i="1"/>
  <c r="AH657" i="1"/>
  <c r="AH656" i="1"/>
  <c r="AH653" i="1"/>
  <c r="AH641" i="1"/>
  <c r="AH642" i="1"/>
  <c r="AH640" i="1"/>
  <c r="AH636" i="1"/>
  <c r="AH637" i="1"/>
  <c r="AH639" i="1"/>
  <c r="AH638" i="1"/>
  <c r="AH434" i="1"/>
  <c r="AH432" i="1"/>
  <c r="AH433" i="1"/>
  <c r="AH431" i="1"/>
  <c r="AH436" i="1"/>
  <c r="AH429" i="1"/>
  <c r="AH428" i="1"/>
  <c r="AH437" i="1"/>
  <c r="AH430" i="1"/>
  <c r="AH435" i="1"/>
  <c r="AH402" i="1"/>
  <c r="AH403" i="1"/>
  <c r="AH404" i="1"/>
  <c r="AH401" i="1"/>
  <c r="AH405" i="1"/>
  <c r="AH407" i="1"/>
  <c r="AH398" i="1"/>
  <c r="AH399" i="1"/>
  <c r="AH400" i="1"/>
  <c r="AH406" i="1"/>
  <c r="AH397" i="1"/>
  <c r="AH396" i="1"/>
  <c r="AH240" i="1"/>
  <c r="AH236" i="1"/>
  <c r="AH237" i="1"/>
  <c r="AH242" i="1"/>
  <c r="AH241" i="1"/>
  <c r="AH243" i="1"/>
  <c r="AH244" i="1"/>
  <c r="AH238" i="1"/>
  <c r="AH245" i="1"/>
  <c r="AH239" i="1"/>
  <c r="AH247" i="1"/>
  <c r="AH246" i="1"/>
  <c r="AH223" i="1"/>
  <c r="AH220" i="1"/>
  <c r="AH221" i="1"/>
  <c r="AH227" i="1"/>
  <c r="AH225" i="1"/>
  <c r="AH224" i="1"/>
  <c r="AH222" i="1"/>
  <c r="AH228" i="1"/>
  <c r="AH226" i="1"/>
  <c r="AH82" i="1"/>
  <c r="AH80" i="1"/>
  <c r="AH83" i="1"/>
  <c r="AH81" i="1"/>
  <c r="AH78" i="1"/>
  <c r="AH86" i="1"/>
  <c r="AH76" i="1"/>
  <c r="AH84" i="1"/>
  <c r="AH79" i="1"/>
  <c r="AH77" i="1"/>
  <c r="AH85" i="1"/>
  <c r="AI1281" i="1"/>
  <c r="AI1278" i="1"/>
  <c r="AI1277" i="1"/>
  <c r="AI1279" i="1"/>
  <c r="AI1276" i="1"/>
  <c r="AI1280" i="1"/>
  <c r="AI1068" i="1"/>
  <c r="AI1072" i="1"/>
  <c r="AI1069" i="1"/>
  <c r="AI1071" i="1"/>
  <c r="AI1070" i="1"/>
  <c r="AI1038" i="1"/>
  <c r="AI1037" i="1"/>
  <c r="AI1039" i="1"/>
  <c r="AI1041" i="1"/>
  <c r="AI1040" i="1"/>
  <c r="AI1043" i="1"/>
  <c r="AI1042" i="1"/>
  <c r="AI1036" i="1"/>
  <c r="AI976" i="1"/>
  <c r="AI973" i="1"/>
  <c r="AI974" i="1"/>
  <c r="AI975" i="1"/>
  <c r="AI972" i="1"/>
  <c r="AI866" i="1"/>
  <c r="AI861" i="1"/>
  <c r="AI863" i="1"/>
  <c r="AI860" i="1"/>
  <c r="AI865" i="1"/>
  <c r="AI864" i="1"/>
  <c r="AI862" i="1"/>
  <c r="AI796" i="1"/>
  <c r="AI802" i="1"/>
  <c r="AI801" i="1"/>
  <c r="AI799" i="1"/>
  <c r="AI797" i="1"/>
  <c r="AI800" i="1"/>
  <c r="AI803" i="1"/>
  <c r="AI798" i="1"/>
  <c r="AI695" i="1"/>
  <c r="AI691" i="1"/>
  <c r="AI686" i="1"/>
  <c r="AI693" i="1"/>
  <c r="AI685" i="1"/>
  <c r="AI690" i="1"/>
  <c r="AI689" i="1"/>
  <c r="AI687" i="1"/>
  <c r="AI694" i="1"/>
  <c r="AI684" i="1"/>
  <c r="AI692" i="1"/>
  <c r="AI688" i="1"/>
  <c r="AI652" i="1"/>
  <c r="AI661" i="1"/>
  <c r="AI653" i="1"/>
  <c r="AI658" i="1"/>
  <c r="AI657" i="1"/>
  <c r="AI654" i="1"/>
  <c r="AI655" i="1"/>
  <c r="AI660" i="1"/>
  <c r="AI659" i="1"/>
  <c r="AI656" i="1"/>
  <c r="AI639" i="1"/>
  <c r="AI640" i="1"/>
  <c r="AI638" i="1"/>
  <c r="AI641" i="1"/>
  <c r="AI636" i="1"/>
  <c r="AI642" i="1"/>
  <c r="AI637" i="1"/>
  <c r="AI437" i="1"/>
  <c r="AI434" i="1"/>
  <c r="AI433" i="1"/>
  <c r="AI428" i="1"/>
  <c r="AI431" i="1"/>
  <c r="AI429" i="1"/>
  <c r="AI435" i="1"/>
  <c r="AI432" i="1"/>
  <c r="AI430" i="1"/>
  <c r="AI436" i="1"/>
  <c r="AI398" i="1"/>
  <c r="AI407" i="1"/>
  <c r="AI406" i="1"/>
  <c r="AI402" i="1"/>
  <c r="AI401" i="1"/>
  <c r="AI404" i="1"/>
  <c r="AI399" i="1"/>
  <c r="AI405" i="1"/>
  <c r="AI397" i="1"/>
  <c r="AI403" i="1"/>
  <c r="AI400" i="1"/>
  <c r="AI396" i="1"/>
  <c r="AI240" i="1"/>
  <c r="AI239" i="1"/>
  <c r="AI238" i="1"/>
  <c r="AI237" i="1"/>
  <c r="AI243" i="1"/>
  <c r="AI247" i="1"/>
  <c r="AI236" i="1"/>
  <c r="AI242" i="1"/>
  <c r="AI245" i="1"/>
  <c r="AI241" i="1"/>
  <c r="AI244" i="1"/>
  <c r="AI246" i="1"/>
  <c r="AI227" i="1"/>
  <c r="AI224" i="1"/>
  <c r="AI225" i="1"/>
  <c r="AI220" i="1"/>
  <c r="AI226" i="1"/>
  <c r="AI222" i="1"/>
  <c r="AI223" i="1"/>
  <c r="AI221" i="1"/>
  <c r="AI228" i="1"/>
  <c r="AI81" i="1"/>
  <c r="AI78" i="1"/>
  <c r="AI82" i="1"/>
  <c r="AI80" i="1"/>
  <c r="AI77" i="1"/>
  <c r="AI83" i="1"/>
  <c r="AI85" i="1"/>
  <c r="AI86" i="1"/>
  <c r="AI76" i="1"/>
  <c r="AI84" i="1"/>
  <c r="AI79" i="1"/>
  <c r="AH961" i="1"/>
  <c r="AH964" i="1"/>
  <c r="AH965" i="1"/>
  <c r="AH966" i="1"/>
  <c r="AH967" i="1"/>
  <c r="AH963" i="1"/>
  <c r="AH968" i="1"/>
  <c r="AH962" i="1"/>
  <c r="AH970" i="1"/>
  <c r="AH969" i="1"/>
  <c r="AH971" i="1"/>
  <c r="AI1237" i="1"/>
  <c r="AI1238" i="1"/>
  <c r="AI1239" i="1"/>
  <c r="AI1236" i="1"/>
  <c r="AI1234" i="1"/>
  <c r="AI1233" i="1"/>
  <c r="AI1235" i="1"/>
  <c r="AH1203" i="1"/>
  <c r="AH1204" i="1"/>
  <c r="AH1206" i="1"/>
  <c r="AH1207" i="1"/>
  <c r="AH1201" i="1"/>
  <c r="AH1200" i="1"/>
  <c r="AH1205" i="1"/>
  <c r="AH1202" i="1"/>
  <c r="AH608" i="1"/>
  <c r="AH615" i="1"/>
  <c r="AH616" i="1"/>
  <c r="AH611" i="1"/>
  <c r="AH612" i="1"/>
  <c r="AH613" i="1"/>
  <c r="AH609" i="1"/>
  <c r="AH614" i="1"/>
  <c r="AH617" i="1"/>
  <c r="AH618" i="1"/>
  <c r="AH610" i="1"/>
  <c r="AI114" i="1"/>
  <c r="AI112" i="1"/>
  <c r="AI115" i="1"/>
  <c r="AI117" i="1"/>
  <c r="AI113" i="1"/>
  <c r="AI118" i="1"/>
  <c r="AI116" i="1"/>
  <c r="AH1312" i="1"/>
  <c r="AH1313" i="1"/>
  <c r="AH1309" i="1"/>
  <c r="AH1310" i="1"/>
  <c r="AH1311" i="1"/>
  <c r="AH1308" i="1"/>
  <c r="AH1307" i="1"/>
  <c r="AH958" i="1"/>
  <c r="AH959" i="1"/>
  <c r="AH960" i="1"/>
  <c r="AH955" i="1"/>
  <c r="AH956" i="1"/>
  <c r="AH957" i="1"/>
  <c r="AH828" i="1"/>
  <c r="AH829" i="1"/>
  <c r="AH830" i="1"/>
  <c r="AH831" i="1"/>
  <c r="AH827" i="1"/>
  <c r="AH715" i="1"/>
  <c r="AH716" i="1"/>
  <c r="AH717" i="1"/>
  <c r="AH627" i="1"/>
  <c r="AH628" i="1"/>
  <c r="AH622" i="1"/>
  <c r="AH620" i="1"/>
  <c r="AH626" i="1"/>
  <c r="AH625" i="1"/>
  <c r="AH624" i="1"/>
  <c r="AH619" i="1"/>
  <c r="AH621" i="1"/>
  <c r="AH623" i="1"/>
  <c r="AH459" i="1"/>
  <c r="AH461" i="1"/>
  <c r="AH462" i="1"/>
  <c r="AH460" i="1"/>
  <c r="AH366" i="1"/>
  <c r="AH367" i="1"/>
  <c r="AH371" i="1"/>
  <c r="AH372" i="1"/>
  <c r="AH373" i="1"/>
  <c r="AH375" i="1"/>
  <c r="AH376" i="1"/>
  <c r="AH377" i="1"/>
  <c r="AH364" i="1"/>
  <c r="AH365" i="1"/>
  <c r="AH363" i="1"/>
  <c r="AH370" i="1"/>
  <c r="AH369" i="1"/>
  <c r="AH368" i="1"/>
  <c r="AH374" i="1"/>
  <c r="AH269" i="1"/>
  <c r="AH267" i="1"/>
  <c r="AH270" i="1"/>
  <c r="AH268" i="1"/>
  <c r="AH146" i="1"/>
  <c r="AH147" i="1"/>
  <c r="AH142" i="1"/>
  <c r="AH145" i="1"/>
  <c r="AH143" i="1"/>
  <c r="AH139" i="1"/>
  <c r="AH144" i="1"/>
  <c r="AH140" i="1"/>
  <c r="AH141" i="1"/>
  <c r="AI1308" i="1"/>
  <c r="AI1307" i="1"/>
  <c r="AI959" i="1"/>
  <c r="AI957" i="1"/>
  <c r="AI956" i="1"/>
  <c r="AI960" i="1"/>
  <c r="AI958" i="1"/>
  <c r="AI955" i="1"/>
  <c r="AI828" i="1"/>
  <c r="AI831" i="1"/>
  <c r="AI830" i="1"/>
  <c r="AI827" i="1"/>
  <c r="AI829" i="1"/>
  <c r="AI715" i="1"/>
  <c r="AI716" i="1"/>
  <c r="AI717" i="1"/>
  <c r="AI622" i="1"/>
  <c r="AI621" i="1"/>
  <c r="AI626" i="1"/>
  <c r="AI625" i="1"/>
  <c r="AI619" i="1"/>
  <c r="AI623" i="1"/>
  <c r="AI620" i="1"/>
  <c r="AI628" i="1"/>
  <c r="AI627" i="1"/>
  <c r="AI624" i="1"/>
  <c r="AI459" i="1"/>
  <c r="AI461" i="1"/>
  <c r="AI460" i="1"/>
  <c r="AI462" i="1"/>
  <c r="AI375" i="1"/>
  <c r="AI376" i="1"/>
  <c r="AI374" i="1"/>
  <c r="AI370" i="1"/>
  <c r="AI369" i="1"/>
  <c r="AI364" i="1"/>
  <c r="AI372" i="1"/>
  <c r="AI367" i="1"/>
  <c r="AI373" i="1"/>
  <c r="AI365" i="1"/>
  <c r="AI377" i="1"/>
  <c r="AI368" i="1"/>
  <c r="AI371" i="1"/>
  <c r="AI363" i="1"/>
  <c r="AI366" i="1"/>
  <c r="AI267" i="1"/>
  <c r="AI268" i="1"/>
  <c r="AI270" i="1"/>
  <c r="AI269" i="1"/>
  <c r="AI146" i="1"/>
  <c r="AI147" i="1"/>
  <c r="AI144" i="1"/>
  <c r="AI145" i="1"/>
  <c r="AI140" i="1"/>
  <c r="AI143" i="1"/>
  <c r="AI141" i="1"/>
  <c r="AI142" i="1"/>
  <c r="AI139" i="1"/>
  <c r="AH1146" i="1"/>
  <c r="AH1152" i="1"/>
  <c r="AH1148" i="1"/>
  <c r="AH1151" i="1"/>
  <c r="AH1145" i="1"/>
  <c r="AH1149" i="1"/>
  <c r="AH1147" i="1"/>
  <c r="AH1150" i="1"/>
  <c r="AH1153" i="1"/>
  <c r="AH995" i="1"/>
  <c r="AH990" i="1"/>
  <c r="AH992" i="1"/>
  <c r="AH991" i="1"/>
  <c r="AH993" i="1"/>
  <c r="AH994" i="1"/>
  <c r="AH986" i="1"/>
  <c r="AH985" i="1"/>
  <c r="AH988" i="1"/>
  <c r="AH987" i="1"/>
  <c r="AH989" i="1"/>
  <c r="AH907" i="1"/>
  <c r="AH910" i="1"/>
  <c r="AH911" i="1"/>
  <c r="AH905" i="1"/>
  <c r="AH908" i="1"/>
  <c r="AH909" i="1"/>
  <c r="AH906" i="1"/>
  <c r="AH825" i="1"/>
  <c r="AH826" i="1"/>
  <c r="AH523" i="1"/>
  <c r="AH528" i="1"/>
  <c r="AH521" i="1"/>
  <c r="AH522" i="1"/>
  <c r="AH529" i="1"/>
  <c r="AH525" i="1"/>
  <c r="AH526" i="1"/>
  <c r="AH524" i="1"/>
  <c r="AH530" i="1"/>
  <c r="AH527" i="1"/>
  <c r="AH203" i="1"/>
  <c r="AH201" i="1"/>
  <c r="AH202" i="1"/>
  <c r="AH204" i="1"/>
  <c r="AH169" i="1"/>
  <c r="AH170" i="1"/>
  <c r="AH171" i="1"/>
  <c r="AH172" i="1"/>
  <c r="AH173" i="1"/>
  <c r="AH47" i="1"/>
  <c r="AH48" i="1"/>
  <c r="AH44" i="1"/>
  <c r="AH45" i="1"/>
  <c r="AH46" i="1"/>
  <c r="AH43" i="1"/>
  <c r="AH42" i="1"/>
  <c r="AH41" i="1"/>
  <c r="AI1153" i="1"/>
  <c r="AI1145" i="1"/>
  <c r="AI1152" i="1"/>
  <c r="AI1150" i="1"/>
  <c r="AI1147" i="1"/>
  <c r="AI1151" i="1"/>
  <c r="AI1148" i="1"/>
  <c r="AI1149" i="1"/>
  <c r="AI1146" i="1"/>
  <c r="AI995" i="1"/>
  <c r="AI993" i="1"/>
  <c r="AI990" i="1"/>
  <c r="AI994" i="1"/>
  <c r="AI989" i="1"/>
  <c r="AI985" i="1"/>
  <c r="AI991" i="1"/>
  <c r="AI992" i="1"/>
  <c r="AI986" i="1"/>
  <c r="AI987" i="1"/>
  <c r="AI988" i="1"/>
  <c r="AI908" i="1"/>
  <c r="AI910" i="1"/>
  <c r="AI907" i="1"/>
  <c r="AI906" i="1"/>
  <c r="AI909" i="1"/>
  <c r="AI905" i="1"/>
  <c r="AI911" i="1"/>
  <c r="AI826" i="1"/>
  <c r="AI825" i="1"/>
  <c r="AI528" i="1"/>
  <c r="AI523" i="1"/>
  <c r="AI530" i="1"/>
  <c r="AI529" i="1"/>
  <c r="AI524" i="1"/>
  <c r="AI527" i="1"/>
  <c r="AI526" i="1"/>
  <c r="AI525" i="1"/>
  <c r="AI522" i="1"/>
  <c r="AI521" i="1"/>
  <c r="AI204" i="1"/>
  <c r="AI202" i="1"/>
  <c r="AI203" i="1"/>
  <c r="AI201" i="1"/>
  <c r="AI170" i="1"/>
  <c r="AI173" i="1"/>
  <c r="AI169" i="1"/>
  <c r="AI172" i="1"/>
  <c r="AI171" i="1"/>
  <c r="AI44" i="1"/>
  <c r="AI43" i="1"/>
  <c r="AI48" i="1"/>
  <c r="AI45" i="1"/>
  <c r="AI46" i="1"/>
  <c r="AI41" i="1"/>
  <c r="AI42" i="1"/>
  <c r="AI47" i="1"/>
  <c r="AH739" i="1"/>
  <c r="AH740" i="1"/>
  <c r="AH737" i="1"/>
  <c r="AH738" i="1"/>
  <c r="AI961" i="1"/>
  <c r="AI967" i="1"/>
  <c r="AI968" i="1"/>
  <c r="AI962" i="1"/>
  <c r="AI969" i="1"/>
  <c r="AI966" i="1"/>
  <c r="AI964" i="1"/>
  <c r="AI963" i="1"/>
  <c r="AI970" i="1"/>
  <c r="AI965" i="1"/>
  <c r="AI971" i="1"/>
  <c r="AI110" i="1"/>
  <c r="AI108" i="1"/>
  <c r="AI111" i="1"/>
  <c r="AI106" i="1"/>
  <c r="AI109" i="1"/>
  <c r="AI107" i="1"/>
  <c r="AH1290" i="1"/>
  <c r="AH1294" i="1"/>
  <c r="AH1295" i="1"/>
  <c r="AH1297" i="1"/>
  <c r="AH1293" i="1"/>
  <c r="AH1292" i="1"/>
  <c r="AH1288" i="1"/>
  <c r="AH1296" i="1"/>
  <c r="AH1289" i="1"/>
  <c r="AH1291" i="1"/>
  <c r="AH1242" i="1"/>
  <c r="AH1247" i="1"/>
  <c r="AH1244" i="1"/>
  <c r="AH1240" i="1"/>
  <c r="AH1241" i="1"/>
  <c r="AH1243" i="1"/>
  <c r="AH1245" i="1"/>
  <c r="AH1246" i="1"/>
  <c r="AH1212" i="1"/>
  <c r="AH1210" i="1"/>
  <c r="AH1219" i="1"/>
  <c r="AH1216" i="1"/>
  <c r="AH1218" i="1"/>
  <c r="AH1215" i="1"/>
  <c r="AH1213" i="1"/>
  <c r="AH1211" i="1"/>
  <c r="AH1217" i="1"/>
  <c r="AH1214" i="1"/>
  <c r="AH1208" i="1"/>
  <c r="AH1209" i="1"/>
  <c r="AH1185" i="1"/>
  <c r="AH1186" i="1"/>
  <c r="AH1184" i="1"/>
  <c r="AH1180" i="1"/>
  <c r="AH1187" i="1"/>
  <c r="AH1181" i="1"/>
  <c r="AH1182" i="1"/>
  <c r="AH1183" i="1"/>
  <c r="AH1178" i="1"/>
  <c r="AH1176" i="1"/>
  <c r="AH1179" i="1"/>
  <c r="AH1177" i="1"/>
  <c r="AH928" i="1"/>
  <c r="AH930" i="1"/>
  <c r="AH929" i="1"/>
  <c r="AH920" i="1"/>
  <c r="AH921" i="1"/>
  <c r="AH922" i="1"/>
  <c r="AH923" i="1"/>
  <c r="AH924" i="1"/>
  <c r="AH925" i="1"/>
  <c r="AH926" i="1"/>
  <c r="AH927" i="1"/>
  <c r="AH931" i="1"/>
  <c r="AH894" i="1"/>
  <c r="AH892" i="1"/>
  <c r="AH888" i="1"/>
  <c r="AH889" i="1"/>
  <c r="AH891" i="1"/>
  <c r="AH893" i="1"/>
  <c r="AH890" i="1"/>
  <c r="AH769" i="1"/>
  <c r="AH770" i="1"/>
  <c r="AH768" i="1"/>
  <c r="AH762" i="1"/>
  <c r="AH766" i="1"/>
  <c r="AH764" i="1"/>
  <c r="AH767" i="1"/>
  <c r="AH763" i="1"/>
  <c r="AH765" i="1"/>
  <c r="AH760" i="1"/>
  <c r="AH761" i="1"/>
  <c r="AH696" i="1"/>
  <c r="AH697" i="1"/>
  <c r="AH698" i="1"/>
  <c r="AH699" i="1"/>
  <c r="AH700" i="1"/>
  <c r="AH701" i="1"/>
  <c r="AH702" i="1"/>
  <c r="AH664" i="1"/>
  <c r="AH665" i="1"/>
  <c r="AH666" i="1"/>
  <c r="AH667" i="1"/>
  <c r="AH668" i="1"/>
  <c r="AH544" i="1"/>
  <c r="AH541" i="1"/>
  <c r="AH536" i="1"/>
  <c r="AH537" i="1"/>
  <c r="AH538" i="1"/>
  <c r="AH539" i="1"/>
  <c r="AH540" i="1"/>
  <c r="AH542" i="1"/>
  <c r="AH545" i="1"/>
  <c r="AH543" i="1"/>
  <c r="AH408" i="1"/>
  <c r="AH411" i="1"/>
  <c r="AH409" i="1"/>
  <c r="AH410" i="1"/>
  <c r="AH412" i="1"/>
  <c r="AH251" i="1"/>
  <c r="AH248" i="1"/>
  <c r="AH249" i="1"/>
  <c r="AH250" i="1"/>
  <c r="AH253" i="1"/>
  <c r="AH252" i="1"/>
  <c r="AH156" i="1"/>
  <c r="AH155" i="1"/>
  <c r="AH152" i="1"/>
  <c r="AH157" i="1"/>
  <c r="AH153" i="1"/>
  <c r="AH154" i="1"/>
  <c r="AH158" i="1"/>
  <c r="AH28" i="1"/>
  <c r="AH26" i="1"/>
  <c r="AH27" i="1"/>
  <c r="AH29" i="1"/>
  <c r="AH33" i="1"/>
  <c r="AH24" i="1"/>
  <c r="AH30" i="1"/>
  <c r="AH31" i="1"/>
  <c r="AH25" i="1"/>
  <c r="AH32" i="1"/>
  <c r="AI1288" i="1"/>
  <c r="AI1297" i="1"/>
  <c r="AI1293" i="1"/>
  <c r="AI1296" i="1"/>
  <c r="AI1295" i="1"/>
  <c r="AI1292" i="1"/>
  <c r="AI1289" i="1"/>
  <c r="AI1290" i="1"/>
  <c r="AI1294" i="1"/>
  <c r="AI1291" i="1"/>
  <c r="AI1247" i="1"/>
  <c r="AI1240" i="1"/>
  <c r="AI1242" i="1"/>
  <c r="AI1244" i="1"/>
  <c r="AI1246" i="1"/>
  <c r="AI1241" i="1"/>
  <c r="AI1243" i="1"/>
  <c r="AI1245" i="1"/>
  <c r="AI1217" i="1"/>
  <c r="AI1208" i="1"/>
  <c r="AI1212" i="1"/>
  <c r="AI1216" i="1"/>
  <c r="AI1211" i="1"/>
  <c r="AI1218" i="1"/>
  <c r="AI1215" i="1"/>
  <c r="AI1213" i="1"/>
  <c r="AI1209" i="1"/>
  <c r="AI1210" i="1"/>
  <c r="AI1219" i="1"/>
  <c r="AI1214" i="1"/>
  <c r="AI1180" i="1"/>
  <c r="AI1176" i="1"/>
  <c r="AI1185" i="1"/>
  <c r="AI1184" i="1"/>
  <c r="AI1179" i="1"/>
  <c r="AI1186" i="1"/>
  <c r="AI1183" i="1"/>
  <c r="AI1181" i="1"/>
  <c r="AI1178" i="1"/>
  <c r="AI1177" i="1"/>
  <c r="AI1187" i="1"/>
  <c r="AI1182" i="1"/>
  <c r="AI929" i="1"/>
  <c r="AI924" i="1"/>
  <c r="AI920" i="1"/>
  <c r="AI930" i="1"/>
  <c r="AI925" i="1"/>
  <c r="AI928" i="1"/>
  <c r="AI931" i="1"/>
  <c r="AI926" i="1"/>
  <c r="AI923" i="1"/>
  <c r="AI922" i="1"/>
  <c r="AI921" i="1"/>
  <c r="AI927" i="1"/>
  <c r="AI888" i="1"/>
  <c r="AI892" i="1"/>
  <c r="AI893" i="1"/>
  <c r="AI894" i="1"/>
  <c r="AI891" i="1"/>
  <c r="AI890" i="1"/>
  <c r="AI889" i="1"/>
  <c r="AI763" i="1"/>
  <c r="AI765" i="1"/>
  <c r="AI760" i="1"/>
  <c r="AI770" i="1"/>
  <c r="AI769" i="1"/>
  <c r="AI767" i="1"/>
  <c r="AI761" i="1"/>
  <c r="AI764" i="1"/>
  <c r="AI768" i="1"/>
  <c r="AI766" i="1"/>
  <c r="AI762" i="1"/>
  <c r="AI696" i="1"/>
  <c r="AI700" i="1"/>
  <c r="AI699" i="1"/>
  <c r="AI698" i="1"/>
  <c r="AI697" i="1"/>
  <c r="AI701" i="1"/>
  <c r="AI702" i="1"/>
  <c r="AI666" i="1"/>
  <c r="AI664" i="1"/>
  <c r="AI668" i="1"/>
  <c r="AI667" i="1"/>
  <c r="AI665" i="1"/>
  <c r="AI541" i="1"/>
  <c r="AI539" i="1"/>
  <c r="AI536" i="1"/>
  <c r="AI544" i="1"/>
  <c r="AI542" i="1"/>
  <c r="AI545" i="1"/>
  <c r="AI538" i="1"/>
  <c r="AI543" i="1"/>
  <c r="AI540" i="1"/>
  <c r="AI537" i="1"/>
  <c r="AI412" i="1"/>
  <c r="AI410" i="1"/>
  <c r="AI409" i="1"/>
  <c r="AI408" i="1"/>
  <c r="AI411" i="1"/>
  <c r="AI252" i="1"/>
  <c r="AI250" i="1"/>
  <c r="AI249" i="1"/>
  <c r="AI253" i="1"/>
  <c r="AI248" i="1"/>
  <c r="AI251" i="1"/>
  <c r="AI157" i="1"/>
  <c r="AI155" i="1"/>
  <c r="AI156" i="1"/>
  <c r="AI158" i="1"/>
  <c r="AI153" i="1"/>
  <c r="AI154" i="1"/>
  <c r="AI152" i="1"/>
  <c r="AI33" i="1"/>
  <c r="AI25" i="1"/>
  <c r="AI31" i="1"/>
  <c r="AI30" i="1"/>
  <c r="AI27" i="1"/>
  <c r="AI24" i="1"/>
  <c r="AI28" i="1"/>
  <c r="AI32" i="1"/>
  <c r="AI26" i="1"/>
  <c r="AI29" i="1"/>
  <c r="AH1258" i="1"/>
  <c r="AH1260" i="1"/>
  <c r="AH1262" i="1"/>
  <c r="AH1255" i="1"/>
  <c r="AH1256" i="1"/>
  <c r="AH1257" i="1"/>
  <c r="AH1259" i="1"/>
  <c r="AH1261" i="1"/>
  <c r="AH1063" i="1"/>
  <c r="AH1064" i="1"/>
  <c r="AH1065" i="1"/>
  <c r="AH1066" i="1"/>
  <c r="AH1067" i="1"/>
  <c r="AH781" i="1"/>
  <c r="AH778" i="1"/>
  <c r="AH780" i="1"/>
  <c r="AH775" i="1"/>
  <c r="AH776" i="1"/>
  <c r="AH777" i="1"/>
  <c r="AH779" i="1"/>
  <c r="AH736" i="1"/>
  <c r="AH728" i="1"/>
  <c r="AH734" i="1"/>
  <c r="AH732" i="1"/>
  <c r="AH735" i="1"/>
  <c r="AH731" i="1"/>
  <c r="AH727" i="1"/>
  <c r="AH733" i="1"/>
  <c r="AH730" i="1"/>
  <c r="AH729" i="1"/>
  <c r="AH679" i="1"/>
  <c r="AH681" i="1"/>
  <c r="AH682" i="1"/>
  <c r="AH683" i="1"/>
  <c r="AH680" i="1"/>
  <c r="AH427" i="1"/>
  <c r="AH425" i="1"/>
  <c r="AH426" i="1"/>
  <c r="AH424" i="1"/>
  <c r="AH423" i="1"/>
  <c r="AH218" i="1"/>
  <c r="AH219" i="1"/>
  <c r="AH215" i="1"/>
  <c r="AH216" i="1"/>
  <c r="AH217" i="1"/>
  <c r="AH124" i="1"/>
  <c r="AH126" i="1"/>
  <c r="AH119" i="1"/>
  <c r="AH125" i="1"/>
  <c r="AH127" i="1"/>
  <c r="AH123" i="1"/>
  <c r="AH121" i="1"/>
  <c r="AH122" i="1"/>
  <c r="AH120" i="1"/>
  <c r="AH93" i="1"/>
  <c r="AH92" i="1"/>
  <c r="AH94" i="1"/>
  <c r="AH87" i="1"/>
  <c r="AH88" i="1"/>
  <c r="AH89" i="1"/>
  <c r="AH90" i="1"/>
  <c r="AH91" i="1"/>
  <c r="AH59" i="1"/>
  <c r="AH55" i="1"/>
  <c r="AH56" i="1"/>
  <c r="AH57" i="1"/>
  <c r="AH58" i="1"/>
  <c r="AH60" i="1"/>
  <c r="AI1256" i="1"/>
  <c r="AI1255" i="1"/>
  <c r="AI1262" i="1"/>
  <c r="AI1259" i="1"/>
  <c r="AI1260" i="1"/>
  <c r="AI1261" i="1"/>
  <c r="AI1257" i="1"/>
  <c r="AI1258" i="1"/>
  <c r="AI1064" i="1"/>
  <c r="AI1063" i="1"/>
  <c r="AI1066" i="1"/>
  <c r="AI1065" i="1"/>
  <c r="AI1067" i="1"/>
  <c r="AI780" i="1"/>
  <c r="AI778" i="1"/>
  <c r="AI776" i="1"/>
  <c r="AI777" i="1"/>
  <c r="AI781" i="1"/>
  <c r="AI775" i="1"/>
  <c r="AI779" i="1"/>
  <c r="AI728" i="1"/>
  <c r="AI733" i="1"/>
  <c r="AI727" i="1"/>
  <c r="AI730" i="1"/>
  <c r="AI729" i="1"/>
  <c r="AI735" i="1"/>
  <c r="AI732" i="1"/>
  <c r="AI736" i="1"/>
  <c r="AI734" i="1"/>
  <c r="AI731" i="1"/>
  <c r="AI679" i="1"/>
  <c r="AI680" i="1"/>
  <c r="AI683" i="1"/>
  <c r="AI682" i="1"/>
  <c r="AI681" i="1"/>
  <c r="AI423" i="1"/>
  <c r="AI427" i="1"/>
  <c r="AI424" i="1"/>
  <c r="AI426" i="1"/>
  <c r="AI425" i="1"/>
  <c r="AI215" i="1"/>
  <c r="AI218" i="1"/>
  <c r="AI217" i="1"/>
  <c r="AI219" i="1"/>
  <c r="AI216" i="1"/>
  <c r="AI127" i="1"/>
  <c r="AI123" i="1"/>
  <c r="AI125" i="1"/>
  <c r="AI119" i="1"/>
  <c r="AI120" i="1"/>
  <c r="AI124" i="1"/>
  <c r="AI122" i="1"/>
  <c r="AI126" i="1"/>
  <c r="AI121" i="1"/>
  <c r="AI90" i="1"/>
  <c r="AI91" i="1"/>
  <c r="AI88" i="1"/>
  <c r="AI93" i="1"/>
  <c r="AI87" i="1"/>
  <c r="AI92" i="1"/>
  <c r="AI89" i="1"/>
  <c r="AI94" i="1"/>
  <c r="AI60" i="1"/>
  <c r="AI57" i="1"/>
  <c r="AI59" i="1"/>
  <c r="AI56" i="1"/>
  <c r="AI58" i="1"/>
  <c r="AI55" i="1"/>
  <c r="AH979" i="1"/>
  <c r="AH980" i="1"/>
  <c r="AH981" i="1"/>
  <c r="AH983" i="1"/>
  <c r="AH984" i="1"/>
  <c r="AH978" i="1"/>
  <c r="AH977" i="1"/>
  <c r="AH982" i="1"/>
  <c r="AH1084" i="1"/>
  <c r="AH1088" i="1"/>
  <c r="AH1082" i="1"/>
  <c r="AH1083" i="1"/>
  <c r="AH1085" i="1"/>
  <c r="AH1086" i="1"/>
  <c r="AH1087" i="1"/>
  <c r="AH385" i="1"/>
  <c r="AH387" i="1"/>
  <c r="AH379" i="1"/>
  <c r="AH380" i="1"/>
  <c r="AH381" i="1"/>
  <c r="AH382" i="1"/>
  <c r="AH383" i="1"/>
  <c r="AH386" i="1"/>
  <c r="AH384" i="1"/>
  <c r="AH388" i="1"/>
  <c r="AH389" i="1"/>
  <c r="AH378" i="1"/>
  <c r="AH286" i="1"/>
  <c r="AH282" i="1"/>
  <c r="AH283" i="1"/>
  <c r="AH284" i="1"/>
  <c r="AH285" i="1"/>
  <c r="AH16" i="1"/>
  <c r="AH1314" i="1"/>
  <c r="AH18" i="1"/>
  <c r="AH14" i="1"/>
  <c r="AH12" i="1"/>
  <c r="AH17" i="1"/>
  <c r="AH15" i="1"/>
  <c r="AH11" i="1"/>
  <c r="AH10" i="1"/>
  <c r="AH13" i="1"/>
  <c r="AH443" i="1"/>
  <c r="AH444" i="1"/>
  <c r="AH438" i="1"/>
  <c r="AH439" i="1"/>
  <c r="AH440" i="1"/>
  <c r="AH441" i="1"/>
  <c r="AH442" i="1"/>
  <c r="AH6" i="1"/>
  <c r="AH7" i="1"/>
  <c r="AH9" i="1"/>
  <c r="AH8" i="1"/>
  <c r="AI1190" i="1"/>
  <c r="AI1194" i="1"/>
  <c r="AI1191" i="1"/>
  <c r="AI1199" i="1"/>
  <c r="AI1198" i="1"/>
  <c r="AI1195" i="1"/>
  <c r="AI1192" i="1"/>
  <c r="AI1197" i="1"/>
  <c r="AI1196" i="1"/>
  <c r="AI1193" i="1"/>
  <c r="AI391" i="1"/>
  <c r="AI395" i="1"/>
  <c r="AI394" i="1"/>
  <c r="AI393" i="1"/>
  <c r="AI392" i="1"/>
  <c r="AI390" i="1"/>
  <c r="AI192" i="1"/>
  <c r="AI187" i="1"/>
  <c r="AI183" i="1"/>
  <c r="AI188" i="1"/>
  <c r="AI182" i="1"/>
  <c r="AI190" i="1"/>
  <c r="AI186" i="1"/>
  <c r="AI185" i="1"/>
  <c r="AI191" i="1"/>
  <c r="AI189" i="1"/>
  <c r="AI184" i="1"/>
  <c r="AI74" i="1"/>
  <c r="AI70" i="1"/>
  <c r="AI75" i="1"/>
  <c r="AI72" i="1"/>
  <c r="AI73" i="1"/>
  <c r="AI71" i="1"/>
  <c r="AI6" i="1"/>
  <c r="AI7" i="1"/>
  <c r="AI8" i="1"/>
  <c r="AI9" i="1"/>
  <c r="AH1138" i="1"/>
  <c r="AH1136" i="1"/>
  <c r="AH1137" i="1"/>
  <c r="AH1135" i="1"/>
  <c r="AH1132" i="1"/>
  <c r="AH1133" i="1"/>
  <c r="AH1131" i="1"/>
  <c r="AH1130" i="1"/>
  <c r="AH1134" i="1"/>
  <c r="AI283" i="1"/>
  <c r="AI282" i="1"/>
  <c r="AI285" i="1"/>
  <c r="AI284" i="1"/>
  <c r="AI286" i="1"/>
  <c r="AH1196" i="1"/>
  <c r="AH1190" i="1"/>
  <c r="AH1199" i="1"/>
  <c r="AH1191" i="1"/>
  <c r="AH1192" i="1"/>
  <c r="AH1193" i="1"/>
  <c r="AH1195" i="1"/>
  <c r="AH1197" i="1"/>
  <c r="AH1198" i="1"/>
  <c r="AH1194" i="1"/>
  <c r="AH662" i="1"/>
  <c r="AH663" i="1"/>
  <c r="AI439" i="1"/>
  <c r="AI440" i="1"/>
  <c r="AI443" i="1"/>
  <c r="AI441" i="1"/>
  <c r="AI438" i="1"/>
  <c r="AI444" i="1"/>
  <c r="AI442" i="1"/>
  <c r="AH1030" i="1"/>
  <c r="AH1031" i="1"/>
  <c r="AH1032" i="1"/>
  <c r="AH1033" i="1"/>
  <c r="AH1034" i="1"/>
  <c r="AH1035" i="1"/>
  <c r="AH1029" i="1"/>
  <c r="AH741" i="1"/>
  <c r="AH750" i="1"/>
  <c r="AH742" i="1"/>
  <c r="AH743" i="1"/>
  <c r="AH744" i="1"/>
  <c r="AH745" i="1"/>
  <c r="AH746" i="1"/>
  <c r="AH747" i="1"/>
  <c r="AH748" i="1"/>
  <c r="AH749" i="1"/>
  <c r="AH629" i="1"/>
  <c r="AH631" i="1"/>
  <c r="AH632" i="1"/>
  <c r="AH633" i="1"/>
  <c r="AH634" i="1"/>
  <c r="AH635" i="1"/>
  <c r="AH630" i="1"/>
  <c r="AH509" i="1"/>
  <c r="AH512" i="1"/>
  <c r="AH510" i="1"/>
  <c r="AH501" i="1"/>
  <c r="AH502" i="1"/>
  <c r="AH513" i="1"/>
  <c r="AH503" i="1"/>
  <c r="AH504" i="1"/>
  <c r="AH505" i="1"/>
  <c r="AH506" i="1"/>
  <c r="AH511" i="1"/>
  <c r="AH507" i="1"/>
  <c r="AH508" i="1"/>
  <c r="AH311" i="1"/>
  <c r="AH315" i="1"/>
  <c r="AH313" i="1"/>
  <c r="AH312" i="1"/>
  <c r="AH314" i="1"/>
  <c r="AH309" i="1"/>
  <c r="AH316" i="1"/>
  <c r="AH310" i="1"/>
  <c r="AH229" i="1"/>
  <c r="AH230" i="1"/>
  <c r="AH231" i="1"/>
  <c r="AH232" i="1"/>
  <c r="AH233" i="1"/>
  <c r="AH234" i="1"/>
  <c r="AH235" i="1"/>
  <c r="AI1029" i="1"/>
  <c r="AI1032" i="1"/>
  <c r="AI1031" i="1"/>
  <c r="AI1035" i="1"/>
  <c r="AI1030" i="1"/>
  <c r="AI1034" i="1"/>
  <c r="AI1033" i="1"/>
  <c r="AI741" i="1"/>
  <c r="AI744" i="1"/>
  <c r="AI748" i="1"/>
  <c r="AI750" i="1"/>
  <c r="AI747" i="1"/>
  <c r="AI746" i="1"/>
  <c r="AI745" i="1"/>
  <c r="AI742" i="1"/>
  <c r="AI749" i="1"/>
  <c r="AI743" i="1"/>
  <c r="AI634" i="1"/>
  <c r="AI632" i="1"/>
  <c r="AI630" i="1"/>
  <c r="AI631" i="1"/>
  <c r="AI629" i="1"/>
  <c r="AI635" i="1"/>
  <c r="AI633" i="1"/>
  <c r="AI501" i="1"/>
  <c r="AI509" i="1"/>
  <c r="AI504" i="1"/>
  <c r="AI503" i="1"/>
  <c r="AI512" i="1"/>
  <c r="AI510" i="1"/>
  <c r="AI513" i="1"/>
  <c r="AI507" i="1"/>
  <c r="AI502" i="1"/>
  <c r="AI506" i="1"/>
  <c r="AI511" i="1"/>
  <c r="AI508" i="1"/>
  <c r="AI505" i="1"/>
  <c r="AI312" i="1"/>
  <c r="AI310" i="1"/>
  <c r="AI311" i="1"/>
  <c r="AI316" i="1"/>
  <c r="AI309" i="1"/>
  <c r="AI314" i="1"/>
  <c r="AI313" i="1"/>
  <c r="AI315" i="1"/>
  <c r="AI235" i="1"/>
  <c r="AI230" i="1"/>
  <c r="AI234" i="1"/>
  <c r="AI231" i="1"/>
  <c r="AI229" i="1"/>
  <c r="AI232" i="1"/>
  <c r="AI233" i="1"/>
  <c r="AI1105" i="1"/>
  <c r="AI1103" i="1"/>
  <c r="AI1107" i="1"/>
  <c r="AI1100" i="1"/>
  <c r="AI1108" i="1"/>
  <c r="AI1102" i="1"/>
  <c r="AI1098" i="1"/>
  <c r="AI1109" i="1"/>
  <c r="AI1104" i="1"/>
  <c r="AI1099" i="1"/>
  <c r="AI1106" i="1"/>
  <c r="AI1101" i="1"/>
  <c r="AI389" i="1"/>
  <c r="AI388" i="1"/>
  <c r="AI384" i="1"/>
  <c r="AI381" i="1"/>
  <c r="AI378" i="1"/>
  <c r="AI380" i="1"/>
  <c r="AI379" i="1"/>
  <c r="AI386" i="1"/>
  <c r="AI383" i="1"/>
  <c r="AI387" i="1"/>
  <c r="AI382" i="1"/>
  <c r="AI385" i="1"/>
  <c r="AI13" i="1"/>
  <c r="AI17" i="1"/>
  <c r="AI14" i="1"/>
  <c r="AI11" i="1"/>
  <c r="AI16" i="1"/>
  <c r="AI1314" i="1"/>
  <c r="AI12" i="1"/>
  <c r="AI18" i="1"/>
  <c r="AI15" i="1"/>
  <c r="AI10" i="1"/>
  <c r="AH791" i="1"/>
  <c r="AH792" i="1"/>
  <c r="AH793" i="1"/>
  <c r="AH794" i="1"/>
  <c r="AH795" i="1"/>
  <c r="AH790" i="1"/>
  <c r="AH199" i="1"/>
  <c r="AH200" i="1"/>
  <c r="AH198" i="1"/>
  <c r="AH74" i="1"/>
  <c r="AH75" i="1"/>
  <c r="AH70" i="1"/>
  <c r="AH71" i="1"/>
  <c r="AH72" i="1"/>
  <c r="AH73" i="1"/>
  <c r="AI792" i="1"/>
  <c r="AI790" i="1"/>
  <c r="AI791" i="1"/>
  <c r="AI795" i="1"/>
  <c r="AI794" i="1"/>
  <c r="AI793" i="1"/>
  <c r="AH1226" i="1"/>
  <c r="AH1228" i="1"/>
  <c r="AH1220" i="1"/>
  <c r="AH1221" i="1"/>
  <c r="AH1222" i="1"/>
  <c r="AH1224" i="1"/>
  <c r="AH1225" i="1"/>
  <c r="AH1223" i="1"/>
  <c r="AH1227" i="1"/>
  <c r="AH1229" i="1"/>
  <c r="AH1188" i="1"/>
  <c r="AH1189" i="1"/>
  <c r="AH1051" i="1"/>
  <c r="AH1052" i="1"/>
  <c r="AH1044" i="1"/>
  <c r="AH1045" i="1"/>
  <c r="AH1046" i="1"/>
  <c r="AH1047" i="1"/>
  <c r="AH1048" i="1"/>
  <c r="AH1050" i="1"/>
  <c r="AH1049" i="1"/>
  <c r="AH1053" i="1"/>
  <c r="AH1054" i="1"/>
  <c r="AH1020" i="1"/>
  <c r="AH1013" i="1"/>
  <c r="AH1014" i="1"/>
  <c r="AH1012" i="1"/>
  <c r="AH1015" i="1"/>
  <c r="AH1016" i="1"/>
  <c r="AH1017" i="1"/>
  <c r="AH1018" i="1"/>
  <c r="AH1019" i="1"/>
  <c r="AH1021" i="1"/>
  <c r="AH1004" i="1"/>
  <c r="AH997" i="1"/>
  <c r="AH998" i="1"/>
  <c r="AH1005" i="1"/>
  <c r="AH1006" i="1"/>
  <c r="AH1007" i="1"/>
  <c r="AH996" i="1"/>
  <c r="AH999" i="1"/>
  <c r="AH1000" i="1"/>
  <c r="AH1001" i="1"/>
  <c r="AH1002" i="1"/>
  <c r="AH1003" i="1"/>
  <c r="AH932" i="1"/>
  <c r="AH933" i="1"/>
  <c r="AH934" i="1"/>
  <c r="AH936" i="1"/>
  <c r="AH937" i="1"/>
  <c r="AH938" i="1"/>
  <c r="AH939" i="1"/>
  <c r="AH940" i="1"/>
  <c r="AH935" i="1"/>
  <c r="AH804" i="1"/>
  <c r="AH805" i="1"/>
  <c r="AH806" i="1"/>
  <c r="AH807" i="1"/>
  <c r="AH808" i="1"/>
  <c r="AH812" i="1"/>
  <c r="AH809" i="1"/>
  <c r="AH811" i="1"/>
  <c r="AH813" i="1"/>
  <c r="AH810" i="1"/>
  <c r="AH516" i="1"/>
  <c r="AH517" i="1"/>
  <c r="AH518" i="1"/>
  <c r="AH519" i="1"/>
  <c r="AH520" i="1"/>
  <c r="AH475" i="1"/>
  <c r="AH476" i="1"/>
  <c r="AH477" i="1"/>
  <c r="AH473" i="1"/>
  <c r="AH474" i="1"/>
  <c r="AH472" i="1"/>
  <c r="AH468" i="1"/>
  <c r="AH469" i="1"/>
  <c r="AH470" i="1"/>
  <c r="AH471" i="1"/>
  <c r="AH148" i="1"/>
  <c r="AH149" i="1"/>
  <c r="AH151" i="1"/>
  <c r="AH150" i="1"/>
  <c r="AI1223" i="1"/>
  <c r="AI1224" i="1"/>
  <c r="AI1221" i="1"/>
  <c r="AI1229" i="1"/>
  <c r="AI1222" i="1"/>
  <c r="AI1227" i="1"/>
  <c r="AI1228" i="1"/>
  <c r="AI1225" i="1"/>
  <c r="AI1220" i="1"/>
  <c r="AI1226" i="1"/>
  <c r="AI1189" i="1"/>
  <c r="AI1188" i="1"/>
  <c r="AI1051" i="1"/>
  <c r="AI1044" i="1"/>
  <c r="AI1045" i="1"/>
  <c r="AI1046" i="1"/>
  <c r="AI1048" i="1"/>
  <c r="AI1052" i="1"/>
  <c r="AI1053" i="1"/>
  <c r="AI1050" i="1"/>
  <c r="AI1054" i="1"/>
  <c r="AI1049" i="1"/>
  <c r="AI1047" i="1"/>
  <c r="AI1016" i="1"/>
  <c r="AI1012" i="1"/>
  <c r="AI1013" i="1"/>
  <c r="AI1014" i="1"/>
  <c r="AI1020" i="1"/>
  <c r="AI1021" i="1"/>
  <c r="AI1018" i="1"/>
  <c r="AI1019" i="1"/>
  <c r="AI1017" i="1"/>
  <c r="AI1015" i="1"/>
  <c r="AI1000" i="1"/>
  <c r="AI1005" i="1"/>
  <c r="AI999" i="1"/>
  <c r="AI998" i="1"/>
  <c r="AI996" i="1"/>
  <c r="AI1006" i="1"/>
  <c r="AI1002" i="1"/>
  <c r="AI1003" i="1"/>
  <c r="AI997" i="1"/>
  <c r="AI1001" i="1"/>
  <c r="AI1007" i="1"/>
  <c r="AI1004" i="1"/>
  <c r="AI934" i="1"/>
  <c r="AI932" i="1"/>
  <c r="AI935" i="1"/>
  <c r="AI936" i="1"/>
  <c r="AI939" i="1"/>
  <c r="AI940" i="1"/>
  <c r="AI933" i="1"/>
  <c r="AI938" i="1"/>
  <c r="AI937" i="1"/>
  <c r="AI809" i="1"/>
  <c r="AI805" i="1"/>
  <c r="AI808" i="1"/>
  <c r="AI804" i="1"/>
  <c r="AI806" i="1"/>
  <c r="AI812" i="1"/>
  <c r="AI813" i="1"/>
  <c r="AI807" i="1"/>
  <c r="AI811" i="1"/>
  <c r="AI810" i="1"/>
  <c r="AI516" i="1"/>
  <c r="AI517" i="1"/>
  <c r="AI518" i="1"/>
  <c r="AI519" i="1"/>
  <c r="AI520" i="1"/>
  <c r="AI475" i="1"/>
  <c r="AI469" i="1"/>
  <c r="AI472" i="1"/>
  <c r="AI473" i="1"/>
  <c r="AI471" i="1"/>
  <c r="AI477" i="1"/>
  <c r="AI470" i="1"/>
  <c r="AI476" i="1"/>
  <c r="AI474" i="1"/>
  <c r="AI468" i="1"/>
  <c r="AI151" i="1"/>
  <c r="AI150" i="1"/>
  <c r="AI148" i="1"/>
  <c r="AI149" i="1"/>
  <c r="AH196" i="1"/>
  <c r="AH195" i="1"/>
  <c r="AH197" i="1"/>
  <c r="AH194" i="1"/>
  <c r="AH193" i="1"/>
  <c r="AH110" i="1"/>
  <c r="AH111" i="1"/>
  <c r="AH108" i="1"/>
  <c r="AH107" i="1"/>
  <c r="AH106" i="1"/>
  <c r="AH109" i="1"/>
  <c r="AH395" i="1"/>
  <c r="AH390" i="1"/>
  <c r="AH391" i="1"/>
  <c r="AH392" i="1"/>
  <c r="AH393" i="1"/>
  <c r="AH394" i="1"/>
  <c r="AH183" i="1"/>
  <c r="AH184" i="1"/>
  <c r="AH185" i="1"/>
  <c r="AH192" i="1"/>
  <c r="AH182" i="1"/>
  <c r="AH186" i="1"/>
  <c r="AH191" i="1"/>
  <c r="AH189" i="1"/>
  <c r="AH190" i="1"/>
  <c r="AH187" i="1"/>
  <c r="AH188" i="1"/>
  <c r="AI1110" i="1"/>
  <c r="AI1112" i="1"/>
  <c r="AI1115" i="1"/>
  <c r="AI1114" i="1"/>
  <c r="AI1113" i="1"/>
  <c r="AI1111" i="1"/>
  <c r="AI1116" i="1"/>
  <c r="AI1117" i="1"/>
  <c r="AI663" i="1"/>
  <c r="AI662" i="1"/>
  <c r="AH1141" i="1"/>
  <c r="AH1140" i="1"/>
  <c r="AH1142" i="1"/>
  <c r="AH1143" i="1"/>
  <c r="AH1144" i="1"/>
  <c r="AH1139" i="1"/>
  <c r="AH869" i="1"/>
  <c r="AH870" i="1"/>
  <c r="AH871" i="1"/>
  <c r="AH872" i="1"/>
  <c r="AH876" i="1"/>
  <c r="AH867" i="1"/>
  <c r="AH873" i="1"/>
  <c r="AH875" i="1"/>
  <c r="AH868" i="1"/>
  <c r="AH874" i="1"/>
  <c r="AH772" i="1"/>
  <c r="AH774" i="1"/>
  <c r="AH773" i="1"/>
  <c r="AH771" i="1"/>
  <c r="AH648" i="1"/>
  <c r="AH649" i="1"/>
  <c r="AH650" i="1"/>
  <c r="AH643" i="1"/>
  <c r="AH644" i="1"/>
  <c r="AH645" i="1"/>
  <c r="AH646" i="1"/>
  <c r="AH647" i="1"/>
  <c r="AH651" i="1"/>
  <c r="AH579" i="1"/>
  <c r="AH580" i="1"/>
  <c r="AH581" i="1"/>
  <c r="AH588" i="1"/>
  <c r="AH583" i="1"/>
  <c r="AH584" i="1"/>
  <c r="AH585" i="1"/>
  <c r="AH586" i="1"/>
  <c r="AH587" i="1"/>
  <c r="AH582" i="1"/>
  <c r="AH589" i="1"/>
  <c r="AH535" i="1"/>
  <c r="AH531" i="1"/>
  <c r="AH532" i="1"/>
  <c r="AH533" i="1"/>
  <c r="AH534" i="1"/>
  <c r="AH355" i="1"/>
  <c r="AH359" i="1"/>
  <c r="AH361" i="1"/>
  <c r="AH360" i="1"/>
  <c r="AH356" i="1"/>
  <c r="AH357" i="1"/>
  <c r="AH358" i="1"/>
  <c r="AH347" i="1"/>
  <c r="AH339" i="1"/>
  <c r="AH340" i="1"/>
  <c r="AH342" i="1"/>
  <c r="AH343" i="1"/>
  <c r="AH344" i="1"/>
  <c r="AH345" i="1"/>
  <c r="AH351" i="1"/>
  <c r="AH349" i="1"/>
  <c r="AH350" i="1"/>
  <c r="AH348" i="1"/>
  <c r="AH341" i="1"/>
  <c r="AH346" i="1"/>
  <c r="AH22" i="1"/>
  <c r="AH19" i="1"/>
  <c r="AH23" i="1"/>
  <c r="AH20" i="1"/>
  <c r="AH21" i="1"/>
  <c r="AH3" i="1"/>
  <c r="AH5" i="1"/>
  <c r="AH4" i="1"/>
  <c r="AI1144" i="1"/>
  <c r="AI1141" i="1"/>
  <c r="AI1142" i="1"/>
  <c r="AI1143" i="1"/>
  <c r="AI1139" i="1"/>
  <c r="AI1140" i="1"/>
  <c r="AI870" i="1"/>
  <c r="AI871" i="1"/>
  <c r="AI875" i="1"/>
  <c r="AI868" i="1"/>
  <c r="AI874" i="1"/>
  <c r="AI872" i="1"/>
  <c r="AI873" i="1"/>
  <c r="AI876" i="1"/>
  <c r="AI867" i="1"/>
  <c r="AI869" i="1"/>
  <c r="AI772" i="1"/>
  <c r="AI773" i="1"/>
  <c r="AI774" i="1"/>
  <c r="AI771" i="1"/>
  <c r="AI647" i="1"/>
  <c r="AI644" i="1"/>
  <c r="AI648" i="1"/>
  <c r="AI646" i="1"/>
  <c r="AI651" i="1"/>
  <c r="AI650" i="1"/>
  <c r="AI649" i="1"/>
  <c r="AI645" i="1"/>
  <c r="AI643" i="1"/>
  <c r="AI582" i="1"/>
  <c r="AI588" i="1"/>
  <c r="AI583" i="1"/>
  <c r="AI579" i="1"/>
  <c r="AI584" i="1"/>
  <c r="AI580" i="1"/>
  <c r="AI589" i="1"/>
  <c r="AI581" i="1"/>
  <c r="AI587" i="1"/>
  <c r="AI586" i="1"/>
  <c r="AI585" i="1"/>
  <c r="AI532" i="1"/>
  <c r="AI533" i="1"/>
  <c r="AI535" i="1"/>
  <c r="AI531" i="1"/>
  <c r="AI534" i="1"/>
  <c r="AI358" i="1"/>
  <c r="AI359" i="1"/>
  <c r="AI355" i="1"/>
  <c r="AI357" i="1"/>
  <c r="AI356" i="1"/>
  <c r="AI360" i="1"/>
  <c r="AI361" i="1"/>
  <c r="AI342" i="1"/>
  <c r="AI344" i="1"/>
  <c r="AI343" i="1"/>
  <c r="AI350" i="1"/>
  <c r="AI347" i="1"/>
  <c r="AI349" i="1"/>
  <c r="AI348" i="1"/>
  <c r="AI340" i="1"/>
  <c r="AI351" i="1"/>
  <c r="AI346" i="1"/>
  <c r="AI341" i="1"/>
  <c r="AI345" i="1"/>
  <c r="AI339" i="1"/>
  <c r="AI22" i="1"/>
  <c r="AI19" i="1"/>
  <c r="AI21" i="1"/>
  <c r="AI20" i="1"/>
  <c r="AI23" i="1"/>
  <c r="AI5" i="1"/>
  <c r="AI3" i="1"/>
  <c r="AI4" i="1"/>
  <c r="AH1105" i="1"/>
  <c r="AH1107" i="1"/>
  <c r="AH1108" i="1"/>
  <c r="AH1109" i="1"/>
  <c r="AH1099" i="1"/>
  <c r="AH1101" i="1"/>
  <c r="AH1106" i="1"/>
  <c r="AH1102" i="1"/>
  <c r="AH1104" i="1"/>
  <c r="AH1103" i="1"/>
  <c r="AH1100" i="1"/>
  <c r="AH1098" i="1"/>
  <c r="AH842" i="1"/>
  <c r="AH843" i="1"/>
  <c r="AH844" i="1"/>
  <c r="AI1131" i="1"/>
  <c r="AI1138" i="1"/>
  <c r="AI1135" i="1"/>
  <c r="AI1137" i="1"/>
  <c r="AI1132" i="1"/>
  <c r="AI1134" i="1"/>
  <c r="AI1130" i="1"/>
  <c r="AI1133" i="1"/>
  <c r="AI1136" i="1"/>
  <c r="AI1083" i="1"/>
  <c r="AI1082" i="1"/>
  <c r="AI1086" i="1"/>
  <c r="AI1087" i="1"/>
  <c r="AI1084" i="1"/>
  <c r="AI1085" i="1"/>
  <c r="AI1088" i="1"/>
  <c r="AI842" i="1"/>
  <c r="AI844" i="1"/>
  <c r="AI843" i="1"/>
  <c r="AH1110" i="1"/>
  <c r="AH1111" i="1"/>
  <c r="AH1114" i="1"/>
  <c r="AH1112" i="1"/>
  <c r="AH1116" i="1"/>
  <c r="AH1113" i="1"/>
  <c r="AH1115" i="1"/>
  <c r="AH1117" i="1"/>
  <c r="AH566" i="1"/>
  <c r="AH570" i="1"/>
  <c r="AH572" i="1"/>
  <c r="AH568" i="1"/>
  <c r="AH567" i="1"/>
  <c r="AH569" i="1"/>
  <c r="AH571" i="1"/>
  <c r="AI566" i="1"/>
  <c r="AI568" i="1"/>
  <c r="AI571" i="1"/>
  <c r="AI570" i="1"/>
  <c r="AI567" i="1"/>
  <c r="AI572" i="1"/>
  <c r="AI569" i="1"/>
  <c r="AI198" i="1"/>
  <c r="AI199" i="1"/>
  <c r="AI200" i="1"/>
  <c r="AH1306" i="1"/>
  <c r="AH1299" i="1"/>
  <c r="AH1298" i="1"/>
  <c r="AH1300" i="1"/>
  <c r="AH1301" i="1"/>
  <c r="AH1302" i="1"/>
  <c r="AH1303" i="1"/>
  <c r="AH1304" i="1"/>
  <c r="AH1305" i="1"/>
  <c r="AH1284" i="1"/>
  <c r="AH1286" i="1"/>
  <c r="AH1283" i="1"/>
  <c r="AH1285" i="1"/>
  <c r="AH1282" i="1"/>
  <c r="AH1287" i="1"/>
  <c r="AH1162" i="1"/>
  <c r="AH1159" i="1"/>
  <c r="AH1160" i="1"/>
  <c r="AH1155" i="1"/>
  <c r="AH1156" i="1"/>
  <c r="AH1157" i="1"/>
  <c r="AH1154" i="1"/>
  <c r="AH1163" i="1"/>
  <c r="AH1164" i="1"/>
  <c r="AH1158" i="1"/>
  <c r="AH1161" i="1"/>
  <c r="AH1122" i="1"/>
  <c r="AH1123" i="1"/>
  <c r="AH1124" i="1"/>
  <c r="AH1125" i="1"/>
  <c r="AH1126" i="1"/>
  <c r="AH1127" i="1"/>
  <c r="AH1128" i="1"/>
  <c r="AH1129" i="1"/>
  <c r="AH552" i="1"/>
  <c r="AH554" i="1"/>
  <c r="AH556" i="1"/>
  <c r="AH547" i="1"/>
  <c r="AH549" i="1"/>
  <c r="AH550" i="1"/>
  <c r="AH548" i="1"/>
  <c r="AH546" i="1"/>
  <c r="AH551" i="1"/>
  <c r="AH553" i="1"/>
  <c r="AH555" i="1"/>
  <c r="AH514" i="1"/>
  <c r="AH515" i="1"/>
  <c r="AH491" i="1"/>
  <c r="AH482" i="1"/>
  <c r="AH483" i="1"/>
  <c r="AH484" i="1"/>
  <c r="AH485" i="1"/>
  <c r="AH486" i="1"/>
  <c r="AH487" i="1"/>
  <c r="AH489" i="1"/>
  <c r="AH490" i="1"/>
  <c r="AH493" i="1"/>
  <c r="AH494" i="1"/>
  <c r="AH492" i="1"/>
  <c r="AH488" i="1"/>
  <c r="AH258" i="1"/>
  <c r="AH263" i="1"/>
  <c r="AH259" i="1"/>
  <c r="AH260" i="1"/>
  <c r="AH261" i="1"/>
  <c r="AH262" i="1"/>
  <c r="AH264" i="1"/>
  <c r="AH265" i="1"/>
  <c r="AH266" i="1"/>
  <c r="AH99" i="1"/>
  <c r="AH102" i="1"/>
  <c r="AH98" i="1"/>
  <c r="AH103" i="1"/>
  <c r="AH100" i="1"/>
  <c r="AH104" i="1"/>
  <c r="AH105" i="1"/>
  <c r="AH101" i="1"/>
  <c r="AH35" i="1"/>
  <c r="AH36" i="1"/>
  <c r="AH37" i="1"/>
  <c r="AH38" i="1"/>
  <c r="AH39" i="1"/>
  <c r="AH34" i="1"/>
  <c r="AH40" i="1"/>
  <c r="AI1304" i="1"/>
  <c r="AI1300" i="1"/>
  <c r="AI1301" i="1"/>
  <c r="AI1298" i="1"/>
  <c r="AI1302" i="1"/>
  <c r="AI1299" i="1"/>
  <c r="AI1303" i="1"/>
  <c r="AI1305" i="1"/>
  <c r="AI1306" i="1"/>
  <c r="AI1283" i="1"/>
  <c r="AI1284" i="1"/>
  <c r="AI1287" i="1"/>
  <c r="AI1285" i="1"/>
  <c r="AI1282" i="1"/>
  <c r="AI1286" i="1"/>
  <c r="AI1158" i="1"/>
  <c r="AI1159" i="1"/>
  <c r="AI1160" i="1"/>
  <c r="AI1164" i="1"/>
  <c r="AI1163" i="1"/>
  <c r="AI1162" i="1"/>
  <c r="AI1161" i="1"/>
  <c r="AI1157" i="1"/>
  <c r="AI1155" i="1"/>
  <c r="AI1154" i="1"/>
  <c r="AI1156" i="1"/>
  <c r="AI1128" i="1"/>
  <c r="AI1126" i="1"/>
  <c r="AI1127" i="1"/>
  <c r="AI1123" i="1"/>
  <c r="AI1125" i="1"/>
  <c r="AI1122" i="1"/>
  <c r="AI1129" i="1"/>
  <c r="AI1124" i="1"/>
  <c r="AI549" i="1"/>
  <c r="AI550" i="1"/>
  <c r="AI551" i="1"/>
  <c r="AI547" i="1"/>
  <c r="AI552" i="1"/>
  <c r="AI548" i="1"/>
  <c r="AI555" i="1"/>
  <c r="AI554" i="1"/>
  <c r="AI556" i="1"/>
  <c r="AI546" i="1"/>
  <c r="AI553" i="1"/>
  <c r="AI515" i="1"/>
  <c r="AI514" i="1"/>
  <c r="AI491" i="1"/>
  <c r="AI485" i="1"/>
  <c r="AI488" i="1"/>
  <c r="AI492" i="1"/>
  <c r="AI486" i="1"/>
  <c r="AI487" i="1"/>
  <c r="AI483" i="1"/>
  <c r="AI494" i="1"/>
  <c r="AI489" i="1"/>
  <c r="AI493" i="1"/>
  <c r="AI490" i="1"/>
  <c r="AI484" i="1"/>
  <c r="AI482" i="1"/>
  <c r="AI258" i="1"/>
  <c r="AI259" i="1"/>
  <c r="AI264" i="1"/>
  <c r="AI266" i="1"/>
  <c r="AI263" i="1"/>
  <c r="AI261" i="1"/>
  <c r="AI260" i="1"/>
  <c r="AI265" i="1"/>
  <c r="AI262" i="1"/>
  <c r="AI99" i="1"/>
  <c r="AI98" i="1"/>
  <c r="AI102" i="1"/>
  <c r="AI101" i="1"/>
  <c r="AI105" i="1"/>
  <c r="AI100" i="1"/>
  <c r="AI103" i="1"/>
  <c r="AI104" i="1"/>
  <c r="AI34" i="1"/>
  <c r="AI40" i="1"/>
  <c r="AI35" i="1"/>
  <c r="AI37" i="1"/>
  <c r="AI38" i="1"/>
  <c r="AI36" i="1"/>
  <c r="AI39" i="1"/>
  <c r="AI195" i="1"/>
  <c r="AI196" i="1"/>
  <c r="AI193" i="1"/>
  <c r="AI194" i="1"/>
  <c r="AI197" i="1"/>
  <c r="AH50" i="1"/>
  <c r="AH49" i="1"/>
  <c r="AH51" i="1"/>
  <c r="AH52" i="1"/>
  <c r="AH53" i="1"/>
  <c r="AH54" i="1"/>
  <c r="AI740" i="1"/>
  <c r="AI739" i="1"/>
  <c r="AI738" i="1"/>
  <c r="AI737" i="1"/>
  <c r="AI326" i="1"/>
  <c r="AI328" i="1"/>
  <c r="AI323" i="1"/>
  <c r="AI325" i="1"/>
  <c r="AI324" i="1"/>
  <c r="AI332" i="1"/>
  <c r="AI322" i="1"/>
  <c r="AI327" i="1"/>
  <c r="AI330" i="1"/>
  <c r="AI329" i="1"/>
  <c r="AI331" i="1"/>
  <c r="AI321" i="1"/>
  <c r="AI1206" i="1"/>
  <c r="AI1207" i="1"/>
  <c r="AI1203" i="1"/>
  <c r="AI1204" i="1"/>
  <c r="AI1201" i="1"/>
  <c r="AI1202" i="1"/>
  <c r="AI1205" i="1"/>
  <c r="AI1200" i="1"/>
  <c r="AI617" i="1"/>
  <c r="AI614" i="1"/>
  <c r="AI615" i="1"/>
  <c r="AI611" i="1"/>
  <c r="AI616" i="1"/>
  <c r="AI612" i="1"/>
  <c r="AI608" i="1"/>
  <c r="AI609" i="1"/>
  <c r="AI618" i="1"/>
  <c r="AI610" i="1"/>
  <c r="AI613" i="1"/>
  <c r="AI352" i="1"/>
  <c r="AI354" i="1"/>
  <c r="AI353" i="1"/>
  <c r="AH1234" i="1"/>
  <c r="AH1233" i="1"/>
  <c r="AH1236" i="1"/>
  <c r="AH1237" i="1"/>
  <c r="AH1238" i="1"/>
  <c r="AH1239" i="1"/>
  <c r="AH1235" i="1"/>
  <c r="AH1074" i="1"/>
  <c r="AH1076" i="1"/>
  <c r="AH1073" i="1"/>
  <c r="AH1078" i="1"/>
  <c r="AH1080" i="1"/>
  <c r="AH1081" i="1"/>
  <c r="AH1075" i="1"/>
  <c r="AH1077" i="1"/>
  <c r="AH1079" i="1"/>
  <c r="AI49" i="1"/>
  <c r="AI51" i="1"/>
  <c r="AI53" i="1"/>
  <c r="AI54" i="1"/>
  <c r="AI52" i="1"/>
  <c r="AI50" i="1"/>
  <c r="AH1251" i="1"/>
  <c r="AH1248" i="1"/>
  <c r="AH1252" i="1"/>
  <c r="AH1253" i="1"/>
  <c r="AH1254" i="1"/>
  <c r="AH1249" i="1"/>
  <c r="AH1250" i="1"/>
  <c r="AH353" i="1"/>
  <c r="AH352" i="1"/>
  <c r="AH354" i="1"/>
  <c r="AI1249" i="1"/>
  <c r="AI1253" i="1"/>
  <c r="AI1250" i="1"/>
  <c r="AI1252" i="1"/>
  <c r="AI1248" i="1"/>
  <c r="AI1251" i="1"/>
  <c r="AI1254" i="1"/>
  <c r="AH1265" i="1"/>
  <c r="AH1267" i="1"/>
  <c r="AH1266" i="1"/>
  <c r="AH1264" i="1"/>
  <c r="AH1274" i="1"/>
  <c r="AH1271" i="1"/>
  <c r="AH1272" i="1"/>
  <c r="AH1273" i="1"/>
  <c r="AH1275" i="1"/>
  <c r="AH1263" i="1"/>
  <c r="AH1268" i="1"/>
  <c r="AH1269" i="1"/>
  <c r="AH1270" i="1"/>
  <c r="AH1062" i="1"/>
  <c r="AH1057" i="1"/>
  <c r="AH1058" i="1"/>
  <c r="AH1059" i="1"/>
  <c r="AH1060" i="1"/>
  <c r="AH1056" i="1"/>
  <c r="AH1055" i="1"/>
  <c r="AH1061" i="1"/>
  <c r="AH895" i="1"/>
  <c r="AH898" i="1"/>
  <c r="AH899" i="1"/>
  <c r="AH900" i="1"/>
  <c r="AH902" i="1"/>
  <c r="AH903" i="1"/>
  <c r="AH904" i="1"/>
  <c r="AH897" i="1"/>
  <c r="AH896" i="1"/>
  <c r="AH901" i="1"/>
  <c r="AH753" i="1"/>
  <c r="AH752" i="1"/>
  <c r="AH754" i="1"/>
  <c r="AH755" i="1"/>
  <c r="AH757" i="1"/>
  <c r="AH758" i="1"/>
  <c r="AH751" i="1"/>
  <c r="AH756" i="1"/>
  <c r="AH759" i="1"/>
  <c r="AH705" i="1"/>
  <c r="AH712" i="1"/>
  <c r="AH713" i="1"/>
  <c r="AH714" i="1"/>
  <c r="AH707" i="1"/>
  <c r="AH708" i="1"/>
  <c r="AH706" i="1"/>
  <c r="AH703" i="1"/>
  <c r="AH709" i="1"/>
  <c r="AH704" i="1"/>
  <c r="AH710" i="1"/>
  <c r="AH711" i="1"/>
  <c r="AH592" i="1"/>
  <c r="AH594" i="1"/>
  <c r="AH604" i="1"/>
  <c r="AH600" i="1"/>
  <c r="AH601" i="1"/>
  <c r="AH602" i="1"/>
  <c r="AH605" i="1"/>
  <c r="AH591" i="1"/>
  <c r="AH593" i="1"/>
  <c r="AH595" i="1"/>
  <c r="AH596" i="1"/>
  <c r="AH597" i="1"/>
  <c r="AH598" i="1"/>
  <c r="AH599" i="1"/>
  <c r="AH603" i="1"/>
  <c r="AH496" i="1"/>
  <c r="AH498" i="1"/>
  <c r="AH497" i="1"/>
  <c r="AH499" i="1"/>
  <c r="AH500" i="1"/>
  <c r="AH495" i="1"/>
  <c r="AH464" i="1"/>
  <c r="AH466" i="1"/>
  <c r="AH467" i="1"/>
  <c r="AH465" i="1"/>
  <c r="AH463" i="1"/>
  <c r="AH308" i="1"/>
  <c r="AH307" i="1"/>
  <c r="AH303" i="1"/>
  <c r="AH306" i="1"/>
  <c r="AH305" i="1"/>
  <c r="AH304" i="1"/>
  <c r="AH293" i="1"/>
  <c r="AH294" i="1"/>
  <c r="AH295" i="1"/>
  <c r="AH290" i="1"/>
  <c r="AH291" i="1"/>
  <c r="AH287" i="1"/>
  <c r="AH292" i="1"/>
  <c r="AH299" i="1"/>
  <c r="AH297" i="1"/>
  <c r="AH298" i="1"/>
  <c r="AH289" i="1"/>
  <c r="AH296" i="1"/>
  <c r="AH288" i="1"/>
  <c r="AH300" i="1"/>
  <c r="AH272" i="1"/>
  <c r="AH275" i="1"/>
  <c r="AH276" i="1"/>
  <c r="AH277" i="1"/>
  <c r="AH278" i="1"/>
  <c r="AH279" i="1"/>
  <c r="AH280" i="1"/>
  <c r="AH281" i="1"/>
  <c r="AH273" i="1"/>
  <c r="AH271" i="1"/>
  <c r="AH274" i="1"/>
  <c r="AH160" i="1"/>
  <c r="AH162" i="1"/>
  <c r="AH161" i="1"/>
  <c r="AH165" i="1"/>
  <c r="AH166" i="1"/>
  <c r="AH167" i="1"/>
  <c r="AH168" i="1"/>
  <c r="AH159" i="1"/>
  <c r="AH163" i="1"/>
  <c r="AH164" i="1"/>
  <c r="AH96" i="1"/>
  <c r="AH97" i="1"/>
  <c r="AH95" i="1"/>
  <c r="AI1271" i="1"/>
  <c r="AI1267" i="1"/>
  <c r="AI1263" i="1"/>
  <c r="AI1268" i="1"/>
  <c r="AI1269" i="1"/>
  <c r="AI1264" i="1"/>
  <c r="AI1272" i="1"/>
  <c r="AI1265" i="1"/>
  <c r="AI1266" i="1"/>
  <c r="AI1270" i="1"/>
  <c r="AI1273" i="1"/>
  <c r="AI1274" i="1"/>
  <c r="AI1275" i="1"/>
  <c r="AI1060" i="1"/>
  <c r="AI1061" i="1"/>
  <c r="AI1057" i="1"/>
  <c r="AI1058" i="1"/>
  <c r="AI1059" i="1"/>
  <c r="AI1056" i="1"/>
  <c r="AI1055" i="1"/>
  <c r="AI1062" i="1"/>
  <c r="AI902" i="1"/>
  <c r="AI903" i="1"/>
  <c r="AI895" i="1"/>
  <c r="AI904" i="1"/>
  <c r="AI897" i="1"/>
  <c r="AI900" i="1"/>
  <c r="AI898" i="1"/>
  <c r="AI896" i="1"/>
  <c r="AI899" i="1"/>
  <c r="AI901" i="1"/>
  <c r="AI756" i="1"/>
  <c r="AI757" i="1"/>
  <c r="AI752" i="1"/>
  <c r="AI751" i="1"/>
  <c r="AI758" i="1"/>
  <c r="AI759" i="1"/>
  <c r="AI755" i="1"/>
  <c r="AI753" i="1"/>
  <c r="AI754" i="1"/>
  <c r="AI712" i="1"/>
  <c r="AI713" i="1"/>
  <c r="AI714" i="1"/>
  <c r="AI708" i="1"/>
  <c r="AI704" i="1"/>
  <c r="AI707" i="1"/>
  <c r="AI710" i="1"/>
  <c r="AI703" i="1"/>
  <c r="AI705" i="1"/>
  <c r="AI709" i="1"/>
  <c r="AI706" i="1"/>
  <c r="AI711" i="1"/>
  <c r="AI594" i="1"/>
  <c r="AI593" i="1"/>
  <c r="AI598" i="1"/>
  <c r="AI591" i="1"/>
  <c r="AI603" i="1"/>
  <c r="AI604" i="1"/>
  <c r="AI600" i="1"/>
  <c r="AI597" i="1"/>
  <c r="AI595" i="1"/>
  <c r="AI592" i="1"/>
  <c r="AI602" i="1"/>
  <c r="AI601" i="1"/>
  <c r="AI596" i="1"/>
  <c r="AI605" i="1"/>
  <c r="AI599" i="1"/>
  <c r="AI496" i="1"/>
  <c r="AI500" i="1"/>
  <c r="AI498" i="1"/>
  <c r="AI497" i="1"/>
  <c r="AI495" i="1"/>
  <c r="AI499" i="1"/>
  <c r="AI466" i="1"/>
  <c r="AI465" i="1"/>
  <c r="AI463" i="1"/>
  <c r="AI467" i="1"/>
  <c r="AI464" i="1"/>
  <c r="AI303" i="1"/>
  <c r="AI308" i="1"/>
  <c r="AI306" i="1"/>
  <c r="AI304" i="1"/>
  <c r="AI307" i="1"/>
  <c r="AI305" i="1"/>
  <c r="AI294" i="1"/>
  <c r="AI291" i="1"/>
  <c r="AI296" i="1"/>
  <c r="AI290" i="1"/>
  <c r="AI293" i="1"/>
  <c r="AI292" i="1"/>
  <c r="AI287" i="1"/>
  <c r="AI300" i="1"/>
  <c r="AI295" i="1"/>
  <c r="AI298" i="1"/>
  <c r="AI297" i="1"/>
  <c r="AI299" i="1"/>
  <c r="AI289" i="1"/>
  <c r="AI288" i="1"/>
  <c r="AI278" i="1"/>
  <c r="AI277" i="1"/>
  <c r="AI276" i="1"/>
  <c r="AI281" i="1"/>
  <c r="AI275" i="1"/>
  <c r="AI280" i="1"/>
  <c r="AI274" i="1"/>
  <c r="AI279" i="1"/>
  <c r="AI273" i="1"/>
  <c r="AI272" i="1"/>
  <c r="AI271" i="1"/>
  <c r="AI159" i="1"/>
  <c r="AI168" i="1"/>
  <c r="AI161" i="1"/>
  <c r="AI163" i="1"/>
  <c r="AI162" i="1"/>
  <c r="AI164" i="1"/>
  <c r="AI166" i="1"/>
  <c r="AI160" i="1"/>
  <c r="AI167" i="1"/>
  <c r="AI165" i="1"/>
  <c r="AI95" i="1"/>
  <c r="AI97" i="1"/>
  <c r="AI96" i="1"/>
  <c r="AH1089" i="1"/>
  <c r="AH1091" i="1"/>
  <c r="AH1092" i="1"/>
  <c r="AH1093" i="1"/>
  <c r="AH1094" i="1"/>
  <c r="AH1095" i="1"/>
  <c r="AH1096" i="1"/>
  <c r="AH1097" i="1"/>
  <c r="AH1090" i="1"/>
  <c r="AH323" i="1"/>
  <c r="AH324" i="1"/>
  <c r="AH325" i="1"/>
  <c r="AH327" i="1"/>
  <c r="AH328" i="1"/>
  <c r="AH329" i="1"/>
  <c r="AH330" i="1"/>
  <c r="AH331" i="1"/>
  <c r="AH321" i="1"/>
  <c r="AH332" i="1"/>
  <c r="AH322" i="1"/>
  <c r="AH326" i="1"/>
  <c r="AI1077" i="1"/>
  <c r="AI1073" i="1"/>
  <c r="AI1075" i="1"/>
  <c r="AI1080" i="1"/>
  <c r="AI1078" i="1"/>
  <c r="AI1076" i="1"/>
  <c r="AI1081" i="1"/>
  <c r="AI1079" i="1"/>
  <c r="AI1074" i="1"/>
  <c r="AI983" i="1"/>
  <c r="AI980" i="1"/>
  <c r="AI984" i="1"/>
  <c r="AI977" i="1"/>
  <c r="AI981" i="1"/>
  <c r="AI982" i="1"/>
  <c r="AI979" i="1"/>
  <c r="AI978" i="1"/>
  <c r="AH832" i="1"/>
  <c r="AH833" i="1"/>
  <c r="AH835" i="1"/>
  <c r="AH836" i="1"/>
  <c r="AH834" i="1"/>
  <c r="AH837" i="1"/>
  <c r="AH838" i="1"/>
  <c r="AH839" i="1"/>
  <c r="AH840" i="1"/>
  <c r="AH841" i="1"/>
  <c r="AH131" i="1"/>
  <c r="AH133" i="1"/>
  <c r="AH135" i="1"/>
  <c r="AH136" i="1"/>
  <c r="AH129" i="1"/>
  <c r="AH137" i="1"/>
  <c r="AH132" i="1"/>
  <c r="AH134" i="1"/>
  <c r="AH130" i="1"/>
  <c r="AH138" i="1"/>
  <c r="AH128" i="1"/>
  <c r="AI840" i="1"/>
  <c r="AI841" i="1"/>
  <c r="AI837" i="1"/>
  <c r="AI836" i="1"/>
  <c r="AI839" i="1"/>
  <c r="AI834" i="1"/>
  <c r="AI838" i="1"/>
  <c r="AI832" i="1"/>
  <c r="AI835" i="1"/>
  <c r="AI833" i="1"/>
  <c r="AH1232" i="1"/>
  <c r="AH1231" i="1"/>
  <c r="AH1230" i="1"/>
  <c r="AH1121" i="1"/>
  <c r="AH1118" i="1"/>
  <c r="AH1119" i="1"/>
  <c r="AH1120" i="1"/>
  <c r="AH1024" i="1"/>
  <c r="AH1027" i="1"/>
  <c r="AH1028" i="1"/>
  <c r="AH1023" i="1"/>
  <c r="AH1022" i="1"/>
  <c r="AH1026" i="1"/>
  <c r="AH1025" i="1"/>
  <c r="AH884" i="1"/>
  <c r="AH885" i="1"/>
  <c r="AH886" i="1"/>
  <c r="AH887" i="1"/>
  <c r="AH878" i="1"/>
  <c r="AH879" i="1"/>
  <c r="AH882" i="1"/>
  <c r="AH881" i="1"/>
  <c r="AH880" i="1"/>
  <c r="AH883" i="1"/>
  <c r="AH821" i="1"/>
  <c r="AH816" i="1"/>
  <c r="AH822" i="1"/>
  <c r="AH823" i="1"/>
  <c r="AH815" i="1"/>
  <c r="AH818" i="1"/>
  <c r="AH817" i="1"/>
  <c r="AH819" i="1"/>
  <c r="AH824" i="1"/>
  <c r="AH820" i="1"/>
  <c r="AH814" i="1"/>
  <c r="AH789" i="1"/>
  <c r="AH782" i="1"/>
  <c r="AH783" i="1"/>
  <c r="AH786" i="1"/>
  <c r="AH787" i="1"/>
  <c r="AH788" i="1"/>
  <c r="AH785" i="1"/>
  <c r="AH784" i="1"/>
  <c r="AH720" i="1"/>
  <c r="AH724" i="1"/>
  <c r="AH723" i="1"/>
  <c r="AH722" i="1"/>
  <c r="AH721" i="1"/>
  <c r="AH718" i="1"/>
  <c r="AH725" i="1"/>
  <c r="AH719" i="1"/>
  <c r="AH726" i="1"/>
  <c r="AH607" i="1"/>
  <c r="AH606" i="1"/>
  <c r="AH481" i="1"/>
  <c r="AH479" i="1"/>
  <c r="AH480" i="1"/>
  <c r="AH478" i="1"/>
  <c r="AH256" i="1"/>
  <c r="AH257" i="1"/>
  <c r="AH254" i="1"/>
  <c r="AH255" i="1"/>
  <c r="AH176" i="1"/>
  <c r="AH177" i="1"/>
  <c r="AH179" i="1"/>
  <c r="AH180" i="1"/>
  <c r="AH181" i="1"/>
  <c r="AH178" i="1"/>
  <c r="AH174" i="1"/>
  <c r="AH175" i="1"/>
  <c r="AI1230" i="1"/>
  <c r="AI1232" i="1"/>
  <c r="AI1231" i="1"/>
  <c r="AI1120" i="1"/>
  <c r="AI1118" i="1"/>
  <c r="AI1119" i="1"/>
  <c r="AI1121" i="1"/>
  <c r="AI1028" i="1"/>
  <c r="AI1026" i="1"/>
  <c r="AI1023" i="1"/>
  <c r="AI1025" i="1"/>
  <c r="AI1027" i="1"/>
  <c r="AI1024" i="1"/>
  <c r="AI1022" i="1"/>
  <c r="AI886" i="1"/>
  <c r="AI883" i="1"/>
  <c r="AI878" i="1"/>
  <c r="AI885" i="1"/>
  <c r="AI880" i="1"/>
  <c r="AI882" i="1"/>
  <c r="AI879" i="1"/>
  <c r="AI884" i="1"/>
  <c r="AI887" i="1"/>
  <c r="AI881" i="1"/>
  <c r="AI821" i="1"/>
  <c r="AI816" i="1"/>
  <c r="AI822" i="1"/>
  <c r="AI824" i="1"/>
  <c r="AI823" i="1"/>
  <c r="AI819" i="1"/>
  <c r="AI814" i="1"/>
  <c r="AI815" i="1"/>
  <c r="AI818" i="1"/>
  <c r="AI820" i="1"/>
  <c r="AI817" i="1"/>
  <c r="AI788" i="1"/>
  <c r="AI789" i="1"/>
  <c r="AI787" i="1"/>
  <c r="AI782" i="1"/>
  <c r="AI783" i="1"/>
  <c r="AI786" i="1"/>
  <c r="AI784" i="1"/>
  <c r="AI785" i="1"/>
  <c r="AI718" i="1"/>
  <c r="AI719" i="1"/>
  <c r="AI720" i="1"/>
  <c r="AI721" i="1"/>
  <c r="AI726" i="1"/>
  <c r="AI722" i="1"/>
  <c r="AI724" i="1"/>
  <c r="AI725" i="1"/>
  <c r="AI723" i="1"/>
  <c r="AI606" i="1"/>
  <c r="AI607" i="1"/>
  <c r="AI480" i="1"/>
  <c r="AI478" i="1"/>
  <c r="AI481" i="1"/>
  <c r="AI479" i="1"/>
  <c r="AI256" i="1"/>
  <c r="AI255" i="1"/>
  <c r="AI257" i="1"/>
  <c r="AI254" i="1"/>
  <c r="AI179" i="1"/>
  <c r="AI176" i="1"/>
  <c r="AI180" i="1"/>
  <c r="AI175" i="1"/>
  <c r="AI178" i="1"/>
  <c r="AI174" i="1"/>
  <c r="AI181" i="1"/>
  <c r="AI177" i="1"/>
  <c r="CR35" i="2"/>
  <c r="CR51" i="2"/>
  <c r="CR66" i="2"/>
  <c r="CR36" i="2"/>
  <c r="CR52" i="2"/>
  <c r="CR37" i="2"/>
  <c r="CR53" i="2"/>
  <c r="CR38" i="2"/>
  <c r="CR54" i="2"/>
  <c r="CR39" i="2"/>
  <c r="CR55" i="2"/>
  <c r="CR40" i="2"/>
  <c r="CR56" i="2"/>
  <c r="CR41" i="2"/>
  <c r="CR57" i="2"/>
  <c r="CR42" i="2"/>
  <c r="CR58" i="2"/>
  <c r="CR43" i="2"/>
  <c r="CR59" i="2"/>
  <c r="CR44" i="2"/>
  <c r="CR60" i="2"/>
  <c r="CR45" i="2"/>
  <c r="CR61" i="2"/>
  <c r="CR46" i="2"/>
  <c r="CR62" i="2"/>
  <c r="CR47" i="2"/>
  <c r="CR63" i="2"/>
  <c r="CR48" i="2"/>
  <c r="CR64" i="2"/>
  <c r="CR49" i="2"/>
  <c r="CR65" i="2"/>
  <c r="CR50" i="2"/>
  <c r="CR34" i="2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BT4" i="5"/>
  <c r="BT3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H61" i="1"/>
  <c r="L26" i="1"/>
  <c r="S26" i="1" s="1"/>
  <c r="L27" i="1"/>
  <c r="S27" i="1" s="1"/>
  <c r="L28" i="1"/>
  <c r="S28" i="1" s="1"/>
  <c r="L29" i="1"/>
  <c r="L30" i="1"/>
  <c r="L31" i="1"/>
  <c r="L32" i="1"/>
  <c r="S32" i="1" s="1"/>
  <c r="L33" i="1"/>
  <c r="S33" i="1" s="1"/>
  <c r="L34" i="1"/>
  <c r="L35" i="1"/>
  <c r="L36" i="1"/>
  <c r="S36" i="1" s="1"/>
  <c r="L37" i="1"/>
  <c r="L38" i="1"/>
  <c r="S38" i="1" s="1"/>
  <c r="L39" i="1"/>
  <c r="L40" i="1"/>
  <c r="L41" i="1"/>
  <c r="S41" i="1" s="1"/>
  <c r="L42" i="1"/>
  <c r="L43" i="1"/>
  <c r="S43" i="1" s="1"/>
  <c r="L44" i="1"/>
  <c r="S44" i="1" s="1"/>
  <c r="L45" i="1"/>
  <c r="S45" i="1" s="1"/>
  <c r="L46" i="1"/>
  <c r="S46" i="1" s="1"/>
  <c r="L47" i="1"/>
  <c r="L48" i="1"/>
  <c r="S48" i="1" s="1"/>
  <c r="L49" i="1"/>
  <c r="S49" i="1" s="1"/>
  <c r="L50" i="1"/>
  <c r="L51" i="1"/>
  <c r="L52" i="1"/>
  <c r="S52" i="1" s="1"/>
  <c r="L53" i="1"/>
  <c r="S53" i="1" s="1"/>
  <c r="L54" i="1"/>
  <c r="S54" i="1" s="1"/>
  <c r="L55" i="1"/>
  <c r="S55" i="1" s="1"/>
  <c r="L56" i="1"/>
  <c r="L57" i="1"/>
  <c r="S57" i="1" s="1"/>
  <c r="L58" i="1"/>
  <c r="S58" i="1" s="1"/>
  <c r="L59" i="1"/>
  <c r="S59" i="1" s="1"/>
  <c r="L60" i="1"/>
  <c r="S60" i="1" s="1"/>
  <c r="L61" i="1"/>
  <c r="S61" i="1" s="1"/>
  <c r="L62" i="1"/>
  <c r="S62" i="1" s="1"/>
  <c r="L63" i="1"/>
  <c r="S63" i="1" s="1"/>
  <c r="L64" i="1"/>
  <c r="S64" i="1" s="1"/>
  <c r="L66" i="1"/>
  <c r="S66" i="1" s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S77" i="1" s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S17" i="1" s="1"/>
  <c r="L18" i="1"/>
  <c r="L19" i="1"/>
  <c r="L20" i="1"/>
  <c r="L21" i="1"/>
  <c r="S21" i="1" s="1"/>
  <c r="L22" i="1"/>
  <c r="L23" i="1"/>
  <c r="S23" i="1" s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6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M22" i="10" s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AF55" i="10" l="1"/>
  <c r="BC32" i="10"/>
  <c r="AF55" i="8"/>
  <c r="BC32" i="8"/>
  <c r="U58" i="4"/>
  <c r="BF21" i="4"/>
  <c r="BD41" i="10"/>
  <c r="BD41" i="8"/>
  <c r="AO56" i="8"/>
  <c r="AO56" i="10"/>
  <c r="AK22" i="4"/>
  <c r="V37" i="4"/>
  <c r="AN61" i="10"/>
  <c r="BI40" i="10"/>
  <c r="BI40" i="8"/>
  <c r="AN61" i="8"/>
  <c r="AO34" i="4"/>
  <c r="AH41" i="4"/>
  <c r="AB11" i="10"/>
  <c r="AB11" i="8"/>
  <c r="K28" i="8"/>
  <c r="K28" i="10"/>
  <c r="AU36" i="4"/>
  <c r="AJ47" i="4"/>
  <c r="G18" i="10"/>
  <c r="R7" i="10"/>
  <c r="G18" i="8"/>
  <c r="R7" i="8"/>
  <c r="W62" i="4"/>
  <c r="BJ23" i="4"/>
  <c r="V25" i="10"/>
  <c r="V25" i="8"/>
  <c r="Y22" i="8"/>
  <c r="Y22" i="10"/>
  <c r="AC18" i="4"/>
  <c r="R29" i="4"/>
  <c r="AH57" i="10"/>
  <c r="BE34" i="10"/>
  <c r="AH57" i="8"/>
  <c r="BE34" i="8"/>
  <c r="BL25" i="4"/>
  <c r="Y64" i="4"/>
  <c r="AD63" i="10"/>
  <c r="BK30" i="10"/>
  <c r="BK30" i="8"/>
  <c r="AD63" i="8"/>
  <c r="BA52" i="4"/>
  <c r="AZ53" i="4"/>
  <c r="W36" i="10"/>
  <c r="AJ23" i="10"/>
  <c r="AJ23" i="8"/>
  <c r="W36" i="8"/>
  <c r="J19" i="4"/>
  <c r="S10" i="4"/>
  <c r="L9" i="10"/>
  <c r="I12" i="10"/>
  <c r="I12" i="8"/>
  <c r="L9" i="8"/>
  <c r="AV27" i="4"/>
  <c r="AA48" i="4"/>
  <c r="BM36" i="10"/>
  <c r="AJ65" i="10"/>
  <c r="BM36" i="8"/>
  <c r="AJ65" i="8"/>
  <c r="BC10" i="4"/>
  <c r="J55" i="4"/>
  <c r="D51" i="10"/>
  <c r="D51" i="8"/>
  <c r="AY4" i="10"/>
  <c r="AY4" i="8"/>
  <c r="D5" i="4"/>
  <c r="E4" i="4"/>
  <c r="AJ53" i="10"/>
  <c r="BA36" i="10"/>
  <c r="BA36" i="8"/>
  <c r="AJ53" i="8"/>
  <c r="J7" i="4"/>
  <c r="G10" i="4"/>
  <c r="S34" i="10"/>
  <c r="AH19" i="10"/>
  <c r="AH19" i="8"/>
  <c r="S34" i="8"/>
  <c r="BL15" i="4"/>
  <c r="O64" i="4"/>
  <c r="P29" i="10"/>
  <c r="AC16" i="10"/>
  <c r="BH51" i="4"/>
  <c r="AC16" i="8"/>
  <c r="P29" i="8"/>
  <c r="AY60" i="4"/>
  <c r="AT59" i="10"/>
  <c r="BG46" i="10"/>
  <c r="BG46" i="8"/>
  <c r="AT59" i="8"/>
  <c r="AR31" i="4"/>
  <c r="AE44" i="4"/>
  <c r="AP61" i="10"/>
  <c r="BI42" i="10"/>
  <c r="BI42" i="8"/>
  <c r="AP61" i="8"/>
  <c r="AL41" i="4"/>
  <c r="AO38" i="4"/>
  <c r="R49" i="10"/>
  <c r="AW18" i="10"/>
  <c r="AW18" i="8"/>
  <c r="R49" i="8"/>
  <c r="BM62" i="4"/>
  <c r="BJ65" i="4"/>
  <c r="I16" i="10"/>
  <c r="P9" i="10"/>
  <c r="P9" i="8"/>
  <c r="I16" i="8"/>
  <c r="BH27" i="4"/>
  <c r="AA60" i="4"/>
  <c r="BA10" i="10"/>
  <c r="J53" i="10"/>
  <c r="BA10" i="8"/>
  <c r="J53" i="8"/>
  <c r="AB7" i="4"/>
  <c r="G28" i="4"/>
  <c r="AI38" i="10"/>
  <c r="AL35" i="10"/>
  <c r="AL35" i="8"/>
  <c r="AI38" i="8"/>
  <c r="I12" i="4"/>
  <c r="L9" i="4"/>
  <c r="AF47" i="10"/>
  <c r="AU32" i="10"/>
  <c r="AU32" i="8"/>
  <c r="AF47" i="8"/>
  <c r="BF45" i="4"/>
  <c r="AS58" i="4"/>
  <c r="P27" i="10"/>
  <c r="AA16" i="10"/>
  <c r="AA16" i="8"/>
  <c r="P27" i="8"/>
  <c r="BH35" i="4"/>
  <c r="AI60" i="4"/>
  <c r="C34" i="10"/>
  <c r="AH3" i="10"/>
  <c r="C34" i="8"/>
  <c r="AH3" i="8"/>
  <c r="BL3" i="4"/>
  <c r="C64" i="4"/>
  <c r="AC4" i="10"/>
  <c r="D29" i="10"/>
  <c r="D29" i="8"/>
  <c r="AC4" i="8"/>
  <c r="D51" i="4"/>
  <c r="AY4" i="4"/>
  <c r="AW52" i="10"/>
  <c r="AZ49" i="10"/>
  <c r="AW52" i="8"/>
  <c r="AZ49" i="8"/>
  <c r="BM6" i="4"/>
  <c r="F65" i="4"/>
  <c r="L29" i="10"/>
  <c r="AC12" i="10"/>
  <c r="AC12" i="8"/>
  <c r="L29" i="8"/>
  <c r="AV51" i="4"/>
  <c r="AY48" i="4"/>
  <c r="AY58" i="10"/>
  <c r="BF51" i="10"/>
  <c r="BF51" i="8"/>
  <c r="AY58" i="8"/>
  <c r="E26" i="4"/>
  <c r="Z5" i="4"/>
  <c r="AG58" i="10"/>
  <c r="BF33" i="10"/>
  <c r="AG58" i="8"/>
  <c r="BF33" i="8"/>
  <c r="BK26" i="4"/>
  <c r="Z63" i="4"/>
  <c r="AZ27" i="10"/>
  <c r="AA52" i="10"/>
  <c r="AZ27" i="8"/>
  <c r="AA52" i="8"/>
  <c r="F35" i="4"/>
  <c r="AI6" i="4"/>
  <c r="AB61" i="10"/>
  <c r="BI28" i="10"/>
  <c r="BI28" i="8"/>
  <c r="AB61" i="8"/>
  <c r="AJ41" i="4"/>
  <c r="AO36" i="4"/>
  <c r="AR11" i="10"/>
  <c r="K44" i="10"/>
  <c r="AR11" i="8"/>
  <c r="K44" i="8"/>
  <c r="AN47" i="4"/>
  <c r="AU40" i="4"/>
  <c r="O66" i="10"/>
  <c r="BN15" i="10"/>
  <c r="BN15" i="8"/>
  <c r="O66" i="8"/>
  <c r="BG56" i="4"/>
  <c r="BD59" i="4"/>
  <c r="C46" i="10"/>
  <c r="C46" i="8"/>
  <c r="AT3" i="8"/>
  <c r="AT3" i="10"/>
  <c r="C44" i="4"/>
  <c r="AR3" i="4"/>
  <c r="AA6" i="10"/>
  <c r="F27" i="10"/>
  <c r="F27" i="8"/>
  <c r="AA6" i="8"/>
  <c r="AI14" i="4"/>
  <c r="N35" i="4"/>
  <c r="L27" i="10"/>
  <c r="AA12" i="10"/>
  <c r="AA12" i="8"/>
  <c r="L27" i="8"/>
  <c r="AV35" i="4"/>
  <c r="AI48" i="4"/>
  <c r="AK62" i="10"/>
  <c r="BJ37" i="10"/>
  <c r="BJ37" i="8"/>
  <c r="AK62" i="8"/>
  <c r="AP11" i="4"/>
  <c r="K42" i="4"/>
  <c r="BI66" i="10"/>
  <c r="BN61" i="10"/>
  <c r="BI66" i="8"/>
  <c r="BN61" i="8"/>
  <c r="BD41" i="4"/>
  <c r="AO56" i="4"/>
  <c r="J37" i="10"/>
  <c r="AK10" i="10"/>
  <c r="AK10" i="8"/>
  <c r="J37" i="8"/>
  <c r="K28" i="4"/>
  <c r="AB11" i="4"/>
  <c r="AB65" i="10"/>
  <c r="BM28" i="10"/>
  <c r="BM28" i="8"/>
  <c r="AB65" i="8"/>
  <c r="BC36" i="4"/>
  <c r="AJ55" i="4"/>
  <c r="K6" i="10"/>
  <c r="F11" i="10"/>
  <c r="K6" i="8"/>
  <c r="F11" i="8"/>
  <c r="AU14" i="4"/>
  <c r="N47" i="4"/>
  <c r="AW26" i="10"/>
  <c r="Z49" i="10"/>
  <c r="AW26" i="8"/>
  <c r="Z49" i="8"/>
  <c r="BM30" i="4"/>
  <c r="AD65" i="4"/>
  <c r="AF11" i="10"/>
  <c r="K32" i="10"/>
  <c r="K32" i="8"/>
  <c r="AF11" i="8"/>
  <c r="BF47" i="4"/>
  <c r="AU58" i="4"/>
  <c r="AF57" i="10"/>
  <c r="BE32" i="10"/>
  <c r="AF57" i="8"/>
  <c r="BE32" i="8"/>
  <c r="BF25" i="4"/>
  <c r="Y58" i="4"/>
  <c r="I32" i="10"/>
  <c r="AF9" i="10"/>
  <c r="I32" i="8"/>
  <c r="AF9" i="8"/>
  <c r="BF27" i="4"/>
  <c r="AA58" i="4"/>
  <c r="BL41" i="10"/>
  <c r="AO64" i="10"/>
  <c r="BL41" i="8"/>
  <c r="AO64" i="8"/>
  <c r="BB37" i="4"/>
  <c r="AK54" i="4"/>
  <c r="U42" i="10"/>
  <c r="AP21" i="10"/>
  <c r="AP21" i="8"/>
  <c r="U42" i="8"/>
  <c r="AL17" i="4"/>
  <c r="Q38" i="4"/>
  <c r="AP63" i="10"/>
  <c r="BK42" i="10"/>
  <c r="AP63" i="8"/>
  <c r="BK42" i="8"/>
  <c r="BA38" i="4"/>
  <c r="AL53" i="4"/>
  <c r="AD61" i="10"/>
  <c r="BI30" i="10"/>
  <c r="BI30" i="8"/>
  <c r="AD61" i="8"/>
  <c r="AZ41" i="4"/>
  <c r="AO52" i="4"/>
  <c r="K42" i="10"/>
  <c r="AP11" i="10"/>
  <c r="AP11" i="8"/>
  <c r="K42" i="8"/>
  <c r="AL47" i="4"/>
  <c r="AU38" i="4"/>
  <c r="AI34" i="10"/>
  <c r="AI34" i="8"/>
  <c r="AH35" i="8"/>
  <c r="AH35" i="10"/>
  <c r="BL9" i="4"/>
  <c r="I64" i="4"/>
  <c r="AI26" i="8"/>
  <c r="Z35" i="8"/>
  <c r="Z35" i="10"/>
  <c r="AI26" i="10"/>
  <c r="AD9" i="4"/>
  <c r="I30" i="4"/>
  <c r="BJ9" i="10"/>
  <c r="I62" i="10"/>
  <c r="BJ9" i="8"/>
  <c r="I62" i="8"/>
  <c r="AP27" i="4"/>
  <c r="AA42" i="4"/>
  <c r="I66" i="10"/>
  <c r="BN9" i="10"/>
  <c r="BN9" i="8"/>
  <c r="I66" i="8"/>
  <c r="AA56" i="4"/>
  <c r="BD27" i="4"/>
  <c r="AA44" i="10"/>
  <c r="AR27" i="10"/>
  <c r="AR27" i="8"/>
  <c r="AA44" i="8"/>
  <c r="AN35" i="4"/>
  <c r="AI40" i="4"/>
  <c r="AO44" i="10"/>
  <c r="AR41" i="10"/>
  <c r="AO44" i="8"/>
  <c r="AR41" i="8"/>
  <c r="AK40" i="4"/>
  <c r="AN37" i="4"/>
  <c r="AW48" i="10"/>
  <c r="AV49" i="10"/>
  <c r="AV49" i="8"/>
  <c r="AW48" i="8"/>
  <c r="AT65" i="4"/>
  <c r="BM46" i="4"/>
  <c r="AP51" i="10"/>
  <c r="AY42" i="10"/>
  <c r="AP51" i="8"/>
  <c r="AY42" i="8"/>
  <c r="E38" i="4"/>
  <c r="AL5" i="4"/>
  <c r="AL29" i="10"/>
  <c r="AC38" i="10"/>
  <c r="AL29" i="8"/>
  <c r="AC38" i="8"/>
  <c r="AY12" i="4"/>
  <c r="L51" i="4"/>
  <c r="Z47" i="10"/>
  <c r="AU26" i="10"/>
  <c r="Z47" i="8"/>
  <c r="AS30" i="4"/>
  <c r="AD45" i="4"/>
  <c r="AU26" i="8"/>
  <c r="Z33" i="10"/>
  <c r="AG26" i="10"/>
  <c r="Z33" i="8"/>
  <c r="AG26" i="8"/>
  <c r="BK30" i="4"/>
  <c r="AD63" i="4"/>
  <c r="M26" i="10"/>
  <c r="Z13" i="10"/>
  <c r="M26" i="8"/>
  <c r="Z13" i="8"/>
  <c r="AW30" i="4"/>
  <c r="AD49" i="4"/>
  <c r="AL49" i="10"/>
  <c r="AW38" i="10"/>
  <c r="AW38" i="8"/>
  <c r="AL49" i="8"/>
  <c r="L65" i="4"/>
  <c r="BM12" i="4"/>
  <c r="BB55" i="10"/>
  <c r="BC54" i="10"/>
  <c r="BC54" i="8"/>
  <c r="BB55" i="8"/>
  <c r="H21" i="4"/>
  <c r="U8" i="4"/>
  <c r="Y44" i="10"/>
  <c r="AR25" i="10"/>
  <c r="AR25" i="8"/>
  <c r="Y44" i="8"/>
  <c r="AN29" i="4"/>
  <c r="AC40" i="4"/>
  <c r="AO62" i="10"/>
  <c r="BJ41" i="10"/>
  <c r="BJ41" i="8"/>
  <c r="AO62" i="8"/>
  <c r="AK42" i="4"/>
  <c r="AP37" i="4"/>
  <c r="AQ66" i="8"/>
  <c r="BN43" i="8"/>
  <c r="BN43" i="10"/>
  <c r="AQ66" i="10"/>
  <c r="BD39" i="4"/>
  <c r="AM56" i="4"/>
  <c r="AL39" i="10"/>
  <c r="AM38" i="10"/>
  <c r="AM38" i="8"/>
  <c r="AL39" i="8"/>
  <c r="H16" i="2"/>
  <c r="AG12" i="4"/>
  <c r="L33" i="4"/>
  <c r="AQ48" i="10"/>
  <c r="AV43" i="10"/>
  <c r="AQ48" i="8"/>
  <c r="AV43" i="8"/>
  <c r="AT39" i="4"/>
  <c r="AM46" i="4"/>
  <c r="AO48" i="10"/>
  <c r="AO48" i="8"/>
  <c r="AV41" i="8"/>
  <c r="AV41" i="10"/>
  <c r="H3" i="2"/>
  <c r="F19" i="2"/>
  <c r="AT37" i="4"/>
  <c r="AK46" i="4"/>
  <c r="AW18" i="4"/>
  <c r="AV19" i="10"/>
  <c r="S48" i="10"/>
  <c r="AV19" i="8"/>
  <c r="S48" i="8"/>
  <c r="AT15" i="4"/>
  <c r="O46" i="4"/>
  <c r="P37" i="10"/>
  <c r="AK16" i="10"/>
  <c r="AK16" i="8"/>
  <c r="P37" i="8"/>
  <c r="BH11" i="4"/>
  <c r="K60" i="4"/>
  <c r="N45" i="10"/>
  <c r="AS14" i="10"/>
  <c r="AS14" i="8"/>
  <c r="N45" i="8"/>
  <c r="AQ50" i="4"/>
  <c r="AX43" i="4"/>
  <c r="AR65" i="10"/>
  <c r="BM44" i="10"/>
  <c r="AR65" i="8"/>
  <c r="BM44" i="8"/>
  <c r="BC40" i="4"/>
  <c r="AN55" i="4"/>
  <c r="AA36" i="10"/>
  <c r="AJ27" i="10"/>
  <c r="AJ27" i="8"/>
  <c r="AA36" i="8"/>
  <c r="AI10" i="4"/>
  <c r="J35" i="4"/>
  <c r="AY10" i="10"/>
  <c r="J51" i="10"/>
  <c r="AY10" i="8"/>
  <c r="J51" i="8"/>
  <c r="E28" i="4"/>
  <c r="AB5" i="4"/>
  <c r="H37" i="10"/>
  <c r="AK8" i="10"/>
  <c r="AK8" i="8"/>
  <c r="H37" i="8"/>
  <c r="X11" i="4"/>
  <c r="K24" i="4"/>
  <c r="O26" i="10"/>
  <c r="Z15" i="10"/>
  <c r="O26" i="8"/>
  <c r="Z15" i="8"/>
  <c r="BG30" i="4"/>
  <c r="AD59" i="4"/>
  <c r="G40" i="10"/>
  <c r="AN7" i="10"/>
  <c r="AN7" i="8"/>
  <c r="G40" i="8"/>
  <c r="AH23" i="4"/>
  <c r="W34" i="4"/>
  <c r="AI42" i="10"/>
  <c r="AP35" i="10"/>
  <c r="AP35" i="8"/>
  <c r="AI42" i="8"/>
  <c r="I38" i="4"/>
  <c r="AL9" i="4"/>
  <c r="AP59" i="10"/>
  <c r="BG42" i="10"/>
  <c r="BG42" i="8"/>
  <c r="AP59" i="8"/>
  <c r="AL31" i="4"/>
  <c r="AE38" i="4"/>
  <c r="AW66" i="10"/>
  <c r="BN49" i="10"/>
  <c r="AW66" i="8"/>
  <c r="BN49" i="8"/>
  <c r="BM56" i="4"/>
  <c r="BD65" i="4"/>
  <c r="BA50" i="10"/>
  <c r="AX53" i="10"/>
  <c r="BA50" i="8"/>
  <c r="AX53" i="8"/>
  <c r="G66" i="4"/>
  <c r="BN7" i="4"/>
  <c r="O6" i="10"/>
  <c r="F15" i="10"/>
  <c r="O6" i="8"/>
  <c r="F15" i="8"/>
  <c r="N59" i="4"/>
  <c r="BG14" i="4"/>
  <c r="I6" i="10"/>
  <c r="F9" i="10"/>
  <c r="I6" i="8"/>
  <c r="F9" i="8"/>
  <c r="AA14" i="4"/>
  <c r="N27" i="4"/>
  <c r="D53" i="10"/>
  <c r="BA4" i="10"/>
  <c r="D53" i="8"/>
  <c r="BA4" i="8"/>
  <c r="D7" i="4"/>
  <c r="G4" i="4"/>
  <c r="X55" i="10"/>
  <c r="BC24" i="10"/>
  <c r="BC24" i="8"/>
  <c r="X55" i="8"/>
  <c r="U20" i="4"/>
  <c r="T21" i="4"/>
  <c r="AC14" i="8"/>
  <c r="N29" i="10"/>
  <c r="N29" i="8"/>
  <c r="AC14" i="10"/>
  <c r="AY50" i="4"/>
  <c r="AX51" i="4"/>
  <c r="D41" i="10"/>
  <c r="AO4" i="10"/>
  <c r="D41" i="8"/>
  <c r="AO4" i="8"/>
  <c r="AK4" i="4"/>
  <c r="D37" i="4"/>
  <c r="L35" i="10"/>
  <c r="AI12" i="10"/>
  <c r="L35" i="8"/>
  <c r="AI12" i="8"/>
  <c r="AV9" i="4"/>
  <c r="I48" i="4"/>
  <c r="AV61" i="10"/>
  <c r="BI48" i="10"/>
  <c r="AV61" i="8"/>
  <c r="BI48" i="8"/>
  <c r="AO46" i="4"/>
  <c r="AT41" i="4"/>
  <c r="U60" i="10"/>
  <c r="BH21" i="10"/>
  <c r="BH21" i="8"/>
  <c r="U60" i="8"/>
  <c r="AF17" i="4"/>
  <c r="Q32" i="4"/>
  <c r="H3" i="10"/>
  <c r="C8" i="10"/>
  <c r="C8" i="8"/>
  <c r="H3" i="8"/>
  <c r="C24" i="4"/>
  <c r="X3" i="4"/>
  <c r="AI62" i="10"/>
  <c r="BJ35" i="10"/>
  <c r="BJ35" i="8"/>
  <c r="AI62" i="8"/>
  <c r="AP9" i="4"/>
  <c r="I42" i="4"/>
  <c r="AL23" i="10"/>
  <c r="W38" i="10"/>
  <c r="W38" i="8"/>
  <c r="AL23" i="8"/>
  <c r="S12" i="4"/>
  <c r="L19" i="4"/>
  <c r="M64" i="10"/>
  <c r="BL13" i="10"/>
  <c r="BL13" i="8"/>
  <c r="M64" i="8"/>
  <c r="BB49" i="4"/>
  <c r="AW54" i="4"/>
  <c r="M56" i="10"/>
  <c r="BD13" i="8"/>
  <c r="M56" i="8"/>
  <c r="BD13" i="10"/>
  <c r="AW22" i="4"/>
  <c r="V49" i="4"/>
  <c r="AF65" i="10"/>
  <c r="BM32" i="10"/>
  <c r="BM32" i="8"/>
  <c r="AF65" i="8"/>
  <c r="BF55" i="4"/>
  <c r="BC58" i="4"/>
  <c r="AI56" i="10"/>
  <c r="BD35" i="10"/>
  <c r="BD35" i="8"/>
  <c r="AI56" i="8"/>
  <c r="V9" i="4"/>
  <c r="I22" i="4"/>
  <c r="C54" i="10"/>
  <c r="BB3" i="10"/>
  <c r="BB3" i="8"/>
  <c r="C8" i="4"/>
  <c r="H3" i="4"/>
  <c r="C54" i="8"/>
  <c r="AR53" i="10"/>
  <c r="BA44" i="10"/>
  <c r="BA44" i="8"/>
  <c r="AR53" i="8"/>
  <c r="AN7" i="4"/>
  <c r="G40" i="4"/>
  <c r="U36" i="10"/>
  <c r="AJ21" i="10"/>
  <c r="AJ21" i="8"/>
  <c r="U36" i="8"/>
  <c r="Q10" i="4"/>
  <c r="J17" i="4"/>
  <c r="T23" i="10"/>
  <c r="T23" i="8"/>
  <c r="W20" i="10"/>
  <c r="W20" i="8"/>
  <c r="S16" i="4"/>
  <c r="P19" i="4"/>
  <c r="P45" i="10"/>
  <c r="AS16" i="10"/>
  <c r="AS16" i="8"/>
  <c r="P45" i="8"/>
  <c r="BH43" i="4"/>
  <c r="AQ60" i="4"/>
  <c r="L45" i="10"/>
  <c r="AS12" i="10"/>
  <c r="L45" i="8"/>
  <c r="AS12" i="8"/>
  <c r="AV43" i="4"/>
  <c r="AQ48" i="4"/>
  <c r="AY54" i="10"/>
  <c r="BB51" i="10"/>
  <c r="BB51" i="8"/>
  <c r="AY54" i="8"/>
  <c r="E8" i="4"/>
  <c r="H5" i="4"/>
  <c r="D11" i="10"/>
  <c r="K4" i="10"/>
  <c r="D11" i="8"/>
  <c r="K4" i="8"/>
  <c r="D47" i="4"/>
  <c r="AU4" i="4"/>
  <c r="AI64" i="10"/>
  <c r="BL35" i="10"/>
  <c r="BL35" i="8"/>
  <c r="AI64" i="8"/>
  <c r="BB9" i="4"/>
  <c r="I54" i="4"/>
  <c r="AQ30" i="10"/>
  <c r="AQ30" i="8"/>
  <c r="AD43" i="8"/>
  <c r="AD43" i="10"/>
  <c r="AZ39" i="4"/>
  <c r="AM52" i="4"/>
  <c r="C38" i="10"/>
  <c r="AL3" i="10"/>
  <c r="C38" i="8"/>
  <c r="AL3" i="8"/>
  <c r="C12" i="4"/>
  <c r="L3" i="4"/>
  <c r="AE48" i="10"/>
  <c r="AV31" i="10"/>
  <c r="AV31" i="8"/>
  <c r="BE46" i="4"/>
  <c r="AE48" i="8"/>
  <c r="AT57" i="4"/>
  <c r="F55" i="10"/>
  <c r="BC6" i="10"/>
  <c r="BC6" i="8"/>
  <c r="F55" i="8"/>
  <c r="N21" i="4"/>
  <c r="U14" i="4"/>
  <c r="BK66" i="10"/>
  <c r="BN63" i="10"/>
  <c r="BK66" i="8"/>
  <c r="BN63" i="8"/>
  <c r="BA56" i="4"/>
  <c r="BD53" i="4"/>
  <c r="AC62" i="10"/>
  <c r="BJ29" i="10"/>
  <c r="BJ29" i="8"/>
  <c r="AC62" i="8"/>
  <c r="AY42" i="4"/>
  <c r="AP51" i="4"/>
  <c r="BF27" i="10"/>
  <c r="AA58" i="10"/>
  <c r="BF27" i="8"/>
  <c r="AA58" i="8"/>
  <c r="AI26" i="4"/>
  <c r="Z35" i="4"/>
  <c r="BM58" i="10"/>
  <c r="BF65" i="10"/>
  <c r="BM58" i="8"/>
  <c r="BF65" i="8"/>
  <c r="BC26" i="4"/>
  <c r="Z55" i="4"/>
  <c r="AB33" i="10"/>
  <c r="AG28" i="10"/>
  <c r="AG28" i="8"/>
  <c r="AB33" i="8"/>
  <c r="BK36" i="4"/>
  <c r="AJ63" i="4"/>
  <c r="AP45" i="10"/>
  <c r="AS42" i="10"/>
  <c r="AS42" i="8"/>
  <c r="AP45" i="8"/>
  <c r="AQ38" i="4"/>
  <c r="AL43" i="4"/>
  <c r="AC40" i="10"/>
  <c r="AN29" i="10"/>
  <c r="AN29" i="8"/>
  <c r="AC40" i="8"/>
  <c r="AY34" i="4"/>
  <c r="AH51" i="4"/>
  <c r="Y34" i="10"/>
  <c r="AH25" i="10"/>
  <c r="AH25" i="8"/>
  <c r="AC64" i="4"/>
  <c r="Y34" i="8"/>
  <c r="BL29" i="4"/>
  <c r="Y48" i="10"/>
  <c r="AV25" i="10"/>
  <c r="AV25" i="8"/>
  <c r="Y48" i="8"/>
  <c r="AC46" i="4"/>
  <c r="AT29" i="4"/>
  <c r="E54" i="10"/>
  <c r="BB5" i="8"/>
  <c r="E54" i="8"/>
  <c r="BB5" i="10"/>
  <c r="M8" i="4"/>
  <c r="H13" i="4"/>
  <c r="V41" i="10"/>
  <c r="AO22" i="10"/>
  <c r="V41" i="8"/>
  <c r="AO22" i="8"/>
  <c r="R37" i="4"/>
  <c r="AK18" i="4"/>
  <c r="C26" i="10"/>
  <c r="Z3" i="10"/>
  <c r="C26" i="8"/>
  <c r="Z3" i="8"/>
  <c r="C30" i="4"/>
  <c r="AD3" i="4"/>
  <c r="T39" i="10"/>
  <c r="AM20" i="10"/>
  <c r="AM20" i="8"/>
  <c r="T39" i="8"/>
  <c r="AG16" i="4"/>
  <c r="P33" i="4"/>
  <c r="AO40" i="10"/>
  <c r="AN41" i="10"/>
  <c r="AN41" i="8"/>
  <c r="AO40" i="8"/>
  <c r="AK34" i="4"/>
  <c r="AH37" i="4"/>
  <c r="AW64" i="10"/>
  <c r="BL49" i="10"/>
  <c r="AW64" i="8"/>
  <c r="BL49" i="8"/>
  <c r="BB65" i="4"/>
  <c r="BM54" i="4"/>
  <c r="AN59" i="10"/>
  <c r="BG40" i="10"/>
  <c r="BG40" i="8"/>
  <c r="AN59" i="8"/>
  <c r="AH31" i="4"/>
  <c r="AE34" i="4"/>
  <c r="AS60" i="10"/>
  <c r="BH45" i="8"/>
  <c r="AS60" i="8"/>
  <c r="BH45" i="10"/>
  <c r="AQ32" i="4"/>
  <c r="AF43" i="4"/>
  <c r="AT65" i="10"/>
  <c r="BM46" i="10"/>
  <c r="AT65" i="8"/>
  <c r="BM46" i="8"/>
  <c r="BC44" i="4"/>
  <c r="AR55" i="4"/>
  <c r="O30" i="10"/>
  <c r="AD15" i="10"/>
  <c r="AD15" i="8"/>
  <c r="O30" i="8"/>
  <c r="AZ59" i="4"/>
  <c r="BG52" i="4"/>
  <c r="AB63" i="10"/>
  <c r="BK28" i="10"/>
  <c r="BK28" i="8"/>
  <c r="AB63" i="8"/>
  <c r="BA36" i="4"/>
  <c r="AJ53" i="4"/>
  <c r="AN21" i="10"/>
  <c r="U40" i="10"/>
  <c r="AN21" i="8"/>
  <c r="U40" i="8"/>
  <c r="AH17" i="4"/>
  <c r="Q34" i="4"/>
  <c r="M40" i="10"/>
  <c r="AN13" i="10"/>
  <c r="AN13" i="8"/>
  <c r="M40" i="8"/>
  <c r="AW34" i="4"/>
  <c r="AH49" i="4"/>
  <c r="Y40" i="10"/>
  <c r="AN25" i="10"/>
  <c r="Y40" i="8"/>
  <c r="AN25" i="8"/>
  <c r="AC34" i="4"/>
  <c r="AH29" i="4"/>
  <c r="AF51" i="10"/>
  <c r="AY32" i="10"/>
  <c r="E58" i="4"/>
  <c r="AY32" i="8"/>
  <c r="AF51" i="8"/>
  <c r="BF5" i="4"/>
  <c r="BB57" i="10"/>
  <c r="BE54" i="10"/>
  <c r="BE54" i="8"/>
  <c r="BB57" i="8"/>
  <c r="Y8" i="4"/>
  <c r="H25" i="4"/>
  <c r="AF5" i="10"/>
  <c r="E32" i="10"/>
  <c r="E32" i="8"/>
  <c r="AF5" i="8"/>
  <c r="H15" i="2"/>
  <c r="BF13" i="4"/>
  <c r="M58" i="4"/>
  <c r="AT57" i="10"/>
  <c r="BE46" i="10"/>
  <c r="AT57" i="8"/>
  <c r="BE46" i="8"/>
  <c r="H24" i="2"/>
  <c r="F2" i="2"/>
  <c r="AR25" i="4"/>
  <c r="Y44" i="4"/>
  <c r="AP49" i="10"/>
  <c r="AW42" i="10"/>
  <c r="AP49" i="8"/>
  <c r="AW42" i="8"/>
  <c r="F29" i="2"/>
  <c r="H19" i="2"/>
  <c r="BM38" i="4"/>
  <c r="AL65" i="4"/>
  <c r="AS58" i="10"/>
  <c r="BF45" i="10"/>
  <c r="BF45" i="8"/>
  <c r="AS58" i="8"/>
  <c r="F24" i="2"/>
  <c r="AQ26" i="4"/>
  <c r="Z43" i="4"/>
  <c r="R49" i="4"/>
  <c r="J17" i="10"/>
  <c r="Q10" i="10"/>
  <c r="J17" i="8"/>
  <c r="Q10" i="8"/>
  <c r="AB61" i="4"/>
  <c r="BI28" i="4"/>
  <c r="AG38" i="10"/>
  <c r="AL33" i="10"/>
  <c r="AL33" i="8"/>
  <c r="AG38" i="8"/>
  <c r="BK12" i="4"/>
  <c r="L63" i="4"/>
  <c r="AU18" i="10"/>
  <c r="R47" i="10"/>
  <c r="AU18" i="8"/>
  <c r="R47" i="8"/>
  <c r="AS62" i="4"/>
  <c r="BJ45" i="4"/>
  <c r="Z59" i="10"/>
  <c r="BG26" i="10"/>
  <c r="BG26" i="8"/>
  <c r="Z59" i="8"/>
  <c r="AD31" i="4"/>
  <c r="AE30" i="4"/>
  <c r="BC60" i="10"/>
  <c r="BH55" i="8"/>
  <c r="BC60" i="8"/>
  <c r="BH55" i="10"/>
  <c r="U32" i="4"/>
  <c r="AF21" i="4"/>
  <c r="C40" i="10"/>
  <c r="AN3" i="10"/>
  <c r="C40" i="8"/>
  <c r="AN3" i="8"/>
  <c r="C34" i="4"/>
  <c r="AH3" i="4"/>
  <c r="G54" i="10"/>
  <c r="BB7" i="10"/>
  <c r="BB7" i="8"/>
  <c r="G54" i="8"/>
  <c r="W8" i="4"/>
  <c r="H23" i="4"/>
  <c r="F59" i="10"/>
  <c r="BG6" i="10"/>
  <c r="BG6" i="8"/>
  <c r="F59" i="8"/>
  <c r="AE14" i="4"/>
  <c r="N31" i="4"/>
  <c r="M34" i="10"/>
  <c r="AH13" i="10"/>
  <c r="M34" i="8"/>
  <c r="AH13" i="8"/>
  <c r="AW64" i="4"/>
  <c r="BL49" i="4"/>
  <c r="AU50" i="10"/>
  <c r="AX47" i="10"/>
  <c r="AU50" i="8"/>
  <c r="AX47" i="8"/>
  <c r="BN45" i="4"/>
  <c r="AS66" i="4"/>
  <c r="AT55" i="10"/>
  <c r="BC46" i="10"/>
  <c r="AT55" i="8"/>
  <c r="BC46" i="8"/>
  <c r="AR21" i="4"/>
  <c r="U44" i="4"/>
  <c r="J31" i="10"/>
  <c r="AE10" i="10"/>
  <c r="J31" i="8"/>
  <c r="AE10" i="8"/>
  <c r="BE28" i="4"/>
  <c r="AB57" i="4"/>
  <c r="AF7" i="10"/>
  <c r="G32" i="10"/>
  <c r="G32" i="8"/>
  <c r="AF7" i="8"/>
  <c r="W58" i="4"/>
  <c r="BF23" i="4"/>
  <c r="F63" i="10"/>
  <c r="BK6" i="10"/>
  <c r="BK6" i="8"/>
  <c r="F63" i="8"/>
  <c r="BA14" i="4"/>
  <c r="N53" i="4"/>
  <c r="Q28" i="10"/>
  <c r="AB17" i="10"/>
  <c r="Q28" i="8"/>
  <c r="AB17" i="8"/>
  <c r="AJ61" i="4"/>
  <c r="BI36" i="4"/>
  <c r="D45" i="10"/>
  <c r="AS4" i="10"/>
  <c r="D45" i="8"/>
  <c r="AS4" i="8"/>
  <c r="AQ4" i="4"/>
  <c r="D43" i="4"/>
  <c r="AO66" i="10"/>
  <c r="BN41" i="10"/>
  <c r="BN41" i="8"/>
  <c r="AO66" i="8"/>
  <c r="BD37" i="4"/>
  <c r="AK56" i="4"/>
  <c r="AK46" i="10"/>
  <c r="AT37" i="10"/>
  <c r="AK46" i="8"/>
  <c r="AR11" i="4"/>
  <c r="K44" i="4"/>
  <c r="AT37" i="8"/>
  <c r="AH43" i="10"/>
  <c r="AQ34" i="10"/>
  <c r="AQ34" i="8"/>
  <c r="AH43" i="8"/>
  <c r="BL39" i="4"/>
  <c r="AM64" i="4"/>
  <c r="X17" i="10"/>
  <c r="Q24" i="10"/>
  <c r="Q24" i="8"/>
  <c r="X17" i="8"/>
  <c r="BI20" i="4"/>
  <c r="T61" i="4"/>
  <c r="P35" i="10"/>
  <c r="AI16" i="10"/>
  <c r="AI16" i="8"/>
  <c r="P35" i="8"/>
  <c r="BH9" i="4"/>
  <c r="I60" i="4"/>
  <c r="AA50" i="10"/>
  <c r="AX27" i="10"/>
  <c r="AX27" i="8"/>
  <c r="AA50" i="8"/>
  <c r="BN35" i="4"/>
  <c r="AI66" i="4"/>
  <c r="S38" i="10"/>
  <c r="AL19" i="10"/>
  <c r="AL19" i="8"/>
  <c r="S38" i="8"/>
  <c r="O12" i="4"/>
  <c r="L15" i="4"/>
  <c r="BA58" i="10"/>
  <c r="BF53" i="10"/>
  <c r="BF53" i="8"/>
  <c r="BA58" i="8"/>
  <c r="Z7" i="4"/>
  <c r="G26" i="4"/>
  <c r="U56" i="10"/>
  <c r="BD21" i="10"/>
  <c r="BD21" i="8"/>
  <c r="U56" i="8"/>
  <c r="V17" i="4"/>
  <c r="Q22" i="4"/>
  <c r="I54" i="10"/>
  <c r="BB9" i="10"/>
  <c r="BB9" i="8"/>
  <c r="I54" i="8"/>
  <c r="AA8" i="4"/>
  <c r="H27" i="4"/>
  <c r="I38" i="10"/>
  <c r="AL9" i="10"/>
  <c r="AL9" i="8"/>
  <c r="I38" i="8"/>
  <c r="AA12" i="4"/>
  <c r="L27" i="4"/>
  <c r="AJ19" i="10"/>
  <c r="S36" i="10"/>
  <c r="S36" i="8"/>
  <c r="AJ19" i="8"/>
  <c r="O10" i="4"/>
  <c r="J15" i="4"/>
  <c r="Y60" i="10"/>
  <c r="BH25" i="10"/>
  <c r="BH25" i="8"/>
  <c r="Y60" i="8"/>
  <c r="AC32" i="4"/>
  <c r="AF29" i="4"/>
  <c r="R65" i="10"/>
  <c r="BM18" i="10"/>
  <c r="BM18" i="8"/>
  <c r="R65" i="8"/>
  <c r="BC62" i="4"/>
  <c r="BJ55" i="4"/>
  <c r="AH41" i="10"/>
  <c r="AO34" i="10"/>
  <c r="AO34" i="8"/>
  <c r="AH41" i="8"/>
  <c r="BL37" i="4"/>
  <c r="AK64" i="4"/>
  <c r="O56" i="10"/>
  <c r="BD15" i="10"/>
  <c r="BD15" i="8"/>
  <c r="O56" i="8"/>
  <c r="BG22" i="4"/>
  <c r="V59" i="4"/>
  <c r="U64" i="10"/>
  <c r="BL21" i="10"/>
  <c r="BL21" i="8"/>
  <c r="U64" i="8"/>
  <c r="BB17" i="4"/>
  <c r="Q54" i="4"/>
  <c r="S50" i="10"/>
  <c r="AX19" i="10"/>
  <c r="AX19" i="8"/>
  <c r="S50" i="8"/>
  <c r="BN15" i="4"/>
  <c r="O66" i="4"/>
  <c r="AJ59" i="10"/>
  <c r="BG36" i="10"/>
  <c r="BG36" i="8"/>
  <c r="AJ59" i="8"/>
  <c r="AE10" i="4"/>
  <c r="J31" i="4"/>
  <c r="T41" i="10"/>
  <c r="AO20" i="10"/>
  <c r="AO20" i="8"/>
  <c r="T41" i="8"/>
  <c r="AK16" i="4"/>
  <c r="P37" i="4"/>
  <c r="T47" i="10"/>
  <c r="AU20" i="10"/>
  <c r="AU20" i="8"/>
  <c r="T47" i="8"/>
  <c r="AS16" i="4"/>
  <c r="P45" i="4"/>
  <c r="AP43" i="10"/>
  <c r="AQ42" i="10"/>
  <c r="AP43" i="8"/>
  <c r="AQ42" i="8"/>
  <c r="AL39" i="4"/>
  <c r="AM38" i="4"/>
  <c r="O46" i="10"/>
  <c r="AT15" i="10"/>
  <c r="AT15" i="8"/>
  <c r="O46" i="8"/>
  <c r="BG44" i="4"/>
  <c r="AR59" i="4"/>
  <c r="AU60" i="10"/>
  <c r="BH47" i="10"/>
  <c r="AU60" i="8"/>
  <c r="BH47" i="8"/>
  <c r="AS32" i="4"/>
  <c r="AF45" i="4"/>
  <c r="Y38" i="10"/>
  <c r="AL25" i="10"/>
  <c r="AL25" i="8"/>
  <c r="Y38" i="8"/>
  <c r="AC12" i="4"/>
  <c r="L29" i="4"/>
  <c r="G48" i="10"/>
  <c r="AV7" i="10"/>
  <c r="AV7" i="8"/>
  <c r="G48" i="8"/>
  <c r="AT23" i="4"/>
  <c r="W46" i="4"/>
  <c r="O40" i="10"/>
  <c r="AN15" i="10"/>
  <c r="AN15" i="8"/>
  <c r="O40" i="8"/>
  <c r="BG34" i="4"/>
  <c r="AH59" i="4"/>
  <c r="P53" i="10"/>
  <c r="BA16" i="10"/>
  <c r="BA16" i="8"/>
  <c r="P53" i="8"/>
  <c r="BH7" i="4"/>
  <c r="G60" i="4"/>
  <c r="T43" i="10"/>
  <c r="AQ20" i="10"/>
  <c r="AQ20" i="8"/>
  <c r="T43" i="8"/>
  <c r="AM16" i="4"/>
  <c r="P39" i="4"/>
  <c r="D19" i="10"/>
  <c r="S4" i="10"/>
  <c r="D19" i="8"/>
  <c r="S4" i="8"/>
  <c r="O4" i="4"/>
  <c r="D15" i="4"/>
  <c r="BL47" i="10"/>
  <c r="AU64" i="10"/>
  <c r="BL47" i="8"/>
  <c r="AU64" i="8"/>
  <c r="BB45" i="4"/>
  <c r="AS54" i="4"/>
  <c r="BD51" i="10"/>
  <c r="AY56" i="10"/>
  <c r="BD51" i="8"/>
  <c r="AY56" i="8"/>
  <c r="V5" i="4"/>
  <c r="E22" i="4"/>
  <c r="AV65" i="10"/>
  <c r="BM48" i="10"/>
  <c r="BM48" i="8"/>
  <c r="AV65" i="8"/>
  <c r="BC46" i="4"/>
  <c r="AT55" i="4"/>
  <c r="E58" i="10"/>
  <c r="BF5" i="10"/>
  <c r="BF5" i="8"/>
  <c r="E58" i="8"/>
  <c r="Z13" i="4"/>
  <c r="M26" i="4"/>
  <c r="BB35" i="10"/>
  <c r="BB35" i="8"/>
  <c r="AI54" i="8"/>
  <c r="AI54" i="10"/>
  <c r="I8" i="4"/>
  <c r="H9" i="4"/>
  <c r="S54" i="10"/>
  <c r="BB19" i="10"/>
  <c r="BB19" i="8"/>
  <c r="S54" i="8"/>
  <c r="O8" i="4"/>
  <c r="H15" i="4"/>
  <c r="G50" i="10"/>
  <c r="AX7" i="10"/>
  <c r="AX7" i="8"/>
  <c r="G50" i="8"/>
  <c r="BN23" i="4"/>
  <c r="W66" i="4"/>
  <c r="AR55" i="10"/>
  <c r="BC44" i="10"/>
  <c r="BC44" i="8"/>
  <c r="AR55" i="8"/>
  <c r="AN21" i="4"/>
  <c r="U40" i="4"/>
  <c r="BF63" i="10"/>
  <c r="BK58" i="10"/>
  <c r="BK58" i="8"/>
  <c r="BF63" i="8"/>
  <c r="BA26" i="4"/>
  <c r="Z53" i="4"/>
  <c r="AF53" i="10"/>
  <c r="BA32" i="10"/>
  <c r="BA32" i="8"/>
  <c r="AF53" i="8"/>
  <c r="BF7" i="4"/>
  <c r="G58" i="4"/>
  <c r="D33" i="10"/>
  <c r="AG4" i="10"/>
  <c r="D33" i="8"/>
  <c r="AG4" i="8"/>
  <c r="D63" i="4"/>
  <c r="BK4" i="4"/>
  <c r="AE60" i="10"/>
  <c r="BH31" i="10"/>
  <c r="BH31" i="8"/>
  <c r="AE60" i="8"/>
  <c r="AF57" i="4"/>
  <c r="BE32" i="4"/>
  <c r="AC54" i="10"/>
  <c r="BB29" i="10"/>
  <c r="BB29" i="8"/>
  <c r="AC54" i="8"/>
  <c r="AY8" i="4"/>
  <c r="H51" i="4"/>
  <c r="BB31" i="10"/>
  <c r="AE54" i="10"/>
  <c r="AE54" i="8"/>
  <c r="BB31" i="8"/>
  <c r="BE8" i="4"/>
  <c r="H57" i="4"/>
  <c r="BH61" i="10"/>
  <c r="BI60" i="10"/>
  <c r="BH61" i="8"/>
  <c r="BI60" i="8"/>
  <c r="AO32" i="4"/>
  <c r="AF41" i="4"/>
  <c r="AJ41" i="10"/>
  <c r="AO36" i="10"/>
  <c r="AJ41" i="8"/>
  <c r="AO36" i="8"/>
  <c r="AK10" i="4"/>
  <c r="J37" i="4"/>
  <c r="AJ17" i="10"/>
  <c r="Q36" i="10"/>
  <c r="AJ17" i="8"/>
  <c r="Q36" i="8"/>
  <c r="J61" i="4"/>
  <c r="BI10" i="4"/>
  <c r="L7" i="10"/>
  <c r="G12" i="10"/>
  <c r="L7" i="8"/>
  <c r="G12" i="8"/>
  <c r="AV23" i="4"/>
  <c r="W48" i="4"/>
  <c r="BM54" i="10"/>
  <c r="BB65" i="10"/>
  <c r="BM54" i="8"/>
  <c r="BB65" i="8"/>
  <c r="BC8" i="4"/>
  <c r="H55" i="4"/>
  <c r="U32" i="10"/>
  <c r="AF21" i="10"/>
  <c r="AF21" i="8"/>
  <c r="U32" i="8"/>
  <c r="BF17" i="4"/>
  <c r="Q58" i="4"/>
  <c r="C20" i="10"/>
  <c r="T3" i="10"/>
  <c r="C20" i="8"/>
  <c r="T3" i="8"/>
  <c r="C16" i="4"/>
  <c r="P3" i="4"/>
  <c r="AF13" i="8"/>
  <c r="M32" i="8"/>
  <c r="M32" i="10"/>
  <c r="AF13" i="10"/>
  <c r="F26" i="2"/>
  <c r="BF49" i="4"/>
  <c r="AW58" i="4"/>
  <c r="S30" i="10"/>
  <c r="AD19" i="10"/>
  <c r="AD19" i="8"/>
  <c r="S30" i="8"/>
  <c r="AZ15" i="4"/>
  <c r="O52" i="4"/>
  <c r="BN55" i="10"/>
  <c r="BC66" i="10"/>
  <c r="BN55" i="8"/>
  <c r="BC66" i="8"/>
  <c r="F17" i="2"/>
  <c r="BD21" i="4"/>
  <c r="U56" i="4"/>
  <c r="BF61" i="10"/>
  <c r="BF61" i="8"/>
  <c r="BI58" i="10"/>
  <c r="BI58" i="8"/>
  <c r="AO26" i="4"/>
  <c r="Z41" i="4"/>
  <c r="BI64" i="10"/>
  <c r="BL61" i="10"/>
  <c r="BI64" i="8"/>
  <c r="BL61" i="8"/>
  <c r="AO54" i="4"/>
  <c r="F11" i="2"/>
  <c r="H8" i="2"/>
  <c r="BB41" i="4"/>
  <c r="V13" i="8"/>
  <c r="AR19" i="10"/>
  <c r="S44" i="10"/>
  <c r="AR19" i="8"/>
  <c r="S44" i="8"/>
  <c r="AN15" i="4"/>
  <c r="O40" i="4"/>
  <c r="G22" i="10"/>
  <c r="V7" i="10"/>
  <c r="V7" i="8"/>
  <c r="G22" i="8"/>
  <c r="R23" i="4"/>
  <c r="W18" i="4"/>
  <c r="AH55" i="10"/>
  <c r="BC34" i="8"/>
  <c r="AH55" i="8"/>
  <c r="BC34" i="10"/>
  <c r="BL21" i="4"/>
  <c r="U64" i="4"/>
  <c r="AA18" i="10"/>
  <c r="AA18" i="8"/>
  <c r="R27" i="8"/>
  <c r="R27" i="10"/>
  <c r="BJ35" i="4"/>
  <c r="AI62" i="4"/>
  <c r="AV53" i="10"/>
  <c r="BA48" i="10"/>
  <c r="BA48" i="8"/>
  <c r="AV53" i="8"/>
  <c r="AT7" i="4"/>
  <c r="G46" i="4"/>
  <c r="BL17" i="10"/>
  <c r="Q64" i="10"/>
  <c r="BL17" i="8"/>
  <c r="Q64" i="8"/>
  <c r="BB61" i="4"/>
  <c r="BI54" i="4"/>
  <c r="D27" i="10"/>
  <c r="AA4" i="10"/>
  <c r="D27" i="8"/>
  <c r="AA4" i="8"/>
  <c r="AI4" i="4"/>
  <c r="D35" i="4"/>
  <c r="AS56" i="10"/>
  <c r="BD45" i="10"/>
  <c r="BD45" i="8"/>
  <c r="AS56" i="8"/>
  <c r="AQ22" i="4"/>
  <c r="V43" i="4"/>
  <c r="AG48" i="10"/>
  <c r="AV33" i="10"/>
  <c r="AV33" i="8"/>
  <c r="AG48" i="8"/>
  <c r="BK46" i="4"/>
  <c r="AT63" i="4"/>
  <c r="V47" i="10"/>
  <c r="AU22" i="10"/>
  <c r="AU22" i="8"/>
  <c r="V47" i="8"/>
  <c r="AS18" i="4"/>
  <c r="R45" i="4"/>
  <c r="E42" i="10"/>
  <c r="AP5" i="10"/>
  <c r="AP5" i="8"/>
  <c r="E42" i="8"/>
  <c r="AL13" i="4"/>
  <c r="M38" i="4"/>
  <c r="Z45" i="10"/>
  <c r="AS26" i="10"/>
  <c r="AS26" i="8"/>
  <c r="Z45" i="8"/>
  <c r="AQ30" i="4"/>
  <c r="AD43" i="4"/>
  <c r="AO30" i="10"/>
  <c r="AO30" i="8"/>
  <c r="AD41" i="8"/>
  <c r="AD41" i="10"/>
  <c r="AZ37" i="4"/>
  <c r="AK52" i="4"/>
  <c r="BB63" i="10"/>
  <c r="BK54" i="10"/>
  <c r="BK54" i="8"/>
  <c r="BB63" i="8"/>
  <c r="BA8" i="4"/>
  <c r="H53" i="4"/>
  <c r="D59" i="10"/>
  <c r="BG4" i="10"/>
  <c r="D59" i="8"/>
  <c r="BG4" i="8"/>
  <c r="D31" i="4"/>
  <c r="AE4" i="4"/>
  <c r="BM40" i="10"/>
  <c r="BM40" i="8"/>
  <c r="AN65" i="10"/>
  <c r="AN65" i="8"/>
  <c r="BC34" i="4"/>
  <c r="AH55" i="4"/>
  <c r="AB55" i="10"/>
  <c r="BC28" i="10"/>
  <c r="BC28" i="8"/>
  <c r="AB55" i="8"/>
  <c r="AJ21" i="4"/>
  <c r="U36" i="4"/>
  <c r="H65" i="10"/>
  <c r="BM8" i="10"/>
  <c r="BM8" i="8"/>
  <c r="H65" i="8"/>
  <c r="BC24" i="4"/>
  <c r="X55" i="4"/>
  <c r="I46" i="10"/>
  <c r="AT9" i="8"/>
  <c r="AT9" i="10"/>
  <c r="I46" i="8"/>
  <c r="AR27" i="4"/>
  <c r="AA44" i="4"/>
  <c r="AS52" i="10"/>
  <c r="AZ45" i="10"/>
  <c r="AS52" i="8"/>
  <c r="AZ45" i="8"/>
  <c r="AQ6" i="4"/>
  <c r="F43" i="4"/>
  <c r="AQ4" i="10"/>
  <c r="D43" i="10"/>
  <c r="D43" i="8"/>
  <c r="AQ4" i="8"/>
  <c r="D39" i="4"/>
  <c r="AM4" i="4"/>
  <c r="T51" i="10"/>
  <c r="AY20" i="10"/>
  <c r="E16" i="4"/>
  <c r="T51" i="8"/>
  <c r="AY20" i="8"/>
  <c r="P5" i="4"/>
  <c r="H41" i="10"/>
  <c r="AO8" i="10"/>
  <c r="AO8" i="8"/>
  <c r="H41" i="8"/>
  <c r="AK24" i="4"/>
  <c r="X37" i="4"/>
  <c r="G28" i="10"/>
  <c r="AB7" i="10"/>
  <c r="G28" i="8"/>
  <c r="AB7" i="8"/>
  <c r="AJ23" i="4"/>
  <c r="W36" i="4"/>
  <c r="V37" i="10"/>
  <c r="AK22" i="10"/>
  <c r="V37" i="8"/>
  <c r="AK22" i="8"/>
  <c r="K18" i="4"/>
  <c r="R11" i="4"/>
  <c r="BE60" i="10"/>
  <c r="BH57" i="10"/>
  <c r="BE60" i="8"/>
  <c r="BH57" i="8"/>
  <c r="AF25" i="4"/>
  <c r="Y32" i="4"/>
  <c r="O54" i="10"/>
  <c r="BB15" i="10"/>
  <c r="BB15" i="8"/>
  <c r="O54" i="8"/>
  <c r="BG8" i="4"/>
  <c r="H59" i="4"/>
  <c r="AV35" i="10"/>
  <c r="AI48" i="10"/>
  <c r="AV35" i="8"/>
  <c r="AI48" i="8"/>
  <c r="AT9" i="4"/>
  <c r="I46" i="4"/>
  <c r="J11" i="10"/>
  <c r="J11" i="8"/>
  <c r="K10" i="10"/>
  <c r="K10" i="8"/>
  <c r="AB47" i="4"/>
  <c r="AU28" i="4"/>
  <c r="AC64" i="10"/>
  <c r="BL29" i="10"/>
  <c r="BL29" i="8"/>
  <c r="AC64" i="8"/>
  <c r="BB51" i="4"/>
  <c r="AY54" i="4"/>
  <c r="O52" i="10"/>
  <c r="AZ15" i="10"/>
  <c r="AZ15" i="8"/>
  <c r="O52" i="8"/>
  <c r="F59" i="4"/>
  <c r="BG6" i="4"/>
  <c r="O44" i="10"/>
  <c r="AR15" i="10"/>
  <c r="O44" i="8"/>
  <c r="AR15" i="8"/>
  <c r="BG40" i="4"/>
  <c r="AN59" i="4"/>
  <c r="E10" i="10"/>
  <c r="J5" i="10"/>
  <c r="J5" i="8"/>
  <c r="E10" i="8"/>
  <c r="AB13" i="4"/>
  <c r="M28" i="4"/>
  <c r="BC8" i="10"/>
  <c r="H55" i="10"/>
  <c r="BC8" i="8"/>
  <c r="H55" i="8"/>
  <c r="X21" i="4"/>
  <c r="U24" i="4"/>
  <c r="AZ39" i="10"/>
  <c r="AM52" i="10"/>
  <c r="AZ39" i="8"/>
  <c r="AM52" i="8"/>
  <c r="AG6" i="4"/>
  <c r="F33" i="4"/>
  <c r="AQ62" i="10"/>
  <c r="BJ43" i="10"/>
  <c r="AQ62" i="8"/>
  <c r="BJ43" i="8"/>
  <c r="AP39" i="4"/>
  <c r="AM42" i="4"/>
  <c r="AN45" i="10"/>
  <c r="AS40" i="10"/>
  <c r="AS40" i="8"/>
  <c r="AN45" i="8"/>
  <c r="AQ34" i="4"/>
  <c r="AH43" i="4"/>
  <c r="AM54" i="10"/>
  <c r="BB39" i="8"/>
  <c r="AM54" i="8"/>
  <c r="BB39" i="10"/>
  <c r="AG8" i="4"/>
  <c r="H33" i="4"/>
  <c r="BL5" i="10"/>
  <c r="E64" i="10"/>
  <c r="BL5" i="8"/>
  <c r="E64" i="8"/>
  <c r="BB13" i="4"/>
  <c r="M54" i="4"/>
  <c r="D17" i="10"/>
  <c r="Q4" i="10"/>
  <c r="D17" i="8"/>
  <c r="Q4" i="8"/>
  <c r="D61" i="4"/>
  <c r="BI4" i="4"/>
  <c r="N31" i="10"/>
  <c r="AE14" i="10"/>
  <c r="AE14" i="8"/>
  <c r="N31" i="8"/>
  <c r="BE50" i="4"/>
  <c r="AX57" i="4"/>
  <c r="Q26" i="10"/>
  <c r="Z17" i="10"/>
  <c r="Z17" i="8"/>
  <c r="Q26" i="8"/>
  <c r="AD61" i="4"/>
  <c r="BI30" i="4"/>
  <c r="AF41" i="10"/>
  <c r="AO32" i="10"/>
  <c r="AO32" i="8"/>
  <c r="AF41" i="8"/>
  <c r="AK58" i="4"/>
  <c r="BF37" i="4"/>
  <c r="G46" i="10"/>
  <c r="AT7" i="10"/>
  <c r="AT7" i="8"/>
  <c r="G46" i="8"/>
  <c r="AR23" i="4"/>
  <c r="W44" i="4"/>
  <c r="U16" i="10"/>
  <c r="P21" i="8"/>
  <c r="U16" i="8"/>
  <c r="P21" i="10"/>
  <c r="BH17" i="4"/>
  <c r="Q60" i="4"/>
  <c r="AY66" i="8"/>
  <c r="BN51" i="8"/>
  <c r="BN51" i="10"/>
  <c r="AY66" i="10"/>
  <c r="BD5" i="4"/>
  <c r="E56" i="4"/>
  <c r="BI52" i="10"/>
  <c r="AZ61" i="10"/>
  <c r="BI52" i="8"/>
  <c r="AZ61" i="8"/>
  <c r="F41" i="4"/>
  <c r="AO6" i="4"/>
  <c r="L19" i="10"/>
  <c r="L19" i="8"/>
  <c r="S12" i="8"/>
  <c r="S12" i="10"/>
  <c r="AV15" i="4"/>
  <c r="O48" i="4"/>
  <c r="BB49" i="10"/>
  <c r="AW54" i="10"/>
  <c r="BB49" i="8"/>
  <c r="AW54" i="8"/>
  <c r="BM8" i="4"/>
  <c r="H65" i="4"/>
  <c r="AA46" i="10"/>
  <c r="AT27" i="10"/>
  <c r="AA46" i="8"/>
  <c r="AT27" i="8"/>
  <c r="AR35" i="4"/>
  <c r="AI44" i="4"/>
  <c r="AO52" i="10"/>
  <c r="AZ41" i="10"/>
  <c r="AZ41" i="8"/>
  <c r="AO52" i="8"/>
  <c r="F37" i="4"/>
  <c r="AK6" i="4"/>
  <c r="X35" i="10"/>
  <c r="AI24" i="10"/>
  <c r="X35" i="8"/>
  <c r="AI24" i="8"/>
  <c r="I20" i="4"/>
  <c r="T9" i="4"/>
  <c r="BG8" i="10"/>
  <c r="H59" i="10"/>
  <c r="BG8" i="8"/>
  <c r="H59" i="8"/>
  <c r="X31" i="4"/>
  <c r="AE24" i="4"/>
  <c r="C28" i="10"/>
  <c r="AB3" i="10"/>
  <c r="C28" i="8"/>
  <c r="AB3" i="8"/>
  <c r="C36" i="4"/>
  <c r="AJ3" i="4"/>
  <c r="BD7" i="10"/>
  <c r="G56" i="10"/>
  <c r="BD7" i="8"/>
  <c r="G56" i="8"/>
  <c r="V23" i="4"/>
  <c r="W22" i="4"/>
  <c r="O20" i="10"/>
  <c r="T15" i="10"/>
  <c r="O20" i="8"/>
  <c r="T15" i="8"/>
  <c r="P59" i="4"/>
  <c r="BG16" i="4"/>
  <c r="BD57" i="10"/>
  <c r="BE56" i="10"/>
  <c r="BD57" i="8"/>
  <c r="BE56" i="8"/>
  <c r="Y22" i="4"/>
  <c r="V25" i="4"/>
  <c r="AP33" i="10"/>
  <c r="AG42" i="10"/>
  <c r="AP33" i="8"/>
  <c r="AG42" i="8"/>
  <c r="F4" i="2"/>
  <c r="BK38" i="4"/>
  <c r="AL63" i="4"/>
  <c r="BL39" i="10"/>
  <c r="AM64" i="10"/>
  <c r="BL39" i="8"/>
  <c r="AM64" i="8"/>
  <c r="BB33" i="4"/>
  <c r="AG54" i="4"/>
  <c r="BD59" i="10"/>
  <c r="BG56" i="10"/>
  <c r="BG56" i="8"/>
  <c r="BD59" i="8"/>
  <c r="AE22" i="4"/>
  <c r="H17" i="2"/>
  <c r="V31" i="4"/>
  <c r="M22" i="8"/>
  <c r="AL57" i="10"/>
  <c r="BE38" i="10"/>
  <c r="BE38" i="8"/>
  <c r="AL57" i="8"/>
  <c r="Y12" i="4"/>
  <c r="L25" i="4"/>
  <c r="AX65" i="10"/>
  <c r="BM50" i="10"/>
  <c r="AX65" i="8"/>
  <c r="BM50" i="8"/>
  <c r="BN55" i="4"/>
  <c r="BC66" i="4"/>
  <c r="AR57" i="10"/>
  <c r="BE44" i="10"/>
  <c r="BE44" i="8"/>
  <c r="AR57" i="8"/>
  <c r="AN25" i="4"/>
  <c r="Y40" i="4"/>
  <c r="AN43" i="10"/>
  <c r="AQ40" i="10"/>
  <c r="AN43" i="8"/>
  <c r="AQ40" i="8"/>
  <c r="AM34" i="4"/>
  <c r="AH39" i="4"/>
  <c r="AS50" i="10"/>
  <c r="AX45" i="10"/>
  <c r="AS50" i="8"/>
  <c r="AX45" i="8"/>
  <c r="AQ66" i="4"/>
  <c r="BN43" i="4"/>
  <c r="AG64" i="10"/>
  <c r="BL33" i="10"/>
  <c r="BL33" i="8"/>
  <c r="AG64" i="8"/>
  <c r="BK54" i="4"/>
  <c r="BB63" i="4"/>
  <c r="X51" i="10"/>
  <c r="AY24" i="10"/>
  <c r="X51" i="8"/>
  <c r="AY24" i="8"/>
  <c r="E20" i="4"/>
  <c r="T5" i="4"/>
  <c r="AN11" i="10"/>
  <c r="K40" i="10"/>
  <c r="AN11" i="8"/>
  <c r="K40" i="8"/>
  <c r="AU34" i="4"/>
  <c r="AH47" i="4"/>
  <c r="J25" i="10"/>
  <c r="Y10" i="10"/>
  <c r="Y10" i="8"/>
  <c r="J25" i="8"/>
  <c r="AB29" i="4"/>
  <c r="AC28" i="4"/>
  <c r="N23" i="10"/>
  <c r="W14" i="10"/>
  <c r="W14" i="8"/>
  <c r="N23" i="8"/>
  <c r="AX19" i="4"/>
  <c r="S50" i="4"/>
  <c r="F53" i="10"/>
  <c r="BA6" i="10"/>
  <c r="BA6" i="8"/>
  <c r="F53" i="8"/>
  <c r="G14" i="4"/>
  <c r="N7" i="4"/>
  <c r="W44" i="10"/>
  <c r="AR23" i="10"/>
  <c r="AR23" i="8"/>
  <c r="W44" i="8"/>
  <c r="AN19" i="4"/>
  <c r="S40" i="4"/>
  <c r="U20" i="10"/>
  <c r="T21" i="10"/>
  <c r="T21" i="8"/>
  <c r="U20" i="8"/>
  <c r="Q16" i="4"/>
  <c r="P17" i="4"/>
  <c r="BD53" i="10"/>
  <c r="BA56" i="10"/>
  <c r="BD53" i="8"/>
  <c r="BA56" i="8"/>
  <c r="V7" i="4"/>
  <c r="G22" i="4"/>
  <c r="AJ25" i="8"/>
  <c r="Y36" i="8"/>
  <c r="AJ25" i="10"/>
  <c r="Y36" i="10"/>
  <c r="AC10" i="4"/>
  <c r="J29" i="4"/>
  <c r="AD55" i="10"/>
  <c r="BC30" i="10"/>
  <c r="BC30" i="8"/>
  <c r="AD55" i="8"/>
  <c r="U52" i="4"/>
  <c r="AZ21" i="4"/>
  <c r="BH27" i="10"/>
  <c r="AA60" i="10"/>
  <c r="BH27" i="8"/>
  <c r="AA60" i="8"/>
  <c r="AI32" i="4"/>
  <c r="AF35" i="4"/>
  <c r="AV55" i="10"/>
  <c r="BC48" i="10"/>
  <c r="BC48" i="8"/>
  <c r="AV55" i="8"/>
  <c r="AT21" i="4"/>
  <c r="U46" i="4"/>
  <c r="AG18" i="10"/>
  <c r="R33" i="10"/>
  <c r="R33" i="8"/>
  <c r="AG18" i="8"/>
  <c r="BK62" i="4"/>
  <c r="BJ63" i="4"/>
  <c r="V17" i="10"/>
  <c r="Q22" i="10"/>
  <c r="Q22" i="8"/>
  <c r="V17" i="8"/>
  <c r="BI18" i="4"/>
  <c r="R61" i="4"/>
  <c r="P17" i="10"/>
  <c r="Q16" i="10"/>
  <c r="P17" i="8"/>
  <c r="Q16" i="8"/>
  <c r="BI60" i="4"/>
  <c r="BH61" i="4"/>
  <c r="AM60" i="10"/>
  <c r="BH39" i="10"/>
  <c r="BH39" i="8"/>
  <c r="AM60" i="8"/>
  <c r="AG32" i="4"/>
  <c r="AF33" i="4"/>
  <c r="W52" i="10"/>
  <c r="AZ23" i="10"/>
  <c r="AZ23" i="8"/>
  <c r="W52" i="8"/>
  <c r="F19" i="4"/>
  <c r="S6" i="4"/>
  <c r="AW32" i="10"/>
  <c r="AW32" i="8"/>
  <c r="AF49" i="8"/>
  <c r="AF49" i="10"/>
  <c r="BF65" i="4"/>
  <c r="BM58" i="4"/>
  <c r="X39" i="10"/>
  <c r="AM24" i="10"/>
  <c r="X39" i="8"/>
  <c r="AM24" i="8"/>
  <c r="AG20" i="4"/>
  <c r="T33" i="4"/>
  <c r="C32" i="10"/>
  <c r="AF3" i="10"/>
  <c r="C32" i="8"/>
  <c r="AF3" i="8"/>
  <c r="BF3" i="4"/>
  <c r="C58" i="4"/>
  <c r="AG52" i="10"/>
  <c r="AZ33" i="10"/>
  <c r="AZ33" i="8"/>
  <c r="AG52" i="8"/>
  <c r="BK6" i="4"/>
  <c r="F63" i="4"/>
  <c r="AN9" i="10"/>
  <c r="I40" i="10"/>
  <c r="I40" i="8"/>
  <c r="AN9" i="8"/>
  <c r="AA34" i="4"/>
  <c r="AH27" i="4"/>
  <c r="AJ47" i="10"/>
  <c r="AU36" i="10"/>
  <c r="AJ47" i="8"/>
  <c r="AU36" i="8"/>
  <c r="AS10" i="4"/>
  <c r="J45" i="4"/>
  <c r="AV51" i="10"/>
  <c r="AY48" i="10"/>
  <c r="AY48" i="8"/>
  <c r="E46" i="4"/>
  <c r="AT5" i="4"/>
  <c r="AV51" i="8"/>
  <c r="H35" i="10"/>
  <c r="AI8" i="10"/>
  <c r="AI8" i="8"/>
  <c r="H35" i="8"/>
  <c r="X9" i="4"/>
  <c r="I24" i="4"/>
  <c r="Q56" i="10"/>
  <c r="BD17" i="10"/>
  <c r="BD17" i="8"/>
  <c r="Q56" i="8"/>
  <c r="BI22" i="4"/>
  <c r="V61" i="4"/>
  <c r="AS66" i="10"/>
  <c r="BN45" i="10"/>
  <c r="BN45" i="8"/>
  <c r="AS66" i="8"/>
  <c r="BD43" i="4"/>
  <c r="AQ56" i="4"/>
  <c r="BK36" i="10"/>
  <c r="BK36" i="8"/>
  <c r="AJ63" i="8"/>
  <c r="AJ63" i="10"/>
  <c r="J53" i="4"/>
  <c r="BA10" i="4"/>
  <c r="AJ61" i="10"/>
  <c r="BI36" i="10"/>
  <c r="AJ61" i="8"/>
  <c r="BI36" i="8"/>
  <c r="AO10" i="4"/>
  <c r="J41" i="4"/>
  <c r="I36" i="10"/>
  <c r="AJ9" i="10"/>
  <c r="AJ9" i="8"/>
  <c r="I36" i="8"/>
  <c r="AA10" i="4"/>
  <c r="J27" i="4"/>
  <c r="T37" i="10"/>
  <c r="AK20" i="10"/>
  <c r="T37" i="8"/>
  <c r="AK20" i="8"/>
  <c r="K16" i="4"/>
  <c r="P11" i="4"/>
  <c r="AY44" i="10"/>
  <c r="AR51" i="10"/>
  <c r="AY44" i="8"/>
  <c r="AR51" i="8"/>
  <c r="E40" i="4"/>
  <c r="AN5" i="4"/>
  <c r="AP53" i="10"/>
  <c r="BA42" i="10"/>
  <c r="BA42" i="8"/>
  <c r="AP53" i="8"/>
  <c r="AL7" i="4"/>
  <c r="G38" i="4"/>
  <c r="Q52" i="10"/>
  <c r="AZ17" i="10"/>
  <c r="AZ17" i="8"/>
  <c r="Q52" i="8"/>
  <c r="F61" i="4"/>
  <c r="BI6" i="4"/>
  <c r="P41" i="10"/>
  <c r="AO16" i="10"/>
  <c r="AO16" i="8"/>
  <c r="P41" i="8"/>
  <c r="BH37" i="4"/>
  <c r="AK60" i="4"/>
  <c r="BM34" i="10"/>
  <c r="AH65" i="10"/>
  <c r="BM34" i="8"/>
  <c r="AH65" i="8"/>
  <c r="BL55" i="4"/>
  <c r="BC64" i="4"/>
  <c r="AF23" i="10"/>
  <c r="W32" i="10"/>
  <c r="AF23" i="8"/>
  <c r="W32" i="8"/>
  <c r="S58" i="4"/>
  <c r="BF19" i="4"/>
  <c r="AI30" i="10"/>
  <c r="AD35" i="10"/>
  <c r="AI30" i="8"/>
  <c r="AD35" i="8"/>
  <c r="AZ9" i="4"/>
  <c r="I52" i="4"/>
  <c r="AF37" i="10"/>
  <c r="AK32" i="10"/>
  <c r="AK32" i="8"/>
  <c r="AF37" i="8"/>
  <c r="BF11" i="4"/>
  <c r="K58" i="4"/>
  <c r="E52" i="10"/>
  <c r="AZ5" i="10"/>
  <c r="AZ5" i="8"/>
  <c r="E52" i="8"/>
  <c r="M6" i="4"/>
  <c r="F13" i="4"/>
  <c r="AG62" i="10"/>
  <c r="BJ33" i="10"/>
  <c r="BJ33" i="8"/>
  <c r="AG62" i="8"/>
  <c r="BK42" i="4"/>
  <c r="AP63" i="4"/>
  <c r="BN33" i="10"/>
  <c r="AG66" i="10"/>
  <c r="BN33" i="8"/>
  <c r="AG66" i="8"/>
  <c r="BK56" i="4"/>
  <c r="BD63" i="4"/>
  <c r="BF59" i="10"/>
  <c r="BG58" i="10"/>
  <c r="BF59" i="8"/>
  <c r="BG58" i="8"/>
  <c r="AE26" i="4"/>
  <c r="Z31" i="4"/>
  <c r="BL59" i="10"/>
  <c r="BG64" i="8"/>
  <c r="BL59" i="8"/>
  <c r="BG64" i="10"/>
  <c r="BB31" i="4"/>
  <c r="AE54" i="4"/>
  <c r="H17" i="10"/>
  <c r="Q8" i="10"/>
  <c r="Q8" i="8"/>
  <c r="H17" i="8"/>
  <c r="BI24" i="4"/>
  <c r="X61" i="4"/>
  <c r="BF29" i="10"/>
  <c r="AC58" i="10"/>
  <c r="BF29" i="8"/>
  <c r="AC58" i="8"/>
  <c r="AY26" i="4"/>
  <c r="Z51" i="4"/>
  <c r="I64" i="10"/>
  <c r="BL9" i="10"/>
  <c r="BL9" i="8"/>
  <c r="I64" i="8"/>
  <c r="BB27" i="4"/>
  <c r="AA54" i="4"/>
  <c r="V27" i="10"/>
  <c r="AA22" i="8"/>
  <c r="AA22" i="10"/>
  <c r="V27" i="8"/>
  <c r="AI18" i="4"/>
  <c r="R35" i="4"/>
  <c r="V57" i="10"/>
  <c r="BE22" i="10"/>
  <c r="BE22" i="8"/>
  <c r="V57" i="8"/>
  <c r="Y18" i="4"/>
  <c r="R25" i="4"/>
  <c r="H53" i="10"/>
  <c r="BA8" i="10"/>
  <c r="BA8" i="8"/>
  <c r="H53" i="8"/>
  <c r="X7" i="4"/>
  <c r="G24" i="4"/>
  <c r="Q44" i="10"/>
  <c r="AR17" i="10"/>
  <c r="AR17" i="8"/>
  <c r="BI40" i="4"/>
  <c r="AN61" i="4"/>
  <c r="Q44" i="8"/>
  <c r="AK58" i="10"/>
  <c r="BF37" i="10"/>
  <c r="BF37" i="8"/>
  <c r="AK58" i="8"/>
  <c r="Z11" i="4"/>
  <c r="K26" i="4"/>
  <c r="AC52" i="10"/>
  <c r="AZ29" i="10"/>
  <c r="AZ29" i="8"/>
  <c r="AC52" i="8"/>
  <c r="F51" i="4"/>
  <c r="AY6" i="4"/>
  <c r="AZ55" i="10"/>
  <c r="BC52" i="10"/>
  <c r="BC52" i="8"/>
  <c r="AZ55" i="8"/>
  <c r="F21" i="4"/>
  <c r="U6" i="4"/>
  <c r="U26" i="8"/>
  <c r="Z21" i="8"/>
  <c r="U26" i="10"/>
  <c r="Z21" i="10"/>
  <c r="AD17" i="4"/>
  <c r="Q30" i="4"/>
  <c r="AA56" i="10"/>
  <c r="BD27" i="10"/>
  <c r="BD27" i="8"/>
  <c r="AA56" i="8"/>
  <c r="AI22" i="4"/>
  <c r="V35" i="4"/>
  <c r="W6" i="10"/>
  <c r="F23" i="10"/>
  <c r="W6" i="8"/>
  <c r="F23" i="8"/>
  <c r="S14" i="4"/>
  <c r="N19" i="4"/>
  <c r="BI4" i="10"/>
  <c r="D61" i="10"/>
  <c r="BI4" i="8"/>
  <c r="D61" i="8"/>
  <c r="D41" i="4"/>
  <c r="AO4" i="4"/>
  <c r="R43" i="10"/>
  <c r="AQ18" i="10"/>
  <c r="AQ18" i="8"/>
  <c r="R43" i="8"/>
  <c r="BJ39" i="4"/>
  <c r="AM62" i="4"/>
  <c r="O64" i="10"/>
  <c r="BL15" i="10"/>
  <c r="BL15" i="8"/>
  <c r="O64" i="8"/>
  <c r="BG54" i="4"/>
  <c r="BB59" i="4"/>
  <c r="AD45" i="10"/>
  <c r="AS30" i="10"/>
  <c r="AS30" i="8"/>
  <c r="AD45" i="8"/>
  <c r="AQ52" i="4"/>
  <c r="AZ43" i="4"/>
  <c r="AQ64" i="10"/>
  <c r="BL43" i="10"/>
  <c r="AQ64" i="8"/>
  <c r="BL43" i="8"/>
  <c r="BB39" i="4"/>
  <c r="AM54" i="4"/>
  <c r="E26" i="10"/>
  <c r="Z5" i="10"/>
  <c r="E26" i="8"/>
  <c r="Z5" i="8"/>
  <c r="AD13" i="4"/>
  <c r="M30" i="4"/>
  <c r="L13" i="10"/>
  <c r="M12" i="10"/>
  <c r="L13" i="8"/>
  <c r="M12" i="8"/>
  <c r="AW48" i="4"/>
  <c r="AV49" i="4"/>
  <c r="W58" i="10"/>
  <c r="BF23" i="10"/>
  <c r="BF23" i="8"/>
  <c r="W58" i="8"/>
  <c r="Z19" i="4"/>
  <c r="S26" i="4"/>
  <c r="W64" i="10"/>
  <c r="BL23" i="10"/>
  <c r="BL23" i="8"/>
  <c r="W64" i="8"/>
  <c r="BB19" i="4"/>
  <c r="S54" i="4"/>
  <c r="BN5" i="8"/>
  <c r="E66" i="10"/>
  <c r="E66" i="8"/>
  <c r="BN5" i="10"/>
  <c r="BD13" i="4"/>
  <c r="M56" i="4"/>
  <c r="I28" i="10"/>
  <c r="AB9" i="10"/>
  <c r="AB9" i="8"/>
  <c r="I28" i="8"/>
  <c r="AJ27" i="4"/>
  <c r="AA36" i="4"/>
  <c r="V35" i="10"/>
  <c r="AI22" i="10"/>
  <c r="AI22" i="8"/>
  <c r="V35" i="8"/>
  <c r="R9" i="4"/>
  <c r="I18" i="4"/>
  <c r="K50" i="10"/>
  <c r="AX11" i="10"/>
  <c r="AX11" i="8"/>
  <c r="K50" i="8"/>
  <c r="AU66" i="4"/>
  <c r="BN47" i="4"/>
  <c r="O50" i="10"/>
  <c r="AX15" i="10"/>
  <c r="AX15" i="8"/>
  <c r="O50" i="8"/>
  <c r="BN59" i="4"/>
  <c r="BG66" i="4"/>
  <c r="Y50" i="10"/>
  <c r="AX25" i="10"/>
  <c r="AX25" i="8"/>
  <c r="Y50" i="8"/>
  <c r="BN29" i="4"/>
  <c r="AC66" i="4"/>
  <c r="BB61" i="10"/>
  <c r="BI54" i="10"/>
  <c r="BI54" i="8"/>
  <c r="BB61" i="8"/>
  <c r="AO8" i="4"/>
  <c r="H41" i="4"/>
  <c r="AA62" i="10"/>
  <c r="BJ27" i="10"/>
  <c r="BJ27" i="8"/>
  <c r="AA62" i="8"/>
  <c r="F25" i="2"/>
  <c r="H11" i="2"/>
  <c r="AP35" i="4"/>
  <c r="AI42" i="4"/>
  <c r="BD65" i="10"/>
  <c r="BM56" i="10"/>
  <c r="BM56" i="8"/>
  <c r="BD65" i="8"/>
  <c r="F5" i="2"/>
  <c r="BC22" i="4"/>
  <c r="V55" i="4"/>
  <c r="AQ54" i="10"/>
  <c r="BB43" i="10"/>
  <c r="BB43" i="8"/>
  <c r="AQ54" i="8"/>
  <c r="F32" i="2"/>
  <c r="H21" i="2"/>
  <c r="AM8" i="4"/>
  <c r="H39" i="4"/>
  <c r="V13" i="10"/>
  <c r="H39" i="10"/>
  <c r="H39" i="8"/>
  <c r="AM8" i="8"/>
  <c r="AM8" i="10"/>
  <c r="AG24" i="4"/>
  <c r="X33" i="4"/>
  <c r="N19" i="10"/>
  <c r="S14" i="10"/>
  <c r="N19" i="8"/>
  <c r="S14" i="8"/>
  <c r="AX15" i="4"/>
  <c r="O50" i="4"/>
  <c r="AH59" i="10"/>
  <c r="BG34" i="10"/>
  <c r="AH59" i="8"/>
  <c r="BG34" i="8"/>
  <c r="AE64" i="4"/>
  <c r="BL31" i="4"/>
  <c r="BK24" i="10"/>
  <c r="X63" i="10"/>
  <c r="BK24" i="8"/>
  <c r="X63" i="8"/>
  <c r="T53" i="4"/>
  <c r="BA20" i="4"/>
  <c r="BK10" i="10"/>
  <c r="J63" i="10"/>
  <c r="BK10" i="8"/>
  <c r="J63" i="8"/>
  <c r="BA28" i="4"/>
  <c r="AB53" i="4"/>
  <c r="N5" i="10"/>
  <c r="E14" i="10"/>
  <c r="E14" i="8"/>
  <c r="N5" i="8"/>
  <c r="AX13" i="4"/>
  <c r="M50" i="4"/>
  <c r="R59" i="10"/>
  <c r="BG18" i="10"/>
  <c r="BG18" i="8"/>
  <c r="R59" i="8"/>
  <c r="BJ31" i="4"/>
  <c r="AE62" i="4"/>
  <c r="W60" i="10"/>
  <c r="BH23" i="10"/>
  <c r="BH23" i="8"/>
  <c r="W60" i="8"/>
  <c r="S32" i="4"/>
  <c r="AF19" i="4"/>
  <c r="AI44" i="10"/>
  <c r="AR35" i="10"/>
  <c r="AR35" i="8"/>
  <c r="AI44" i="8"/>
  <c r="AN9" i="4"/>
  <c r="I40" i="4"/>
  <c r="AH5" i="10"/>
  <c r="E34" i="10"/>
  <c r="AH5" i="8"/>
  <c r="E34" i="8"/>
  <c r="M64" i="4"/>
  <c r="BL13" i="4"/>
  <c r="AJ39" i="10"/>
  <c r="AM36" i="10"/>
  <c r="AM36" i="8"/>
  <c r="AJ39" i="8"/>
  <c r="H9" i="2"/>
  <c r="F14" i="2"/>
  <c r="AG10" i="4"/>
  <c r="J33" i="4"/>
  <c r="AV57" i="10"/>
  <c r="BE48" i="10"/>
  <c r="BE48" i="8"/>
  <c r="AV57" i="8"/>
  <c r="AT25" i="4"/>
  <c r="Y46" i="4"/>
  <c r="AO38" i="10"/>
  <c r="AL41" i="10"/>
  <c r="AL41" i="8"/>
  <c r="AO38" i="8"/>
  <c r="AK12" i="4"/>
  <c r="L37" i="4"/>
  <c r="E12" i="10"/>
  <c r="L5" i="10"/>
  <c r="E12" i="8"/>
  <c r="L5" i="8"/>
  <c r="AV13" i="4"/>
  <c r="M48" i="4"/>
  <c r="AB59" i="10"/>
  <c r="BG28" i="10"/>
  <c r="BG28" i="8"/>
  <c r="AB59" i="8"/>
  <c r="AE36" i="4"/>
  <c r="AJ31" i="4"/>
  <c r="M28" i="10"/>
  <c r="AB13" i="10"/>
  <c r="AB13" i="8"/>
  <c r="M28" i="8"/>
  <c r="AW36" i="4"/>
  <c r="AJ49" i="4"/>
  <c r="F57" i="10"/>
  <c r="BE6" i="8"/>
  <c r="BE6" i="10"/>
  <c r="F57" i="8"/>
  <c r="Y14" i="4"/>
  <c r="N25" i="4"/>
  <c r="AR9" i="10"/>
  <c r="I44" i="10"/>
  <c r="I44" i="8"/>
  <c r="AR9" i="8"/>
  <c r="AN27" i="4"/>
  <c r="AA40" i="4"/>
  <c r="AJ29" i="10"/>
  <c r="AC36" i="10"/>
  <c r="AJ29" i="8"/>
  <c r="AC36" i="8"/>
  <c r="AY10" i="4"/>
  <c r="J51" i="4"/>
  <c r="E44" i="10"/>
  <c r="AR5" i="10"/>
  <c r="AR5" i="8"/>
  <c r="E44" i="8"/>
  <c r="M40" i="4"/>
  <c r="AN13" i="4"/>
  <c r="N59" i="10"/>
  <c r="BG14" i="10"/>
  <c r="BG14" i="8"/>
  <c r="N59" i="8"/>
  <c r="AX31" i="4"/>
  <c r="AE50" i="4"/>
  <c r="AK44" i="10"/>
  <c r="AR37" i="10"/>
  <c r="AR37" i="8"/>
  <c r="AK44" i="8"/>
  <c r="AN11" i="4"/>
  <c r="K40" i="4"/>
  <c r="V19" i="10"/>
  <c r="S22" i="10"/>
  <c r="S22" i="8"/>
  <c r="V19" i="8"/>
  <c r="R15" i="4"/>
  <c r="O18" i="4"/>
  <c r="AU42" i="10"/>
  <c r="AP47" i="10"/>
  <c r="AP47" i="8"/>
  <c r="AU42" i="8"/>
  <c r="AS38" i="4"/>
  <c r="AL45" i="4"/>
  <c r="BL51" i="10"/>
  <c r="AY64" i="10"/>
  <c r="AY64" i="8"/>
  <c r="BL51" i="8"/>
  <c r="E54" i="4"/>
  <c r="BB5" i="4"/>
  <c r="W18" i="10"/>
  <c r="R23" i="10"/>
  <c r="R23" i="8"/>
  <c r="W18" i="8"/>
  <c r="BJ19" i="4"/>
  <c r="S62" i="4"/>
  <c r="U62" i="10"/>
  <c r="BJ21" i="10"/>
  <c r="BJ21" i="8"/>
  <c r="U62" i="8"/>
  <c r="AP17" i="4"/>
  <c r="Q42" i="4"/>
  <c r="AE64" i="10"/>
  <c r="BL31" i="10"/>
  <c r="BL31" i="8"/>
  <c r="AE64" i="8"/>
  <c r="BB57" i="4"/>
  <c r="BE54" i="4"/>
  <c r="L41" i="10"/>
  <c r="AO12" i="10"/>
  <c r="AO12" i="8"/>
  <c r="L41" i="8"/>
  <c r="AK48" i="4"/>
  <c r="AV37" i="4"/>
  <c r="AM6" i="10"/>
  <c r="F39" i="10"/>
  <c r="AM6" i="8"/>
  <c r="F39" i="8"/>
  <c r="N33" i="4"/>
  <c r="AG14" i="4"/>
  <c r="AX57" i="10"/>
  <c r="BE50" i="8"/>
  <c r="AX57" i="8"/>
  <c r="BE50" i="10"/>
  <c r="BN25" i="4"/>
  <c r="Y66" i="4"/>
  <c r="AB49" i="10"/>
  <c r="AW28" i="10"/>
  <c r="AB49" i="8"/>
  <c r="AW28" i="8"/>
  <c r="BM36" i="4"/>
  <c r="AJ65" i="4"/>
  <c r="E48" i="10"/>
  <c r="AV5" i="10"/>
  <c r="AV5" i="8"/>
  <c r="E48" i="8"/>
  <c r="AT13" i="4"/>
  <c r="M46" i="4"/>
  <c r="J13" i="10"/>
  <c r="M10" i="10"/>
  <c r="J13" i="8"/>
  <c r="M10" i="8"/>
  <c r="AB49" i="4"/>
  <c r="AW28" i="4"/>
  <c r="N63" i="10"/>
  <c r="BK14" i="10"/>
  <c r="BK14" i="8"/>
  <c r="N63" i="8"/>
  <c r="AX53" i="4"/>
  <c r="BA50" i="4"/>
  <c r="AE42" i="10"/>
  <c r="AP31" i="10"/>
  <c r="AP31" i="8"/>
  <c r="AE42" i="8"/>
  <c r="BE38" i="4"/>
  <c r="AL57" i="4"/>
  <c r="AG32" i="10"/>
  <c r="AF33" i="10"/>
  <c r="AF33" i="8"/>
  <c r="AG32" i="8"/>
  <c r="BK58" i="4"/>
  <c r="BF63" i="4"/>
  <c r="AO54" i="10"/>
  <c r="BB41" i="10"/>
  <c r="BB41" i="8"/>
  <c r="AO54" i="8"/>
  <c r="AK8" i="4"/>
  <c r="H37" i="4"/>
  <c r="AU62" i="10"/>
  <c r="BJ47" i="10"/>
  <c r="AU62" i="8"/>
  <c r="BJ47" i="8"/>
  <c r="AP45" i="4"/>
  <c r="AS42" i="4"/>
  <c r="BE24" i="10"/>
  <c r="X57" i="10"/>
  <c r="BE24" i="8"/>
  <c r="X57" i="8"/>
  <c r="T25" i="4"/>
  <c r="Y20" i="4"/>
  <c r="AY34" i="8"/>
  <c r="AH51" i="8"/>
  <c r="AH51" i="10"/>
  <c r="AY34" i="10"/>
  <c r="E64" i="4"/>
  <c r="BL5" i="4"/>
  <c r="AC60" i="10"/>
  <c r="BH29" i="10"/>
  <c r="BH29" i="8"/>
  <c r="AC60" i="8"/>
  <c r="AY32" i="4"/>
  <c r="AF51" i="4"/>
  <c r="U44" i="10"/>
  <c r="AR21" i="10"/>
  <c r="AR21" i="8"/>
  <c r="U44" i="8"/>
  <c r="AN17" i="4"/>
  <c r="Q40" i="4"/>
  <c r="N49" i="10"/>
  <c r="AW14" i="10"/>
  <c r="AW14" i="8"/>
  <c r="N49" i="8"/>
  <c r="AX65" i="4"/>
  <c r="BM50" i="4"/>
  <c r="AD3" i="10"/>
  <c r="C30" i="10"/>
  <c r="C30" i="8"/>
  <c r="AD3" i="8"/>
  <c r="C52" i="4"/>
  <c r="AZ3" i="4"/>
  <c r="H23" i="10"/>
  <c r="W8" i="10"/>
  <c r="W8" i="8"/>
  <c r="H23" i="8"/>
  <c r="X19" i="4"/>
  <c r="S24" i="4"/>
  <c r="AF43" i="10"/>
  <c r="AQ32" i="10"/>
  <c r="AQ32" i="8"/>
  <c r="AF43" i="8"/>
  <c r="BF39" i="4"/>
  <c r="AM58" i="4"/>
  <c r="W16" i="10"/>
  <c r="P23" i="10"/>
  <c r="P23" i="8"/>
  <c r="W16" i="8"/>
  <c r="BH19" i="4"/>
  <c r="S60" i="4"/>
  <c r="E20" i="10"/>
  <c r="T5" i="10"/>
  <c r="E20" i="8"/>
  <c r="T5" i="8"/>
  <c r="M16" i="4"/>
  <c r="P13" i="4"/>
  <c r="AV27" i="10"/>
  <c r="AA48" i="10"/>
  <c r="AV27" i="8"/>
  <c r="AA48" i="8"/>
  <c r="AI46" i="4"/>
  <c r="AT35" i="4"/>
  <c r="AJ15" i="10"/>
  <c r="O36" i="10"/>
  <c r="O36" i="8"/>
  <c r="AJ15" i="8"/>
  <c r="BG10" i="4"/>
  <c r="J59" i="4"/>
  <c r="AK12" i="10"/>
  <c r="L37" i="10"/>
  <c r="AK12" i="8"/>
  <c r="L37" i="8"/>
  <c r="AV11" i="4"/>
  <c r="K48" i="4"/>
  <c r="K24" i="10"/>
  <c r="X11" i="10"/>
  <c r="X11" i="8"/>
  <c r="K24" i="8"/>
  <c r="AU20" i="4"/>
  <c r="T47" i="4"/>
  <c r="BI46" i="10"/>
  <c r="AT61" i="10"/>
  <c r="BI46" i="8"/>
  <c r="AT61" i="8"/>
  <c r="AO44" i="4"/>
  <c r="AR41" i="4"/>
  <c r="P19" i="10"/>
  <c r="S16" i="10"/>
  <c r="P19" i="8"/>
  <c r="S16" i="8"/>
  <c r="BH15" i="4"/>
  <c r="O60" i="4"/>
  <c r="G30" i="10"/>
  <c r="AD7" i="10"/>
  <c r="G30" i="8"/>
  <c r="AD7" i="8"/>
  <c r="W52" i="4"/>
  <c r="AZ23" i="4"/>
  <c r="N21" i="10"/>
  <c r="U14" i="10"/>
  <c r="N21" i="8"/>
  <c r="U14" i="8"/>
  <c r="AX17" i="4"/>
  <c r="Q50" i="4"/>
  <c r="BJ5" i="10"/>
  <c r="BJ5" i="8"/>
  <c r="E62" i="8"/>
  <c r="E62" i="10"/>
  <c r="M42" i="4"/>
  <c r="AP13" i="4"/>
  <c r="BF3" i="10"/>
  <c r="C58" i="8"/>
  <c r="BF3" i="8"/>
  <c r="C58" i="10"/>
  <c r="Z3" i="4"/>
  <c r="C26" i="4"/>
  <c r="BG16" i="10"/>
  <c r="P59" i="10"/>
  <c r="BG16" i="8"/>
  <c r="P59" i="8"/>
  <c r="BH31" i="4"/>
  <c r="AE60" i="4"/>
  <c r="K34" i="10"/>
  <c r="AH11" i="10"/>
  <c r="K34" i="8"/>
  <c r="AH11" i="8"/>
  <c r="BL47" i="4"/>
  <c r="AU64" i="4"/>
  <c r="I30" i="10"/>
  <c r="AD9" i="10"/>
  <c r="I30" i="8"/>
  <c r="AD9" i="8"/>
  <c r="AZ27" i="4"/>
  <c r="AA52" i="4"/>
  <c r="AU14" i="10"/>
  <c r="N47" i="10"/>
  <c r="AU14" i="8"/>
  <c r="N47" i="8"/>
  <c r="AX45" i="4"/>
  <c r="AS50" i="4"/>
  <c r="BK56" i="10"/>
  <c r="BD63" i="10"/>
  <c r="BK56" i="8"/>
  <c r="BD63" i="8"/>
  <c r="V53" i="4"/>
  <c r="BA22" i="4"/>
  <c r="AU4" i="10"/>
  <c r="D47" i="10"/>
  <c r="D47" i="8"/>
  <c r="AU4" i="8"/>
  <c r="D45" i="4"/>
  <c r="AS4" i="4"/>
  <c r="H20" i="2"/>
  <c r="AZ63" i="10"/>
  <c r="BK52" i="10"/>
  <c r="BK52" i="8"/>
  <c r="AZ63" i="8"/>
  <c r="F8" i="2"/>
  <c r="BA6" i="4"/>
  <c r="F53" i="4"/>
  <c r="BA52" i="10"/>
  <c r="AZ53" i="10"/>
  <c r="AZ53" i="8"/>
  <c r="BA52" i="8"/>
  <c r="F21" i="2"/>
  <c r="G6" i="4"/>
  <c r="F7" i="4"/>
  <c r="S52" i="10"/>
  <c r="AZ19" i="10"/>
  <c r="AZ19" i="8"/>
  <c r="S52" i="8"/>
  <c r="H23" i="2"/>
  <c r="F15" i="4"/>
  <c r="O6" i="4"/>
  <c r="AD39" i="10"/>
  <c r="AM30" i="10"/>
  <c r="AM30" i="8"/>
  <c r="AD39" i="8"/>
  <c r="AZ33" i="4"/>
  <c r="AG52" i="4"/>
  <c r="AV39" i="10"/>
  <c r="AM48" i="10"/>
  <c r="AM48" i="8"/>
  <c r="AV39" i="8"/>
  <c r="AT33" i="4"/>
  <c r="AG46" i="4"/>
  <c r="Z53" i="10"/>
  <c r="BA26" i="10"/>
  <c r="BA26" i="8"/>
  <c r="Z53" i="8"/>
  <c r="AD7" i="4"/>
  <c r="G30" i="4"/>
  <c r="K46" i="10"/>
  <c r="AT11" i="10"/>
  <c r="AT11" i="8"/>
  <c r="K46" i="8"/>
  <c r="AU44" i="4"/>
  <c r="AR47" i="4"/>
  <c r="AP65" i="10"/>
  <c r="BM42" i="10"/>
  <c r="BM42" i="8"/>
  <c r="AP65" i="8"/>
  <c r="AL55" i="4"/>
  <c r="BC38" i="4"/>
  <c r="T53" i="10"/>
  <c r="BA20" i="10"/>
  <c r="BA20" i="8"/>
  <c r="T53" i="8"/>
  <c r="G16" i="4"/>
  <c r="P7" i="4"/>
  <c r="AH45" i="10"/>
  <c r="AS34" i="10"/>
  <c r="AS34" i="8"/>
  <c r="AH45" i="8"/>
  <c r="BL43" i="4"/>
  <c r="AQ64" i="4"/>
  <c r="K26" i="10"/>
  <c r="Z11" i="8"/>
  <c r="K26" i="8"/>
  <c r="Z11" i="10"/>
  <c r="AU30" i="4"/>
  <c r="AD47" i="4"/>
  <c r="Y62" i="10"/>
  <c r="BJ25" i="10"/>
  <c r="BJ25" i="8"/>
  <c r="Y62" i="8"/>
  <c r="AC42" i="4"/>
  <c r="AP29" i="4"/>
  <c r="D65" i="10"/>
  <c r="BM4" i="10"/>
  <c r="BM4" i="8"/>
  <c r="D65" i="8"/>
  <c r="D55" i="4"/>
  <c r="BC4" i="4"/>
  <c r="AD65" i="10"/>
  <c r="BM30" i="10"/>
  <c r="BM30" i="8"/>
  <c r="AD65" i="8"/>
  <c r="AZ55" i="4"/>
  <c r="BC52" i="4"/>
  <c r="AB39" i="10"/>
  <c r="AM28" i="10"/>
  <c r="AM28" i="8"/>
  <c r="AB39" i="8"/>
  <c r="AJ33" i="4"/>
  <c r="AG36" i="4"/>
  <c r="AD49" i="10"/>
  <c r="AW30" i="10"/>
  <c r="AW30" i="8"/>
  <c r="AD49" i="8"/>
  <c r="BM52" i="4"/>
  <c r="AZ65" i="4"/>
  <c r="AY40" i="10"/>
  <c r="AN51" i="10"/>
  <c r="AY40" i="8"/>
  <c r="AN51" i="8"/>
  <c r="E34" i="4"/>
  <c r="AH5" i="4"/>
  <c r="M60" i="10"/>
  <c r="BH13" i="10"/>
  <c r="BH13" i="8"/>
  <c r="M60" i="8"/>
  <c r="AW32" i="4"/>
  <c r="AF49" i="4"/>
  <c r="E40" i="10"/>
  <c r="AN5" i="10"/>
  <c r="AN5" i="8"/>
  <c r="E40" i="8"/>
  <c r="AH13" i="4"/>
  <c r="M34" i="4"/>
  <c r="BC58" i="10"/>
  <c r="BF55" i="10"/>
  <c r="BF55" i="8"/>
  <c r="BC58" i="8"/>
  <c r="Z21" i="4"/>
  <c r="U26" i="4"/>
  <c r="L61" i="10"/>
  <c r="BI12" i="10"/>
  <c r="BI12" i="8"/>
  <c r="L61" i="8"/>
  <c r="AO48" i="4"/>
  <c r="AV41" i="4"/>
  <c r="U24" i="8"/>
  <c r="U24" i="10"/>
  <c r="X21" i="8"/>
  <c r="X21" i="10"/>
  <c r="Q20" i="4"/>
  <c r="T17" i="4"/>
  <c r="D21" i="10"/>
  <c r="U4" i="10"/>
  <c r="D21" i="8"/>
  <c r="U4" i="8"/>
  <c r="Q4" i="4"/>
  <c r="D17" i="4"/>
  <c r="AP57" i="10"/>
  <c r="BE42" i="10"/>
  <c r="BE42" i="8"/>
  <c r="AP57" i="8"/>
  <c r="Y38" i="4"/>
  <c r="AL25" i="4"/>
  <c r="G14" i="10"/>
  <c r="N7" i="10"/>
  <c r="N7" i="8"/>
  <c r="G14" i="8"/>
  <c r="AX23" i="4"/>
  <c r="W50" i="4"/>
  <c r="AW46" i="10"/>
  <c r="AT49" i="10"/>
  <c r="AT49" i="8"/>
  <c r="AW46" i="8"/>
  <c r="AR65" i="4"/>
  <c r="BM44" i="4"/>
  <c r="R11" i="10"/>
  <c r="K18" i="10"/>
  <c r="K18" i="8"/>
  <c r="R11" i="8"/>
  <c r="BJ47" i="4"/>
  <c r="AU62" i="4"/>
  <c r="L65" i="10"/>
  <c r="BM12" i="10"/>
  <c r="BM12" i="8"/>
  <c r="L65" i="8"/>
  <c r="BC48" i="4"/>
  <c r="AV55" i="4"/>
  <c r="AL45" i="10"/>
  <c r="AS38" i="10"/>
  <c r="AS38" i="8"/>
  <c r="AL45" i="8"/>
  <c r="AQ12" i="4"/>
  <c r="L43" i="4"/>
  <c r="F3" i="10"/>
  <c r="C6" i="10"/>
  <c r="C6" i="8"/>
  <c r="F3" i="8"/>
  <c r="C14" i="4"/>
  <c r="N3" i="4"/>
  <c r="N43" i="10"/>
  <c r="AQ14" i="10"/>
  <c r="AQ14" i="8"/>
  <c r="N43" i="8"/>
  <c r="AX39" i="4"/>
  <c r="AM50" i="4"/>
  <c r="P49" i="10"/>
  <c r="AW16" i="10"/>
  <c r="AW16" i="8"/>
  <c r="P49" i="8"/>
  <c r="BH65" i="4"/>
  <c r="BM60" i="4"/>
  <c r="AG20" i="10"/>
  <c r="T33" i="10"/>
  <c r="T33" i="8"/>
  <c r="AG20" i="8"/>
  <c r="BK16" i="4"/>
  <c r="P63" i="4"/>
  <c r="AL5" i="8"/>
  <c r="E38" i="8"/>
  <c r="E38" i="10"/>
  <c r="AL5" i="10"/>
  <c r="M12" i="4"/>
  <c r="L13" i="4"/>
  <c r="AZ47" i="10"/>
  <c r="AU52" i="10"/>
  <c r="AZ47" i="8"/>
  <c r="AU52" i="8"/>
  <c r="F45" i="4"/>
  <c r="AS6" i="4"/>
  <c r="BI32" i="10"/>
  <c r="AF61" i="10"/>
  <c r="BI32" i="8"/>
  <c r="AF61" i="8"/>
  <c r="BF41" i="4"/>
  <c r="AO58" i="4"/>
  <c r="BJ55" i="10"/>
  <c r="BC62" i="10"/>
  <c r="BJ55" i="8"/>
  <c r="BC62" i="8"/>
  <c r="AP21" i="4"/>
  <c r="U42" i="4"/>
  <c r="AD59" i="10"/>
  <c r="BG30" i="8"/>
  <c r="AD59" i="8"/>
  <c r="BG30" i="10"/>
  <c r="AZ31" i="4"/>
  <c r="AE52" i="4"/>
  <c r="AW62" i="10"/>
  <c r="BJ49" i="10"/>
  <c r="AW62" i="8"/>
  <c r="BJ49" i="8"/>
  <c r="BM42" i="4"/>
  <c r="AP65" i="4"/>
  <c r="L15" i="10"/>
  <c r="O12" i="10"/>
  <c r="L15" i="8"/>
  <c r="O12" i="8"/>
  <c r="AV59" i="4"/>
  <c r="BG48" i="4"/>
  <c r="AZ59" i="10"/>
  <c r="BG52" i="10"/>
  <c r="BG52" i="8"/>
  <c r="AZ59" i="8"/>
  <c r="AE6" i="4"/>
  <c r="F31" i="4"/>
  <c r="X65" i="10"/>
  <c r="BM24" i="10"/>
  <c r="BM24" i="8"/>
  <c r="X65" i="8"/>
  <c r="T55" i="4"/>
  <c r="BC20" i="4"/>
  <c r="G26" i="10"/>
  <c r="Z7" i="10"/>
  <c r="Z7" i="8"/>
  <c r="G26" i="8"/>
  <c r="W30" i="4"/>
  <c r="AD23" i="4"/>
  <c r="S60" i="10"/>
  <c r="BH19" i="10"/>
  <c r="BH19" i="8"/>
  <c r="S60" i="8"/>
  <c r="O32" i="4"/>
  <c r="AF15" i="4"/>
  <c r="S66" i="10"/>
  <c r="BN19" i="10"/>
  <c r="BN19" i="8"/>
  <c r="S66" i="8"/>
  <c r="O56" i="4"/>
  <c r="BD15" i="4"/>
  <c r="BC20" i="10"/>
  <c r="T55" i="10"/>
  <c r="BC20" i="8"/>
  <c r="T55" i="8"/>
  <c r="P21" i="4"/>
  <c r="U16" i="4"/>
  <c r="W26" i="10"/>
  <c r="Z23" i="10"/>
  <c r="W26" i="8"/>
  <c r="Z23" i="8"/>
  <c r="S30" i="4"/>
  <c r="AD19" i="4"/>
  <c r="AD51" i="10"/>
  <c r="AY30" i="10"/>
  <c r="AY30" i="8"/>
  <c r="AD51" i="8"/>
  <c r="AZ5" i="4"/>
  <c r="E52" i="4"/>
  <c r="X47" i="10"/>
  <c r="AU24" i="10"/>
  <c r="AU24" i="8"/>
  <c r="X47" i="8"/>
  <c r="AS20" i="4"/>
  <c r="T45" i="4"/>
  <c r="D49" i="10"/>
  <c r="AW4" i="10"/>
  <c r="D49" i="8"/>
  <c r="AW4" i="8"/>
  <c r="BM4" i="4"/>
  <c r="D65" i="4"/>
  <c r="AG54" i="10"/>
  <c r="BB33" i="10"/>
  <c r="BB33" i="8"/>
  <c r="AG54" i="8"/>
  <c r="BK8" i="4"/>
  <c r="H63" i="4"/>
  <c r="BG22" i="10"/>
  <c r="V59" i="10"/>
  <c r="BG22" i="8"/>
  <c r="V59" i="8"/>
  <c r="AE18" i="4"/>
  <c r="R31" i="4"/>
  <c r="AQ52" i="10"/>
  <c r="AZ43" i="10"/>
  <c r="AZ43" i="8"/>
  <c r="AQ52" i="8"/>
  <c r="F39" i="4"/>
  <c r="AM6" i="4"/>
  <c r="BI10" i="10"/>
  <c r="J61" i="10"/>
  <c r="BI10" i="8"/>
  <c r="J61" i="8"/>
  <c r="AO28" i="4"/>
  <c r="AB41" i="4"/>
  <c r="U28" i="10"/>
  <c r="AB21" i="10"/>
  <c r="AB21" i="8"/>
  <c r="U28" i="8"/>
  <c r="AJ17" i="4"/>
  <c r="Q36" i="4"/>
  <c r="AF17" i="10"/>
  <c r="Q32" i="10"/>
  <c r="Q32" i="8"/>
  <c r="AF17" i="8"/>
  <c r="BF61" i="4"/>
  <c r="BI58" i="4"/>
  <c r="AH37" i="10"/>
  <c r="AK34" i="10"/>
  <c r="AK34" i="8"/>
  <c r="AH37" i="8"/>
  <c r="BL11" i="4"/>
  <c r="K64" i="4"/>
  <c r="AU28" i="10"/>
  <c r="AB47" i="10"/>
  <c r="AU28" i="8"/>
  <c r="AB47" i="8"/>
  <c r="AS36" i="4"/>
  <c r="AJ45" i="4"/>
  <c r="P33" i="10"/>
  <c r="AG16" i="10"/>
  <c r="AG16" i="8"/>
  <c r="P33" i="8"/>
  <c r="BK60" i="4"/>
  <c r="BH63" i="4"/>
  <c r="AI66" i="10"/>
  <c r="BN35" i="10"/>
  <c r="BN35" i="8"/>
  <c r="AI66" i="8"/>
  <c r="I56" i="4"/>
  <c r="BD9" i="4"/>
  <c r="AN47" i="10"/>
  <c r="AU40" i="10"/>
  <c r="AU40" i="8"/>
  <c r="AN47" i="8"/>
  <c r="AH45" i="4"/>
  <c r="AS34" i="4"/>
  <c r="AK6" i="8"/>
  <c r="F37" i="8"/>
  <c r="AK6" i="10"/>
  <c r="F37" i="10"/>
  <c r="N11" i="4"/>
  <c r="K14" i="4"/>
  <c r="AU66" i="10"/>
  <c r="BN47" i="10"/>
  <c r="AU66" i="8"/>
  <c r="BN47" i="8"/>
  <c r="AS56" i="4"/>
  <c r="BD45" i="4"/>
  <c r="E28" i="10"/>
  <c r="AB5" i="10"/>
  <c r="E28" i="8"/>
  <c r="AB5" i="8"/>
  <c r="AJ13" i="4"/>
  <c r="M36" i="4"/>
  <c r="BB37" i="10"/>
  <c r="AK54" i="10"/>
  <c r="BB37" i="8"/>
  <c r="AK54" i="8"/>
  <c r="K8" i="4"/>
  <c r="H11" i="4"/>
  <c r="AX61" i="10"/>
  <c r="BI50" i="10"/>
  <c r="AX61" i="8"/>
  <c r="BI50" i="8"/>
  <c r="BN41" i="4"/>
  <c r="AO66" i="4"/>
  <c r="I24" i="10"/>
  <c r="X9" i="10"/>
  <c r="I24" i="8"/>
  <c r="X9" i="8"/>
  <c r="AA20" i="4"/>
  <c r="T27" i="4"/>
  <c r="AZ57" i="10"/>
  <c r="BE52" i="10"/>
  <c r="BE52" i="8"/>
  <c r="AZ57" i="8"/>
  <c r="F25" i="4"/>
  <c r="Y6" i="4"/>
  <c r="E18" i="10"/>
  <c r="R5" i="10"/>
  <c r="E18" i="8"/>
  <c r="R5" i="8"/>
  <c r="M62" i="4"/>
  <c r="BJ13" i="4"/>
  <c r="J47" i="10"/>
  <c r="AU10" i="10"/>
  <c r="AU10" i="8"/>
  <c r="J47" i="8"/>
  <c r="AS28" i="4"/>
  <c r="AB45" i="4"/>
  <c r="N35" i="10"/>
  <c r="AI14" i="10"/>
  <c r="N35" i="8"/>
  <c r="AI14" i="8"/>
  <c r="F9" i="2"/>
  <c r="AX9" i="4"/>
  <c r="I50" i="4"/>
  <c r="U54" i="10"/>
  <c r="BB21" i="10"/>
  <c r="BB21" i="8"/>
  <c r="U54" i="8"/>
  <c r="Q8" i="4"/>
  <c r="H17" i="4"/>
  <c r="F29" i="10"/>
  <c r="F29" i="8"/>
  <c r="AC6" i="8"/>
  <c r="AC6" i="10"/>
  <c r="F12" i="2"/>
  <c r="H13" i="2"/>
  <c r="AY14" i="4"/>
  <c r="N51" i="4"/>
  <c r="I18" i="10"/>
  <c r="R9" i="10"/>
  <c r="R9" i="8"/>
  <c r="I18" i="8"/>
  <c r="H27" i="2"/>
  <c r="F30" i="2"/>
  <c r="L30" i="2"/>
  <c r="O30" i="2"/>
  <c r="AA62" i="4"/>
  <c r="BJ27" i="4"/>
  <c r="Y64" i="10"/>
  <c r="BL25" i="8"/>
  <c r="Y64" i="8"/>
  <c r="BL25" i="10"/>
  <c r="BB29" i="4"/>
  <c r="AC54" i="4"/>
  <c r="E56" i="10"/>
  <c r="BD5" i="10"/>
  <c r="BD5" i="8"/>
  <c r="E56" i="8"/>
  <c r="M22" i="4"/>
  <c r="V13" i="4"/>
  <c r="AK64" i="10"/>
  <c r="BL37" i="10"/>
  <c r="BL37" i="8"/>
  <c r="AK64" i="8"/>
  <c r="BB11" i="4"/>
  <c r="K54" i="4"/>
  <c r="D5" i="10"/>
  <c r="E4" i="10"/>
  <c r="D5" i="8"/>
  <c r="E4" i="8"/>
  <c r="M4" i="4"/>
  <c r="D13" i="4"/>
  <c r="BB47" i="10"/>
  <c r="AU54" i="10"/>
  <c r="AU54" i="8"/>
  <c r="BB47" i="8"/>
  <c r="AS8" i="4"/>
  <c r="H45" i="4"/>
  <c r="L49" i="10"/>
  <c r="AW12" i="10"/>
  <c r="AW12" i="8"/>
  <c r="L49" i="8"/>
  <c r="BM48" i="4"/>
  <c r="AV65" i="4"/>
  <c r="F47" i="10"/>
  <c r="AU6" i="10"/>
  <c r="AU6" i="8"/>
  <c r="F47" i="8"/>
  <c r="AS14" i="4"/>
  <c r="N45" i="4"/>
  <c r="AC32" i="10"/>
  <c r="AF29" i="10"/>
  <c r="AF29" i="8"/>
  <c r="AC32" i="8"/>
  <c r="BF51" i="4"/>
  <c r="AY58" i="4"/>
  <c r="AY8" i="8"/>
  <c r="H51" i="8"/>
  <c r="H51" i="10"/>
  <c r="AY8" i="10"/>
  <c r="E24" i="4"/>
  <c r="X5" i="4"/>
  <c r="AS54" i="10"/>
  <c r="BB45" i="10"/>
  <c r="BB45" i="8"/>
  <c r="AS54" i="8"/>
  <c r="H43" i="4"/>
  <c r="AQ8" i="4"/>
  <c r="AJ37" i="10"/>
  <c r="AK36" i="10"/>
  <c r="AJ37" i="8"/>
  <c r="AK36" i="8"/>
  <c r="K10" i="4"/>
  <c r="J11" i="4"/>
  <c r="AT53" i="10"/>
  <c r="BA46" i="10"/>
  <c r="AT53" i="8"/>
  <c r="BA46" i="8"/>
  <c r="AR7" i="4"/>
  <c r="G44" i="4"/>
  <c r="L23" i="10"/>
  <c r="W12" i="10"/>
  <c r="W12" i="8"/>
  <c r="L23" i="8"/>
  <c r="AV19" i="4"/>
  <c r="S48" i="4"/>
  <c r="X41" i="10"/>
  <c r="AO24" i="10"/>
  <c r="AO24" i="8"/>
  <c r="X41" i="8"/>
  <c r="AK20" i="4"/>
  <c r="T37" i="4"/>
  <c r="C22" i="10"/>
  <c r="V3" i="10"/>
  <c r="V3" i="8"/>
  <c r="C22" i="8"/>
  <c r="C18" i="4"/>
  <c r="R3" i="4"/>
  <c r="R55" i="10"/>
  <c r="BC18" i="10"/>
  <c r="BC18" i="8"/>
  <c r="R55" i="8"/>
  <c r="BJ21" i="4"/>
  <c r="U62" i="4"/>
  <c r="AT47" i="10"/>
  <c r="AU46" i="10"/>
  <c r="AT47" i="8"/>
  <c r="AU46" i="8"/>
  <c r="AS44" i="4"/>
  <c r="AR45" i="4"/>
  <c r="AV37" i="8"/>
  <c r="AK48" i="8"/>
  <c r="AK48" i="10"/>
  <c r="AV37" i="10"/>
  <c r="AT11" i="4"/>
  <c r="K46" i="4"/>
  <c r="O48" i="10"/>
  <c r="AV15" i="10"/>
  <c r="AV15" i="8"/>
  <c r="O48" i="8"/>
  <c r="BG46" i="4"/>
  <c r="AT59" i="4"/>
  <c r="AR49" i="10"/>
  <c r="AW44" i="10"/>
  <c r="AR49" i="8"/>
  <c r="BM40" i="4"/>
  <c r="AN65" i="4"/>
  <c r="AW44" i="8"/>
  <c r="AH39" i="10"/>
  <c r="AM34" i="10"/>
  <c r="AM34" i="8"/>
  <c r="AH39" i="8"/>
  <c r="BL33" i="4"/>
  <c r="AG64" i="4"/>
  <c r="D35" i="10"/>
  <c r="AI4" i="10"/>
  <c r="D35" i="8"/>
  <c r="AI4" i="8"/>
  <c r="I4" i="4"/>
  <c r="D9" i="4"/>
  <c r="E22" i="10"/>
  <c r="V5" i="10"/>
  <c r="V5" i="8"/>
  <c r="E22" i="8"/>
  <c r="M18" i="4"/>
  <c r="R13" i="4"/>
  <c r="M58" i="10"/>
  <c r="BF13" i="10"/>
  <c r="BF13" i="8"/>
  <c r="M58" i="8"/>
  <c r="Z49" i="4"/>
  <c r="AW26" i="4"/>
  <c r="AB57" i="10"/>
  <c r="BE28" i="10"/>
  <c r="BE28" i="8"/>
  <c r="AB57" i="8"/>
  <c r="Y36" i="4"/>
  <c r="AJ25" i="4"/>
  <c r="T35" i="10"/>
  <c r="AI20" i="10"/>
  <c r="T35" i="8"/>
  <c r="AI20" i="8"/>
  <c r="P9" i="4"/>
  <c r="I16" i="4"/>
  <c r="H45" i="10"/>
  <c r="AS8" i="10"/>
  <c r="AS8" i="8"/>
  <c r="H45" i="8"/>
  <c r="X43" i="4"/>
  <c r="AQ24" i="4"/>
  <c r="H5" i="10"/>
  <c r="E8" i="10"/>
  <c r="H5" i="8"/>
  <c r="E8" i="8"/>
  <c r="M24" i="4"/>
  <c r="D28" i="2"/>
  <c r="H28" i="2"/>
  <c r="X13" i="5"/>
  <c r="M24" i="5"/>
  <c r="L13" i="2"/>
  <c r="F13" i="2"/>
  <c r="D13" i="2"/>
  <c r="O13" i="2"/>
  <c r="X13" i="4"/>
  <c r="Y56" i="10"/>
  <c r="BD25" i="10"/>
  <c r="BD25" i="8"/>
  <c r="Y56" i="8"/>
  <c r="V29" i="4"/>
  <c r="AC22" i="4"/>
  <c r="M38" i="10"/>
  <c r="AL13" i="10"/>
  <c r="M38" i="8"/>
  <c r="AL13" i="8"/>
  <c r="AW12" i="4"/>
  <c r="L49" i="4"/>
  <c r="AG44" i="10"/>
  <c r="AR33" i="10"/>
  <c r="BK40" i="4"/>
  <c r="AR33" i="8"/>
  <c r="AG44" i="8"/>
  <c r="AN63" i="4"/>
  <c r="Z43" i="10"/>
  <c r="AQ26" i="10"/>
  <c r="AQ26" i="8"/>
  <c r="Z43" i="8"/>
  <c r="AM30" i="4"/>
  <c r="AD39" i="4"/>
  <c r="AI6" i="10"/>
  <c r="F35" i="10"/>
  <c r="AI6" i="8"/>
  <c r="F35" i="8"/>
  <c r="N9" i="4"/>
  <c r="I14" i="4"/>
  <c r="H61" i="10"/>
  <c r="BI8" i="10"/>
  <c r="BI8" i="8"/>
  <c r="H61" i="8"/>
  <c r="AO24" i="4"/>
  <c r="X41" i="4"/>
  <c r="AW6" i="10"/>
  <c r="F49" i="10"/>
  <c r="AW6" i="8"/>
  <c r="F49" i="8"/>
  <c r="BM14" i="4"/>
  <c r="N65" i="4"/>
  <c r="AV63" i="10"/>
  <c r="BK48" i="10"/>
  <c r="AV63" i="8"/>
  <c r="BK48" i="8"/>
  <c r="BA46" i="4"/>
  <c r="AT53" i="4"/>
  <c r="E60" i="10"/>
  <c r="BH5" i="10"/>
  <c r="BH5" i="8"/>
  <c r="E60" i="8"/>
  <c r="AF13" i="4"/>
  <c r="M32" i="4"/>
  <c r="BA38" i="10"/>
  <c r="AL53" i="10"/>
  <c r="BA38" i="8"/>
  <c r="AL53" i="8"/>
  <c r="G12" i="4"/>
  <c r="L7" i="4"/>
  <c r="G6" i="10"/>
  <c r="F7" i="10"/>
  <c r="G6" i="8"/>
  <c r="F7" i="8"/>
  <c r="N23" i="4"/>
  <c r="W14" i="4"/>
  <c r="T45" i="10"/>
  <c r="AS20" i="10"/>
  <c r="AS20" i="8"/>
  <c r="T45" i="8"/>
  <c r="AQ16" i="4"/>
  <c r="P43" i="4"/>
  <c r="G52" i="10"/>
  <c r="AZ7" i="10"/>
  <c r="AZ7" i="8"/>
  <c r="G52" i="8"/>
  <c r="F23" i="4"/>
  <c r="W6" i="4"/>
  <c r="AL17" i="10"/>
  <c r="Q38" i="10"/>
  <c r="AL17" i="8"/>
  <c r="Q38" i="8"/>
  <c r="BI12" i="4"/>
  <c r="L61" i="4"/>
  <c r="AL61" i="10"/>
  <c r="BI38" i="10"/>
  <c r="AL61" i="8"/>
  <c r="AO12" i="4"/>
  <c r="L41" i="4"/>
  <c r="BI38" i="8"/>
  <c r="AO58" i="10"/>
  <c r="BF41" i="10"/>
  <c r="AO58" i="8"/>
  <c r="BF41" i="8"/>
  <c r="AK26" i="4"/>
  <c r="Z37" i="4"/>
  <c r="AG60" i="8"/>
  <c r="BH33" i="8"/>
  <c r="AG60" i="10"/>
  <c r="BH33" i="10"/>
  <c r="BK32" i="4"/>
  <c r="AF63" i="4"/>
  <c r="AE24" i="8"/>
  <c r="X31" i="10"/>
  <c r="X31" i="8"/>
  <c r="AE24" i="10"/>
  <c r="BE20" i="4"/>
  <c r="T57" i="4"/>
  <c r="R61" i="10"/>
  <c r="BI18" i="10"/>
  <c r="R61" i="8"/>
  <c r="BJ41" i="4"/>
  <c r="BI18" i="8"/>
  <c r="AO62" i="4"/>
  <c r="K20" i="10"/>
  <c r="T11" i="10"/>
  <c r="T11" i="8"/>
  <c r="K20" i="8"/>
  <c r="AU16" i="4"/>
  <c r="P47" i="4"/>
  <c r="X45" i="10"/>
  <c r="AS24" i="10"/>
  <c r="AS24" i="8"/>
  <c r="X45" i="8"/>
  <c r="AQ20" i="4"/>
  <c r="T43" i="4"/>
  <c r="R41" i="10"/>
  <c r="AO18" i="10"/>
  <c r="AO18" i="8"/>
  <c r="R41" i="8"/>
  <c r="BJ37" i="4"/>
  <c r="AK62" i="4"/>
  <c r="I60" i="10"/>
  <c r="BH9" i="10"/>
  <c r="BH9" i="8"/>
  <c r="I60" i="8"/>
  <c r="AA32" i="4"/>
  <c r="AF27" i="4"/>
  <c r="F19" i="10"/>
  <c r="S6" i="10"/>
  <c r="F19" i="8"/>
  <c r="S6" i="8"/>
  <c r="N15" i="4"/>
  <c r="O14" i="4"/>
  <c r="AC50" i="10"/>
  <c r="AX29" i="10"/>
  <c r="AX29" i="8"/>
  <c r="AC50" i="8"/>
  <c r="BN51" i="4"/>
  <c r="AY66" i="4"/>
  <c r="I14" i="10"/>
  <c r="N9" i="10"/>
  <c r="N9" i="8"/>
  <c r="I14" i="8"/>
  <c r="AX27" i="4"/>
  <c r="AA50" i="4"/>
  <c r="AY62" i="10"/>
  <c r="BJ51" i="8"/>
  <c r="AY62" i="8"/>
  <c r="BJ51" i="10"/>
  <c r="E42" i="4"/>
  <c r="AP5" i="4"/>
  <c r="AD31" i="10"/>
  <c r="AE30" i="10"/>
  <c r="AD31" i="8"/>
  <c r="AE30" i="8"/>
  <c r="BE52" i="4"/>
  <c r="AZ57" i="4"/>
  <c r="X37" i="10"/>
  <c r="AK24" i="10"/>
  <c r="AK24" i="8"/>
  <c r="X37" i="8"/>
  <c r="K20" i="4"/>
  <c r="T11" i="4"/>
  <c r="V51" i="10"/>
  <c r="AY22" i="10"/>
  <c r="AY22" i="8"/>
  <c r="V51" i="8"/>
  <c r="E18" i="4"/>
  <c r="R5" i="4"/>
  <c r="AY18" i="10"/>
  <c r="R51" i="10"/>
  <c r="AY18" i="8"/>
  <c r="R51" i="8"/>
  <c r="E62" i="4"/>
  <c r="BJ5" i="4"/>
  <c r="L17" i="10"/>
  <c r="Q12" i="10"/>
  <c r="L17" i="8"/>
  <c r="Q12" i="8"/>
  <c r="BI48" i="4"/>
  <c r="AV61" i="4"/>
  <c r="C12" i="10"/>
  <c r="L3" i="10"/>
  <c r="C12" i="8"/>
  <c r="L3" i="8"/>
  <c r="H22" i="2"/>
  <c r="F20" i="2"/>
  <c r="AV3" i="4"/>
  <c r="C48" i="4"/>
  <c r="W54" i="10"/>
  <c r="BB23" i="10"/>
  <c r="BB23" i="8"/>
  <c r="W54" i="8"/>
  <c r="H19" i="4"/>
  <c r="S8" i="4"/>
  <c r="W66" i="10"/>
  <c r="BN23" i="10"/>
  <c r="BN23" i="8"/>
  <c r="W66" i="8"/>
  <c r="BD19" i="4"/>
  <c r="S56" i="4"/>
  <c r="AF35" i="10"/>
  <c r="AI32" i="10"/>
  <c r="AF35" i="8"/>
  <c r="AI32" i="8"/>
  <c r="BF9" i="4"/>
  <c r="I58" i="4"/>
  <c r="AY36" i="10"/>
  <c r="AJ51" i="10"/>
  <c r="AY36" i="8"/>
  <c r="AJ51" i="8"/>
  <c r="J5" i="4"/>
  <c r="E10" i="4"/>
  <c r="J29" i="10"/>
  <c r="AC10" i="10"/>
  <c r="AC10" i="8"/>
  <c r="J29" i="8"/>
  <c r="AY28" i="4"/>
  <c r="AB51" i="4"/>
  <c r="AP23" i="10"/>
  <c r="W42" i="10"/>
  <c r="W42" i="8"/>
  <c r="AP23" i="8"/>
  <c r="AL19" i="4"/>
  <c r="S38" i="4"/>
  <c r="H63" i="10"/>
  <c r="BK8" i="10"/>
  <c r="BK8" i="8"/>
  <c r="H63" i="8"/>
  <c r="BA24" i="4"/>
  <c r="X53" i="4"/>
  <c r="J45" i="10"/>
  <c r="AS10" i="10"/>
  <c r="AS10" i="8"/>
  <c r="J45" i="8"/>
  <c r="AQ28" i="4"/>
  <c r="AB43" i="4"/>
  <c r="AM44" i="10"/>
  <c r="AR39" i="10"/>
  <c r="AM44" i="8"/>
  <c r="AR39" i="8"/>
  <c r="AN33" i="4"/>
  <c r="AG40" i="4"/>
  <c r="BN3" i="10"/>
  <c r="C66" i="10"/>
  <c r="BN3" i="8"/>
  <c r="C66" i="8"/>
  <c r="C56" i="4"/>
  <c r="BD3" i="4"/>
  <c r="BB13" i="10"/>
  <c r="M54" i="10"/>
  <c r="BB13" i="8"/>
  <c r="M54" i="8"/>
  <c r="AW8" i="4"/>
  <c r="H49" i="4"/>
  <c r="J59" i="10"/>
  <c r="BG10" i="10"/>
  <c r="BG10" i="8"/>
  <c r="J59" i="8"/>
  <c r="AE28" i="4"/>
  <c r="AB31" i="4"/>
  <c r="BI6" i="10"/>
  <c r="F61" i="10"/>
  <c r="BI6" i="8"/>
  <c r="F61" i="8"/>
  <c r="AO14" i="4"/>
  <c r="N41" i="4"/>
  <c r="D7" i="8"/>
  <c r="D7" i="10"/>
  <c r="G4" i="10"/>
  <c r="G4" i="8"/>
  <c r="D23" i="4"/>
  <c r="W4" i="4"/>
  <c r="R15" i="10"/>
  <c r="O18" i="10"/>
  <c r="O18" i="8"/>
  <c r="R15" i="8"/>
  <c r="BG62" i="4"/>
  <c r="BJ59" i="4"/>
  <c r="F65" i="10"/>
  <c r="BM6" i="10"/>
  <c r="BM6" i="8"/>
  <c r="F65" i="8"/>
  <c r="N55" i="4"/>
  <c r="BC14" i="4"/>
  <c r="P65" i="10"/>
  <c r="BM16" i="10"/>
  <c r="BM16" i="8"/>
  <c r="P65" i="8"/>
  <c r="BH55" i="4"/>
  <c r="BC60" i="4"/>
  <c r="S26" i="10"/>
  <c r="Z19" i="10"/>
  <c r="Z19" i="8"/>
  <c r="S26" i="8"/>
  <c r="AD15" i="4"/>
  <c r="O30" i="4"/>
  <c r="BJ17" i="8"/>
  <c r="Q62" i="8"/>
  <c r="Q62" i="10"/>
  <c r="BJ17" i="10"/>
  <c r="AP61" i="4"/>
  <c r="BI42" i="4"/>
  <c r="V45" i="10"/>
  <c r="AS22" i="8"/>
  <c r="V45" i="8"/>
  <c r="AS22" i="10"/>
  <c r="AQ18" i="4"/>
  <c r="R43" i="4"/>
  <c r="Y66" i="10"/>
  <c r="BN25" i="10"/>
  <c r="BN25" i="8"/>
  <c r="Y66" i="8"/>
  <c r="BD29" i="4"/>
  <c r="AC56" i="4"/>
  <c r="BG62" i="10"/>
  <c r="BJ59" i="10"/>
  <c r="BG62" i="8"/>
  <c r="BJ59" i="8"/>
  <c r="AE42" i="4"/>
  <c r="AP31" i="4"/>
  <c r="AV45" i="10"/>
  <c r="AS48" i="8"/>
  <c r="AV45" i="8"/>
  <c r="AS48" i="10"/>
  <c r="AT43" i="4"/>
  <c r="AQ46" i="4"/>
  <c r="BJ15" i="10"/>
  <c r="O62" i="10"/>
  <c r="BJ15" i="8"/>
  <c r="O62" i="8"/>
  <c r="BG42" i="4"/>
  <c r="AP59" i="4"/>
  <c r="I8" i="10"/>
  <c r="H9" i="10"/>
  <c r="H9" i="8"/>
  <c r="I8" i="8"/>
  <c r="AA24" i="4"/>
  <c r="X27" i="4"/>
  <c r="W50" i="10"/>
  <c r="AX23" i="10"/>
  <c r="AX23" i="8"/>
  <c r="W50" i="8"/>
  <c r="BN19" i="4"/>
  <c r="S66" i="4"/>
  <c r="Q20" i="10"/>
  <c r="T17" i="10"/>
  <c r="Q20" i="8"/>
  <c r="T17" i="8"/>
  <c r="BI16" i="4"/>
  <c r="P61" i="4"/>
  <c r="AU56" i="10"/>
  <c r="BD47" i="10"/>
  <c r="BD47" i="8"/>
  <c r="AU56" i="8"/>
  <c r="AS22" i="4"/>
  <c r="V45" i="4"/>
  <c r="AC22" i="10"/>
  <c r="AC22" i="8"/>
  <c r="V29" i="8"/>
  <c r="V29" i="10"/>
  <c r="AY18" i="4"/>
  <c r="R51" i="4"/>
  <c r="F51" i="10"/>
  <c r="AY6" i="10"/>
  <c r="AY6" i="8"/>
  <c r="E14" i="4"/>
  <c r="F51" i="8"/>
  <c r="N5" i="4"/>
  <c r="C10" i="10"/>
  <c r="J3" i="10"/>
  <c r="C10" i="8"/>
  <c r="J3" i="8"/>
  <c r="C28" i="4"/>
  <c r="AB3" i="4"/>
  <c r="BE36" i="8"/>
  <c r="AJ57" i="8"/>
  <c r="AJ57" i="10"/>
  <c r="BE36" i="10"/>
  <c r="J25" i="4"/>
  <c r="Y10" i="4"/>
  <c r="AN53" i="10"/>
  <c r="BA40" i="10"/>
  <c r="BA40" i="8"/>
  <c r="AN53" i="8"/>
  <c r="AH7" i="4"/>
  <c r="G34" i="4"/>
  <c r="AR45" i="10"/>
  <c r="AS44" i="10"/>
  <c r="AR45" i="8"/>
  <c r="AS44" i="8"/>
  <c r="AQ40" i="4"/>
  <c r="AN43" i="4"/>
  <c r="R39" i="10"/>
  <c r="AM18" i="10"/>
  <c r="R39" i="8"/>
  <c r="AM18" i="8"/>
  <c r="AG62" i="4"/>
  <c r="BJ33" i="4"/>
  <c r="AA30" i="10"/>
  <c r="AD27" i="10"/>
  <c r="AD27" i="8"/>
  <c r="AA30" i="8"/>
  <c r="AZ35" i="4"/>
  <c r="AI52" i="4"/>
  <c r="AI46" i="10"/>
  <c r="AT35" i="10"/>
  <c r="AT35" i="8"/>
  <c r="AI46" i="8"/>
  <c r="AR9" i="4"/>
  <c r="I44" i="4"/>
  <c r="AI50" i="10"/>
  <c r="AX35" i="10"/>
  <c r="AX35" i="8"/>
  <c r="AI50" i="8"/>
  <c r="I66" i="4"/>
  <c r="BN9" i="4"/>
  <c r="M46" i="10"/>
  <c r="AT13" i="10"/>
  <c r="AT13" i="8"/>
  <c r="M46" i="8"/>
  <c r="AW44" i="4"/>
  <c r="AR49" i="4"/>
  <c r="AT21" i="10"/>
  <c r="AT21" i="8"/>
  <c r="U46" i="8"/>
  <c r="U46" i="10"/>
  <c r="AR17" i="4"/>
  <c r="Q44" i="4"/>
  <c r="AH53" i="10"/>
  <c r="BA34" i="10"/>
  <c r="BA34" i="8"/>
  <c r="AH53" i="8"/>
  <c r="BL7" i="4"/>
  <c r="G64" i="4"/>
  <c r="W40" i="10"/>
  <c r="AN23" i="10"/>
  <c r="AN23" i="8"/>
  <c r="W40" i="8"/>
  <c r="AH19" i="4"/>
  <c r="S34" i="4"/>
  <c r="X61" i="10"/>
  <c r="BI24" i="10"/>
  <c r="BI24" i="8"/>
  <c r="X61" i="8"/>
  <c r="AO20" i="4"/>
  <c r="T41" i="4"/>
  <c r="AA20" i="10"/>
  <c r="T27" i="10"/>
  <c r="AA20" i="8"/>
  <c r="T27" i="8"/>
  <c r="AI16" i="4"/>
  <c r="P35" i="4"/>
  <c r="O4" i="10"/>
  <c r="D15" i="10"/>
  <c r="D15" i="8"/>
  <c r="O4" i="8"/>
  <c r="D59" i="4"/>
  <c r="BG4" i="4"/>
  <c r="AK50" i="10"/>
  <c r="AX37" i="10"/>
  <c r="AK50" i="8"/>
  <c r="AX37" i="8"/>
  <c r="K66" i="4"/>
  <c r="BN11" i="4"/>
  <c r="K48" i="10"/>
  <c r="AV11" i="10"/>
  <c r="AV11" i="8"/>
  <c r="K48" i="8"/>
  <c r="AU46" i="4"/>
  <c r="AT47" i="4"/>
  <c r="AT29" i="10"/>
  <c r="AC46" i="10"/>
  <c r="AT29" i="8"/>
  <c r="AC46" i="8"/>
  <c r="AY44" i="4"/>
  <c r="AR51" i="4"/>
  <c r="BD11" i="10"/>
  <c r="K56" i="10"/>
  <c r="BD11" i="8"/>
  <c r="K56" i="8"/>
  <c r="AU22" i="4"/>
  <c r="V47" i="4"/>
  <c r="Q30" i="10"/>
  <c r="AD17" i="10"/>
  <c r="Q30" i="8"/>
  <c r="AD17" i="8"/>
  <c r="BI52" i="4"/>
  <c r="AZ61" i="4"/>
  <c r="F13" i="10"/>
  <c r="M6" i="10"/>
  <c r="M6" i="8"/>
  <c r="F13" i="8"/>
  <c r="AW14" i="4"/>
  <c r="N49" i="4"/>
  <c r="S56" i="10"/>
  <c r="BD19" i="10"/>
  <c r="BD19" i="8"/>
  <c r="S56" i="8"/>
  <c r="V15" i="4"/>
  <c r="O22" i="4"/>
  <c r="Y42" i="10"/>
  <c r="AP25" i="10"/>
  <c r="AP25" i="8"/>
  <c r="Y42" i="8"/>
  <c r="AL29" i="4"/>
  <c r="AC38" i="4"/>
  <c r="AE66" i="10"/>
  <c r="BN31" i="10"/>
  <c r="BN31" i="8"/>
  <c r="AE66" i="8"/>
  <c r="BE56" i="4"/>
  <c r="BD57" i="4"/>
  <c r="E46" i="10"/>
  <c r="AT5" i="10"/>
  <c r="AT5" i="8"/>
  <c r="E46" i="8"/>
  <c r="AR13" i="4"/>
  <c r="M44" i="4"/>
  <c r="D55" i="10"/>
  <c r="BC4" i="10"/>
  <c r="BC4" i="8"/>
  <c r="D55" i="8"/>
  <c r="D21" i="4"/>
  <c r="U4" i="4"/>
  <c r="L59" i="10"/>
  <c r="BG12" i="10"/>
  <c r="BG12" i="8"/>
  <c r="L59" i="8"/>
  <c r="AE48" i="4"/>
  <c r="AV31" i="4"/>
  <c r="AC48" i="10"/>
  <c r="AV29" i="10"/>
  <c r="AC48" i="8"/>
  <c r="AV29" i="8"/>
  <c r="AY46" i="4"/>
  <c r="AT51" i="4"/>
  <c r="BA66" i="10"/>
  <c r="BN53" i="10"/>
  <c r="BA66" i="8"/>
  <c r="BN53" i="8"/>
  <c r="BD7" i="4"/>
  <c r="G56" i="4"/>
  <c r="M44" i="10"/>
  <c r="AR13" i="10"/>
  <c r="AR13" i="8"/>
  <c r="M44" i="8"/>
  <c r="AN49" i="4"/>
  <c r="AW40" i="4"/>
  <c r="M42" i="10"/>
  <c r="AP13" i="10"/>
  <c r="AP13" i="8"/>
  <c r="M42" i="8"/>
  <c r="AW38" i="4"/>
  <c r="AL49" i="4"/>
  <c r="AA34" i="10"/>
  <c r="AH27" i="10"/>
  <c r="AH27" i="8"/>
  <c r="AA34" i="8"/>
  <c r="BL35" i="4"/>
  <c r="AI64" i="4"/>
  <c r="O24" i="10"/>
  <c r="X15" i="10"/>
  <c r="O24" i="8"/>
  <c r="X15" i="8"/>
  <c r="BG20" i="4"/>
  <c r="T59" i="4"/>
  <c r="BK50" i="10"/>
  <c r="AX63" i="10"/>
  <c r="AX63" i="8"/>
  <c r="BK50" i="8"/>
  <c r="BN53" i="4"/>
  <c r="BA66" i="4"/>
  <c r="N3" i="10"/>
  <c r="C14" i="10"/>
  <c r="C14" i="8"/>
  <c r="N3" i="8"/>
  <c r="C50" i="4"/>
  <c r="AX3" i="4"/>
  <c r="Q14" i="10"/>
  <c r="N17" i="10"/>
  <c r="N17" i="8"/>
  <c r="Q14" i="8"/>
  <c r="BI50" i="4"/>
  <c r="AX61" i="4"/>
  <c r="F27" i="2"/>
  <c r="H26" i="2"/>
  <c r="BG66" i="10"/>
  <c r="BN59" i="10"/>
  <c r="BN59" i="8"/>
  <c r="BG66" i="8"/>
  <c r="T5" i="2"/>
  <c r="D31" i="2"/>
  <c r="H5" i="2"/>
  <c r="BD31" i="5"/>
  <c r="AE56" i="5"/>
  <c r="D5" i="2"/>
  <c r="U5" i="2"/>
  <c r="BD31" i="4"/>
  <c r="AE56" i="4"/>
  <c r="F31" i="2"/>
  <c r="M30" i="10"/>
  <c r="AD13" i="10"/>
  <c r="AD13" i="8"/>
  <c r="M30" i="8"/>
  <c r="AZ49" i="4"/>
  <c r="AW52" i="4"/>
  <c r="N41" i="10"/>
  <c r="AO14" i="10"/>
  <c r="AO14" i="8"/>
  <c r="N41" i="8"/>
  <c r="AK50" i="4"/>
  <c r="AX37" i="4"/>
  <c r="Z63" i="10"/>
  <c r="BK26" i="10"/>
  <c r="BK26" i="8"/>
  <c r="Z63" i="8"/>
  <c r="BA30" i="4"/>
  <c r="AD53" i="4"/>
  <c r="BH41" i="10"/>
  <c r="AO60" i="10"/>
  <c r="AO60" i="8"/>
  <c r="BH41" i="8"/>
  <c r="AF37" i="4"/>
  <c r="AK32" i="4"/>
  <c r="T57" i="10"/>
  <c r="BE20" i="10"/>
  <c r="BE20" i="8"/>
  <c r="T57" i="8"/>
  <c r="Y16" i="4"/>
  <c r="P25" i="4"/>
  <c r="R45" i="10"/>
  <c r="AS18" i="10"/>
  <c r="AS18" i="8"/>
  <c r="R45" i="8"/>
  <c r="BJ43" i="4"/>
  <c r="AQ62" i="4"/>
  <c r="BG50" i="8"/>
  <c r="AX59" i="8"/>
  <c r="AX59" i="10"/>
  <c r="BG50" i="10"/>
  <c r="AE66" i="4"/>
  <c r="BN31" i="4"/>
  <c r="T29" i="10"/>
  <c r="AC20" i="10"/>
  <c r="AC20" i="8"/>
  <c r="T29" i="8"/>
  <c r="AY16" i="4"/>
  <c r="P51" i="4"/>
  <c r="M4" i="10"/>
  <c r="D13" i="10"/>
  <c r="D13" i="8"/>
  <c r="M4" i="8"/>
  <c r="D49" i="4"/>
  <c r="AW4" i="4"/>
  <c r="M16" i="10"/>
  <c r="P13" i="10"/>
  <c r="M16" i="8"/>
  <c r="P13" i="8"/>
  <c r="BH49" i="4"/>
  <c r="AW60" i="4"/>
  <c r="S62" i="10"/>
  <c r="BJ19" i="10"/>
  <c r="BJ19" i="8"/>
  <c r="S62" i="8"/>
  <c r="AP15" i="4"/>
  <c r="O42" i="4"/>
  <c r="AH49" i="10"/>
  <c r="AW34" i="10"/>
  <c r="AW34" i="8"/>
  <c r="AH49" i="8"/>
  <c r="BL65" i="4"/>
  <c r="BM64" i="4"/>
  <c r="AC28" i="10"/>
  <c r="AB29" i="10"/>
  <c r="AC28" i="8"/>
  <c r="AB29" i="8"/>
  <c r="AY36" i="4"/>
  <c r="AJ51" i="4"/>
  <c r="P31" i="10"/>
  <c r="AE16" i="10"/>
  <c r="AE16" i="8"/>
  <c r="P31" i="8"/>
  <c r="BE60" i="4"/>
  <c r="BH57" i="4"/>
  <c r="AR63" i="10"/>
  <c r="BK44" i="10"/>
  <c r="AR63" i="8"/>
  <c r="BK44" i="8"/>
  <c r="AN53" i="4"/>
  <c r="BA40" i="4"/>
  <c r="N61" i="10"/>
  <c r="BI14" i="10"/>
  <c r="BI14" i="8"/>
  <c r="N61" i="8"/>
  <c r="AX41" i="4"/>
  <c r="AO50" i="4"/>
  <c r="BJ31" i="10"/>
  <c r="BJ31" i="8"/>
  <c r="AE62" i="8"/>
  <c r="AE62" i="10"/>
  <c r="AP57" i="4"/>
  <c r="BE42" i="4"/>
  <c r="AU34" i="10"/>
  <c r="AH47" i="10"/>
  <c r="AU34" i="8"/>
  <c r="AH47" i="8"/>
  <c r="AS64" i="4"/>
  <c r="BL45" i="4"/>
  <c r="X25" i="10"/>
  <c r="Y24" i="10"/>
  <c r="X25" i="8"/>
  <c r="Y24" i="8"/>
  <c r="H6" i="2"/>
  <c r="AC20" i="4"/>
  <c r="T29" i="4"/>
  <c r="U30" i="10"/>
  <c r="AD21" i="10"/>
  <c r="AD21" i="8"/>
  <c r="U30" i="8"/>
  <c r="AZ17" i="4"/>
  <c r="Q52" i="4"/>
  <c r="U48" i="10"/>
  <c r="AV21" i="10"/>
  <c r="AV21" i="8"/>
  <c r="U48" i="8"/>
  <c r="AT17" i="4"/>
  <c r="Q46" i="4"/>
  <c r="L57" i="10"/>
  <c r="BE12" i="10"/>
  <c r="BE12" i="8"/>
  <c r="L57" i="8"/>
  <c r="AV25" i="4"/>
  <c r="Y48" i="4"/>
  <c r="AC26" i="10"/>
  <c r="AC26" i="8"/>
  <c r="Z29" i="8"/>
  <c r="Z29" i="10"/>
  <c r="AY30" i="4"/>
  <c r="AD51" i="4"/>
  <c r="BL53" i="10"/>
  <c r="BA64" i="10"/>
  <c r="BL53" i="8"/>
  <c r="BA64" i="8"/>
  <c r="BB7" i="4"/>
  <c r="G54" i="4"/>
  <c r="P47" i="10"/>
  <c r="AU16" i="10"/>
  <c r="AU16" i="8"/>
  <c r="P47" i="8"/>
  <c r="AS60" i="4"/>
  <c r="BH45" i="4"/>
  <c r="M50" i="10"/>
  <c r="AX13" i="10"/>
  <c r="AX13" i="8"/>
  <c r="M50" i="8"/>
  <c r="AW66" i="4"/>
  <c r="BN49" i="4"/>
  <c r="R29" i="10"/>
  <c r="AC18" i="10"/>
  <c r="R29" i="8"/>
  <c r="AC18" i="8"/>
  <c r="BJ51" i="4"/>
  <c r="AY62" i="4"/>
  <c r="AE44" i="10"/>
  <c r="AR31" i="10"/>
  <c r="AR31" i="8"/>
  <c r="AE44" i="8"/>
  <c r="BE40" i="4"/>
  <c r="AN57" i="4"/>
  <c r="R25" i="10"/>
  <c r="Y18" i="10"/>
  <c r="Y18" i="8"/>
  <c r="R25" i="8"/>
  <c r="BJ29" i="4"/>
  <c r="AC62" i="4"/>
  <c r="C48" i="8"/>
  <c r="AV3" i="8"/>
  <c r="C48" i="10"/>
  <c r="AV3" i="10"/>
  <c r="C46" i="4"/>
  <c r="AT3" i="4"/>
  <c r="AK40" i="10"/>
  <c r="AN37" i="10"/>
  <c r="AK40" i="8"/>
  <c r="AN37" i="8"/>
  <c r="AH11" i="4"/>
  <c r="K34" i="4"/>
  <c r="I48" i="10"/>
  <c r="AV9" i="10"/>
  <c r="AV9" i="8"/>
  <c r="I48" i="8"/>
  <c r="AT27" i="4"/>
  <c r="AA46" i="4"/>
  <c r="AZ35" i="10"/>
  <c r="AI52" i="10"/>
  <c r="AZ35" i="8"/>
  <c r="AI52" i="8"/>
  <c r="F9" i="4"/>
  <c r="I6" i="4"/>
  <c r="BD29" i="10"/>
  <c r="BD29" i="8"/>
  <c r="AC56" i="8"/>
  <c r="AC56" i="10"/>
  <c r="AY22" i="4"/>
  <c r="V51" i="4"/>
  <c r="AX51" i="10"/>
  <c r="AY50" i="10"/>
  <c r="AX51" i="8"/>
  <c r="AY50" i="8"/>
  <c r="F23" i="2"/>
  <c r="E66" i="4"/>
  <c r="BN5" i="4"/>
  <c r="H29" i="2"/>
  <c r="L23" i="2"/>
  <c r="M23" i="2"/>
  <c r="X43" i="10"/>
  <c r="AQ24" i="10"/>
  <c r="AQ24" i="8"/>
  <c r="X43" i="8"/>
  <c r="AM20" i="4"/>
  <c r="T39" i="4"/>
  <c r="AA14" i="10"/>
  <c r="AA14" i="8"/>
  <c r="N27" i="8"/>
  <c r="N27" i="10"/>
  <c r="AX35" i="4"/>
  <c r="AI50" i="4"/>
  <c r="J27" i="10"/>
  <c r="AA10" i="10"/>
  <c r="AA10" i="8"/>
  <c r="J27" i="8"/>
  <c r="AB35" i="4"/>
  <c r="AI28" i="4"/>
  <c r="W46" i="10"/>
  <c r="AT23" i="10"/>
  <c r="AT23" i="8"/>
  <c r="W46" i="8"/>
  <c r="AR19" i="4"/>
  <c r="S44" i="4"/>
  <c r="W48" i="10"/>
  <c r="AV23" i="10"/>
  <c r="AV23" i="8"/>
  <c r="W48" i="8"/>
  <c r="AT19" i="4"/>
  <c r="S46" i="4"/>
  <c r="Y58" i="10"/>
  <c r="BF25" i="10"/>
  <c r="BF25" i="8"/>
  <c r="Y58" i="8"/>
  <c r="AC26" i="4"/>
  <c r="Z29" i="4"/>
  <c r="AP19" i="8"/>
  <c r="S42" i="8"/>
  <c r="S42" i="10"/>
  <c r="AP19" i="10"/>
  <c r="AL15" i="4"/>
  <c r="O38" i="4"/>
  <c r="N53" i="10"/>
  <c r="BA14" i="10"/>
  <c r="BA14" i="8"/>
  <c r="N53" i="8"/>
  <c r="AX7" i="4"/>
  <c r="G50" i="4"/>
  <c r="L63" i="10"/>
  <c r="BK12" i="10"/>
  <c r="BK12" i="8"/>
  <c r="L63" i="8"/>
  <c r="AV53" i="4"/>
  <c r="BA48" i="4"/>
  <c r="Z65" i="10"/>
  <c r="BM26" i="10"/>
  <c r="BM26" i="8"/>
  <c r="Z65" i="8"/>
  <c r="BC30" i="4"/>
  <c r="AD55" i="4"/>
  <c r="U34" i="10"/>
  <c r="AH21" i="10"/>
  <c r="U34" i="8"/>
  <c r="AH21" i="8"/>
  <c r="BL17" i="4"/>
  <c r="Q64" i="4"/>
  <c r="AZ9" i="10"/>
  <c r="I52" i="10"/>
  <c r="AZ9" i="8"/>
  <c r="I52" i="8"/>
  <c r="F27" i="4"/>
  <c r="AA6" i="4"/>
  <c r="AH63" i="10"/>
  <c r="BK34" i="10"/>
  <c r="BK34" i="8"/>
  <c r="AH63" i="8"/>
  <c r="BL53" i="4"/>
  <c r="BA64" i="4"/>
  <c r="AF19" i="10"/>
  <c r="S32" i="10"/>
  <c r="AF19" i="8"/>
  <c r="S32" i="8"/>
  <c r="BF15" i="4"/>
  <c r="O58" i="4"/>
  <c r="Y32" i="10"/>
  <c r="AF25" i="10"/>
  <c r="AF25" i="8"/>
  <c r="Y32" i="8"/>
  <c r="AC58" i="4"/>
  <c r="BF29" i="4"/>
  <c r="O32" i="10"/>
  <c r="AF15" i="10"/>
  <c r="AF15" i="8"/>
  <c r="O32" i="8"/>
  <c r="BG58" i="4"/>
  <c r="BF59" i="4"/>
  <c r="AK30" i="10"/>
  <c r="AK30" i="8"/>
  <c r="AD37" i="8"/>
  <c r="AD37" i="10"/>
  <c r="AZ11" i="4"/>
  <c r="K52" i="4"/>
  <c r="AD57" i="10"/>
  <c r="BE30" i="10"/>
  <c r="AD57" i="8"/>
  <c r="BE30" i="8"/>
  <c r="AZ25" i="4"/>
  <c r="Y52" i="4"/>
  <c r="L39" i="10"/>
  <c r="AM12" i="10"/>
  <c r="L39" i="8"/>
  <c r="AM12" i="8"/>
  <c r="AV33" i="4"/>
  <c r="AG48" i="4"/>
  <c r="X29" i="10"/>
  <c r="AC24" i="10"/>
  <c r="AC24" i="8"/>
  <c r="X29" i="8"/>
  <c r="AY20" i="4"/>
  <c r="T51" i="4"/>
  <c r="L47" i="10"/>
  <c r="AU12" i="10"/>
  <c r="AU12" i="8"/>
  <c r="L47" i="8"/>
  <c r="AV45" i="4"/>
  <c r="AS48" i="4"/>
  <c r="AO6" i="10"/>
  <c r="F41" i="10"/>
  <c r="AO6" i="8"/>
  <c r="F41" i="8"/>
  <c r="AK14" i="4"/>
  <c r="N37" i="4"/>
  <c r="BB59" i="10"/>
  <c r="BG54" i="10"/>
  <c r="BB59" i="8"/>
  <c r="BG54" i="8"/>
  <c r="AE8" i="4"/>
  <c r="H31" i="4"/>
  <c r="J23" i="10"/>
  <c r="W10" i="10"/>
  <c r="W10" i="8"/>
  <c r="J23" i="8"/>
  <c r="AB19" i="4"/>
  <c r="S28" i="4"/>
  <c r="Z41" i="10"/>
  <c r="AO26" i="10"/>
  <c r="AO26" i="8"/>
  <c r="Z41" i="8"/>
  <c r="AD37" i="4"/>
  <c r="AK30" i="4"/>
  <c r="R37" i="10"/>
  <c r="AK18" i="8"/>
  <c r="R37" i="8"/>
  <c r="AK18" i="10"/>
  <c r="BJ11" i="4"/>
  <c r="K62" i="4"/>
  <c r="L51" i="10"/>
  <c r="AY12" i="10"/>
  <c r="AY12" i="8"/>
  <c r="L51" i="8"/>
  <c r="E48" i="4"/>
  <c r="AV5" i="4"/>
  <c r="BF21" i="10"/>
  <c r="U58" i="10"/>
  <c r="BF21" i="8"/>
  <c r="U58" i="8"/>
  <c r="Z17" i="4"/>
  <c r="Q26" i="4"/>
  <c r="AN31" i="10"/>
  <c r="AE40" i="10"/>
  <c r="AN31" i="8"/>
  <c r="AE40" i="8"/>
  <c r="BE34" i="4"/>
  <c r="AH57" i="4"/>
  <c r="BA24" i="10"/>
  <c r="X53" i="10"/>
  <c r="BA24" i="8"/>
  <c r="X53" i="8"/>
  <c r="T7" i="4"/>
  <c r="G20" i="4"/>
  <c r="AA32" i="10"/>
  <c r="AF27" i="10"/>
  <c r="AF27" i="8"/>
  <c r="AA32" i="8"/>
  <c r="BF35" i="4"/>
  <c r="AI58" i="4"/>
  <c r="S24" i="10"/>
  <c r="X19" i="10"/>
  <c r="S24" i="8"/>
  <c r="X19" i="8"/>
  <c r="T15" i="4"/>
  <c r="O20" i="4"/>
  <c r="AP39" i="10"/>
  <c r="AM42" i="10"/>
  <c r="AP39" i="8"/>
  <c r="AM42" i="8"/>
  <c r="AL33" i="4"/>
  <c r="AG38" i="4"/>
  <c r="W4" i="10"/>
  <c r="D23" i="10"/>
  <c r="D23" i="8"/>
  <c r="W4" i="8"/>
  <c r="S4" i="4"/>
  <c r="D19" i="4"/>
  <c r="AB35" i="10"/>
  <c r="AI28" i="10"/>
  <c r="AI28" i="8"/>
  <c r="AB35" i="8"/>
  <c r="AJ9" i="4"/>
  <c r="I36" i="4"/>
  <c r="AH61" i="10"/>
  <c r="BI34" i="10"/>
  <c r="BI34" i="8"/>
  <c r="AH61" i="8"/>
  <c r="BL41" i="4"/>
  <c r="AO64" i="4"/>
  <c r="BG44" i="10"/>
  <c r="AR59" i="10"/>
  <c r="AR59" i="8"/>
  <c r="BG44" i="8"/>
  <c r="AN31" i="4"/>
  <c r="AE40" i="4"/>
  <c r="AV59" i="10"/>
  <c r="BG48" i="10"/>
  <c r="AV59" i="8"/>
  <c r="BG48" i="8"/>
  <c r="AT31" i="4"/>
  <c r="AE46" i="4"/>
  <c r="BJ39" i="10"/>
  <c r="AM62" i="8"/>
  <c r="BJ39" i="8"/>
  <c r="AM62" i="10"/>
  <c r="AP33" i="4"/>
  <c r="AG42" i="4"/>
  <c r="L55" i="10"/>
  <c r="BC12" i="10"/>
  <c r="BC12" i="8"/>
  <c r="L55" i="8"/>
  <c r="AV21" i="4"/>
  <c r="U48" i="4"/>
  <c r="Q40" i="10"/>
  <c r="AN17" i="10"/>
  <c r="AN17" i="8"/>
  <c r="Q40" i="8"/>
  <c r="BI34" i="4"/>
  <c r="AH61" i="4"/>
  <c r="J49" i="10"/>
  <c r="AW10" i="10"/>
  <c r="AW10" i="8"/>
  <c r="J49" i="8"/>
  <c r="BM28" i="4"/>
  <c r="AB65" i="4"/>
  <c r="AJ5" i="10"/>
  <c r="E36" i="10"/>
  <c r="AJ5" i="8"/>
  <c r="E36" i="8"/>
  <c r="M10" i="4"/>
  <c r="J13" i="4"/>
  <c r="AU38" i="10"/>
  <c r="AL47" i="10"/>
  <c r="AU38" i="8"/>
  <c r="AL47" i="8"/>
  <c r="AS12" i="4"/>
  <c r="L45" i="4"/>
  <c r="AF59" i="10"/>
  <c r="BG32" i="10"/>
  <c r="BG32" i="8"/>
  <c r="AF59" i="8"/>
  <c r="BF31" i="4"/>
  <c r="AE58" i="4"/>
  <c r="AR29" i="10"/>
  <c r="AC44" i="10"/>
  <c r="AR29" i="8"/>
  <c r="AC44" i="8"/>
  <c r="AN51" i="4"/>
  <c r="AY40" i="4"/>
  <c r="AM46" i="10"/>
  <c r="AT39" i="10"/>
  <c r="AT39" i="8"/>
  <c r="AM46" i="8"/>
  <c r="AR33" i="4"/>
  <c r="AG44" i="4"/>
  <c r="AM58" i="10"/>
  <c r="BF39" i="10"/>
  <c r="AM58" i="8"/>
  <c r="BF39" i="8"/>
  <c r="Z33" i="4"/>
  <c r="AG26" i="4"/>
  <c r="AC66" i="10"/>
  <c r="BN29" i="10"/>
  <c r="BN29" i="8"/>
  <c r="AC66" i="8"/>
  <c r="BD51" i="4"/>
  <c r="AY56" i="4"/>
  <c r="BM20" i="10"/>
  <c r="T65" i="10"/>
  <c r="BM20" i="8"/>
  <c r="T65" i="8"/>
  <c r="BC16" i="4"/>
  <c r="P55" i="4"/>
  <c r="V53" i="10"/>
  <c r="BA22" i="10"/>
  <c r="BA22" i="8"/>
  <c r="V53" i="8"/>
  <c r="R7" i="4"/>
  <c r="G18" i="4"/>
  <c r="E30" i="10"/>
  <c r="AD5" i="10"/>
  <c r="E30" i="8"/>
  <c r="AD5" i="8"/>
  <c r="AZ13" i="4"/>
  <c r="M52" i="4"/>
  <c r="BE14" i="8"/>
  <c r="N57" i="8"/>
  <c r="N57" i="10"/>
  <c r="BE14" i="10"/>
  <c r="AX25" i="4"/>
  <c r="Y50" i="4"/>
  <c r="BD43" i="8"/>
  <c r="AQ56" i="8"/>
  <c r="AQ56" i="10"/>
  <c r="BD43" i="10"/>
  <c r="V39" i="4"/>
  <c r="AM22" i="4"/>
  <c r="AG10" i="10"/>
  <c r="J33" i="10"/>
  <c r="J33" i="8"/>
  <c r="AG10" i="8"/>
  <c r="AB63" i="4"/>
  <c r="BK28" i="4"/>
  <c r="AK42" i="10"/>
  <c r="AP37" i="10"/>
  <c r="AK42" i="8"/>
  <c r="AP37" i="8"/>
  <c r="AL11" i="4"/>
  <c r="K38" i="4"/>
  <c r="AO50" i="10"/>
  <c r="AX41" i="10"/>
  <c r="AX41" i="8"/>
  <c r="AO50" i="8"/>
  <c r="BN37" i="4"/>
  <c r="AK66" i="4"/>
  <c r="P43" i="10"/>
  <c r="AQ16" i="10"/>
  <c r="AQ16" i="8"/>
  <c r="P43" i="8"/>
  <c r="BH39" i="4"/>
  <c r="AM60" i="4"/>
  <c r="P7" i="10"/>
  <c r="P7" i="8"/>
  <c r="G16" i="8"/>
  <c r="G16" i="10"/>
  <c r="W60" i="4"/>
  <c r="BH23" i="4"/>
  <c r="Z31" i="10"/>
  <c r="AE26" i="10"/>
  <c r="AE26" i="8"/>
  <c r="Z31" i="8"/>
  <c r="BE30" i="4"/>
  <c r="AD57" i="4"/>
  <c r="AP55" i="10"/>
  <c r="BC42" i="10"/>
  <c r="AP55" i="8"/>
  <c r="BC42" i="8"/>
  <c r="U38" i="4"/>
  <c r="AL21" i="4"/>
  <c r="G62" i="10"/>
  <c r="BJ7" i="10"/>
  <c r="BJ7" i="8"/>
  <c r="G62" i="8"/>
  <c r="AP23" i="4"/>
  <c r="W42" i="4"/>
  <c r="W30" i="10"/>
  <c r="AD23" i="10"/>
  <c r="AD23" i="8"/>
  <c r="W30" i="8"/>
  <c r="AZ19" i="4"/>
  <c r="S52" i="4"/>
  <c r="K62" i="10"/>
  <c r="BJ11" i="10"/>
  <c r="BJ11" i="8"/>
  <c r="K62" i="8"/>
  <c r="AU42" i="4"/>
  <c r="AP47" i="4"/>
  <c r="G44" i="10"/>
  <c r="AR7" i="10"/>
  <c r="AR7" i="8"/>
  <c r="G44" i="8"/>
  <c r="F28" i="2"/>
  <c r="AN23" i="4"/>
  <c r="W40" i="4"/>
  <c r="H15" i="10"/>
  <c r="O8" i="10"/>
  <c r="O8" i="8"/>
  <c r="H15" i="8"/>
  <c r="F18" i="2"/>
  <c r="BG24" i="4"/>
  <c r="X59" i="4"/>
  <c r="E16" i="10"/>
  <c r="P5" i="10"/>
  <c r="P5" i="8"/>
  <c r="E16" i="8"/>
  <c r="H18" i="2"/>
  <c r="BH13" i="4"/>
  <c r="M60" i="4"/>
  <c r="J21" i="10"/>
  <c r="U10" i="10"/>
  <c r="J21" i="8"/>
  <c r="U10" i="8"/>
  <c r="H30" i="2"/>
  <c r="AB17" i="4"/>
  <c r="Q28" i="4"/>
  <c r="D7" i="2"/>
  <c r="F7" i="2"/>
  <c r="G7" i="2" s="1"/>
  <c r="L7" i="2"/>
  <c r="AB17" i="5"/>
  <c r="M7" i="2"/>
  <c r="Q28" i="5"/>
  <c r="D30" i="2"/>
  <c r="E24" i="10"/>
  <c r="X5" i="10"/>
  <c r="X5" i="8"/>
  <c r="E24" i="8"/>
  <c r="T13" i="4"/>
  <c r="M20" i="4"/>
  <c r="BB11" i="10"/>
  <c r="K54" i="10"/>
  <c r="BB11" i="8"/>
  <c r="K54" i="8"/>
  <c r="H47" i="4"/>
  <c r="AU8" i="4"/>
  <c r="U50" i="10"/>
  <c r="AX21" i="10"/>
  <c r="AX21" i="8"/>
  <c r="U50" i="8"/>
  <c r="BN17" i="4"/>
  <c r="Q66" i="4"/>
  <c r="AT51" i="10"/>
  <c r="AY46" i="10"/>
  <c r="AY46" i="8"/>
  <c r="AT51" i="8"/>
  <c r="AR5" i="4"/>
  <c r="E44" i="4"/>
  <c r="C16" i="10"/>
  <c r="P3" i="10"/>
  <c r="C16" i="8"/>
  <c r="P3" i="8"/>
  <c r="C60" i="4"/>
  <c r="BH3" i="4"/>
  <c r="P39" i="10"/>
  <c r="AM16" i="10"/>
  <c r="AM16" i="8"/>
  <c r="P39" i="8"/>
  <c r="BH33" i="4"/>
  <c r="AG60" i="4"/>
  <c r="O38" i="10"/>
  <c r="AL15" i="10"/>
  <c r="O38" i="8"/>
  <c r="AL15" i="8"/>
  <c r="BG12" i="4"/>
  <c r="L59" i="4"/>
  <c r="C50" i="10"/>
  <c r="AX3" i="10"/>
  <c r="C50" i="8"/>
  <c r="AX3" i="8"/>
  <c r="BN3" i="4"/>
  <c r="C66" i="4"/>
  <c r="AB43" i="10"/>
  <c r="AQ28" i="10"/>
  <c r="AQ28" i="8"/>
  <c r="AB43" i="8"/>
  <c r="AM36" i="4"/>
  <c r="AJ39" i="4"/>
  <c r="AE52" i="10"/>
  <c r="AZ31" i="10"/>
  <c r="AE52" i="8"/>
  <c r="AZ31" i="8"/>
  <c r="F57" i="4"/>
  <c r="BE6" i="4"/>
  <c r="M36" i="10"/>
  <c r="AJ13" i="10"/>
  <c r="AJ13" i="8"/>
  <c r="M36" i="8"/>
  <c r="J49" i="4"/>
  <c r="AW10" i="4"/>
  <c r="V43" i="10"/>
  <c r="AQ22" i="10"/>
  <c r="V43" i="8"/>
  <c r="AQ22" i="8"/>
  <c r="AM18" i="4"/>
  <c r="R39" i="4"/>
  <c r="AG12" i="10"/>
  <c r="L33" i="10"/>
  <c r="L33" i="8"/>
  <c r="AG12" i="8"/>
  <c r="AV63" i="4"/>
  <c r="BK48" i="4"/>
  <c r="N33" i="10"/>
  <c r="AG14" i="10"/>
  <c r="AG14" i="8"/>
  <c r="N33" i="8"/>
  <c r="BK50" i="4"/>
  <c r="AX63" i="4"/>
  <c r="N55" i="10"/>
  <c r="BC14" i="10"/>
  <c r="BC14" i="8"/>
  <c r="N55" i="8"/>
  <c r="AX21" i="4"/>
  <c r="U50" i="4"/>
  <c r="AL65" i="10"/>
  <c r="BM38" i="10"/>
  <c r="BM38" i="8"/>
  <c r="AL65" i="8"/>
  <c r="BC12" i="4"/>
  <c r="L55" i="4"/>
  <c r="O28" i="10"/>
  <c r="AB15" i="10"/>
  <c r="AB15" i="8"/>
  <c r="O28" i="8"/>
  <c r="BG36" i="4"/>
  <c r="AJ59" i="4"/>
  <c r="J35" i="10"/>
  <c r="AI10" i="10"/>
  <c r="J35" i="8"/>
  <c r="AI10" i="8"/>
  <c r="AB9" i="4"/>
  <c r="I28" i="4"/>
  <c r="I34" i="10"/>
  <c r="AH9" i="10"/>
  <c r="I34" i="8"/>
  <c r="AH9" i="8"/>
  <c r="AA64" i="4"/>
  <c r="BL27" i="4"/>
  <c r="AT19" i="10"/>
  <c r="S46" i="10"/>
  <c r="AT19" i="8"/>
  <c r="S46" i="8"/>
  <c r="AR15" i="4"/>
  <c r="O44" i="4"/>
  <c r="BC64" i="10"/>
  <c r="BL55" i="10"/>
  <c r="BL55" i="8"/>
  <c r="BC64" i="8"/>
  <c r="U54" i="4"/>
  <c r="BB21" i="4"/>
  <c r="J41" i="10"/>
  <c r="AO10" i="10"/>
  <c r="AO10" i="8"/>
  <c r="J41" i="8"/>
  <c r="AK28" i="4"/>
  <c r="AB37" i="4"/>
  <c r="AK52" i="10"/>
  <c r="AZ37" i="10"/>
  <c r="AZ37" i="8"/>
  <c r="AK52" i="8"/>
  <c r="K6" i="4"/>
  <c r="F11" i="4"/>
  <c r="H13" i="10"/>
  <c r="M8" i="10"/>
  <c r="M8" i="8"/>
  <c r="H13" i="8"/>
  <c r="AW24" i="4"/>
  <c r="X49" i="4"/>
  <c r="AS32" i="10"/>
  <c r="AS32" i="8"/>
  <c r="AF45" i="8"/>
  <c r="AF45" i="10"/>
  <c r="BF43" i="4"/>
  <c r="AQ58" i="4"/>
  <c r="T49" i="10"/>
  <c r="AW20" i="10"/>
  <c r="AW20" i="8"/>
  <c r="BM16" i="4"/>
  <c r="T49" i="8"/>
  <c r="P65" i="4"/>
  <c r="F45" i="10"/>
  <c r="AS6" i="10"/>
  <c r="AS6" i="8"/>
  <c r="F45" i="8"/>
  <c r="AQ14" i="4"/>
  <c r="N43" i="4"/>
  <c r="BC50" i="10"/>
  <c r="BC50" i="8"/>
  <c r="AX55" i="8"/>
  <c r="AX55" i="10"/>
  <c r="BN21" i="4"/>
  <c r="U66" i="4"/>
  <c r="X13" i="10"/>
  <c r="M24" i="10"/>
  <c r="X13" i="8"/>
  <c r="M24" i="8"/>
  <c r="AW20" i="4"/>
  <c r="T49" i="4"/>
  <c r="D39" i="10"/>
  <c r="AM4" i="10"/>
  <c r="D39" i="8"/>
  <c r="AM4" i="8"/>
  <c r="D33" i="4"/>
  <c r="AG4" i="4"/>
  <c r="F17" i="10"/>
  <c r="Q6" i="10"/>
  <c r="F17" i="8"/>
  <c r="Q6" i="8"/>
  <c r="BI14" i="4"/>
  <c r="N61" i="4"/>
  <c r="AU30" i="10"/>
  <c r="AD47" i="10"/>
  <c r="AU30" i="8"/>
  <c r="AD47" i="8"/>
  <c r="AZ45" i="4"/>
  <c r="AS52" i="4"/>
  <c r="L31" i="10"/>
  <c r="AE12" i="10"/>
  <c r="AE12" i="8"/>
  <c r="L31" i="8"/>
  <c r="BE48" i="4"/>
  <c r="AV57" i="4"/>
  <c r="AN19" i="10"/>
  <c r="S40" i="10"/>
  <c r="S40" i="8"/>
  <c r="AN19" i="8"/>
  <c r="AH15" i="4"/>
  <c r="O34" i="4"/>
  <c r="Y52" i="10"/>
  <c r="AZ25" i="10"/>
  <c r="AZ25" i="8"/>
  <c r="Y52" i="8"/>
  <c r="F29" i="4"/>
  <c r="AC6" i="4"/>
  <c r="K64" i="10"/>
  <c r="BL11" i="10"/>
  <c r="BL11" i="8"/>
  <c r="K64" i="8"/>
  <c r="BB47" i="4"/>
  <c r="AU54" i="4"/>
  <c r="K58" i="10"/>
  <c r="BF11" i="10"/>
  <c r="BF11" i="8"/>
  <c r="K58" i="8"/>
  <c r="AU26" i="4"/>
  <c r="Z47" i="4"/>
  <c r="R31" i="10"/>
  <c r="AE18" i="10"/>
  <c r="AE18" i="8"/>
  <c r="R31" i="8"/>
  <c r="BJ57" i="4"/>
  <c r="BE62" i="4"/>
  <c r="R53" i="10"/>
  <c r="BA18" i="8"/>
  <c r="R53" i="8"/>
  <c r="BA18" i="10"/>
  <c r="BJ7" i="4"/>
  <c r="G62" i="4"/>
  <c r="C60" i="10"/>
  <c r="BH3" i="10"/>
  <c r="C60" i="8"/>
  <c r="BH3" i="8"/>
  <c r="C32" i="4"/>
  <c r="AF3" i="4"/>
  <c r="AZ13" i="8"/>
  <c r="M52" i="8"/>
  <c r="M52" i="10"/>
  <c r="AZ13" i="10"/>
  <c r="F49" i="4"/>
  <c r="AW6" i="4"/>
  <c r="P61" i="10"/>
  <c r="BI16" i="10"/>
  <c r="BI16" i="8"/>
  <c r="P61" i="8"/>
  <c r="BH41" i="4"/>
  <c r="AO60" i="4"/>
  <c r="O34" i="10"/>
  <c r="AH15" i="10"/>
  <c r="AH15" i="8"/>
  <c r="O34" i="8"/>
  <c r="BG64" i="4"/>
  <c r="BL59" i="4"/>
  <c r="AB51" i="10"/>
  <c r="AY28" i="10"/>
  <c r="E36" i="4"/>
  <c r="AY28" i="8"/>
  <c r="AB51" i="8"/>
  <c r="AJ5" i="4"/>
  <c r="AA38" i="10"/>
  <c r="AL27" i="10"/>
  <c r="AL27" i="8"/>
  <c r="AA38" i="8"/>
  <c r="AI12" i="4"/>
  <c r="L35" i="4"/>
  <c r="Q48" i="10"/>
  <c r="AV17" i="10"/>
  <c r="AV17" i="8"/>
  <c r="Q48" i="8"/>
  <c r="BI46" i="4"/>
  <c r="AT61" i="4"/>
  <c r="Q50" i="10"/>
  <c r="AX17" i="10"/>
  <c r="AX17" i="8"/>
  <c r="Q50" i="8"/>
  <c r="BN61" i="4"/>
  <c r="BI66" i="4"/>
  <c r="BC22" i="8"/>
  <c r="V55" i="10"/>
  <c r="BC22" i="10"/>
  <c r="V55" i="8"/>
  <c r="R21" i="4"/>
  <c r="U18" i="4"/>
  <c r="AJ31" i="10"/>
  <c r="AE36" i="10"/>
  <c r="AJ31" i="8"/>
  <c r="AE36" i="8"/>
  <c r="BE10" i="4"/>
  <c r="J57" i="4"/>
  <c r="AG40" i="10"/>
  <c r="AN33" i="10"/>
  <c r="AN33" i="8"/>
  <c r="AG40" i="8"/>
  <c r="BK34" i="4"/>
  <c r="AH63" i="4"/>
  <c r="U66" i="10"/>
  <c r="BN21" i="10"/>
  <c r="BN21" i="8"/>
  <c r="U66" i="8"/>
  <c r="BD17" i="4"/>
  <c r="Q56" i="4"/>
  <c r="T63" i="10"/>
  <c r="BK20" i="10"/>
  <c r="BK20" i="8"/>
  <c r="T63" i="8"/>
  <c r="P53" i="4"/>
  <c r="BA16" i="4"/>
  <c r="J43" i="10"/>
  <c r="AQ10" i="10"/>
  <c r="AQ10" i="8"/>
  <c r="J43" i="8"/>
  <c r="AM28" i="4"/>
  <c r="AB39" i="4"/>
  <c r="V49" i="10"/>
  <c r="AW22" i="10"/>
  <c r="AW22" i="8"/>
  <c r="V49" i="8"/>
  <c r="BM18" i="4"/>
  <c r="R65" i="4"/>
  <c r="AQ46" i="10"/>
  <c r="AT43" i="10"/>
  <c r="AT43" i="8"/>
  <c r="AQ46" i="8"/>
  <c r="AM44" i="4"/>
  <c r="AR39" i="4"/>
  <c r="AZ11" i="10"/>
  <c r="AZ11" i="8"/>
  <c r="K52" i="8"/>
  <c r="K52" i="10"/>
  <c r="F47" i="4"/>
  <c r="AU6" i="4"/>
  <c r="V65" i="10"/>
  <c r="BM22" i="10"/>
  <c r="BM22" i="8"/>
  <c r="V65" i="8"/>
  <c r="BC18" i="4"/>
  <c r="R55" i="4"/>
  <c r="AB19" i="10"/>
  <c r="S28" i="10"/>
  <c r="AB19" i="8"/>
  <c r="S28" i="8"/>
  <c r="AJ15" i="4"/>
  <c r="O36" i="4"/>
  <c r="BI22" i="10"/>
  <c r="BI22" i="8"/>
  <c r="V61" i="8"/>
  <c r="V61" i="10"/>
  <c r="AO18" i="4"/>
  <c r="R41" i="4"/>
  <c r="N37" i="10"/>
  <c r="AK14" i="10"/>
  <c r="N37" i="8"/>
  <c r="AK14" i="8"/>
  <c r="AX11" i="4"/>
  <c r="K50" i="4"/>
  <c r="AI40" i="10"/>
  <c r="AN35" i="10"/>
  <c r="AN35" i="8"/>
  <c r="AI40" i="8"/>
  <c r="I34" i="4"/>
  <c r="AH9" i="4"/>
  <c r="Y4" i="10"/>
  <c r="D25" i="10"/>
  <c r="D25" i="8"/>
  <c r="Y4" i="8"/>
  <c r="D29" i="4"/>
  <c r="AC4" i="4"/>
  <c r="I22" i="10"/>
  <c r="V9" i="10"/>
  <c r="V9" i="8"/>
  <c r="I22" i="8"/>
  <c r="AA18" i="4"/>
  <c r="R27" i="4"/>
  <c r="W56" i="10"/>
  <c r="BD23" i="8"/>
  <c r="W56" i="8"/>
  <c r="BD23" i="10"/>
  <c r="V19" i="4"/>
  <c r="S22" i="4"/>
  <c r="AF39" i="10"/>
  <c r="AM32" i="10"/>
  <c r="AM32" i="8"/>
  <c r="AF39" i="8"/>
  <c r="BF33" i="4"/>
  <c r="AG58" i="4"/>
  <c r="AD33" i="10"/>
  <c r="AG30" i="10"/>
  <c r="AG30" i="8"/>
  <c r="AD33" i="8"/>
  <c r="AZ63" i="4"/>
  <c r="BK52" i="4"/>
  <c r="C44" i="10"/>
  <c r="AR3" i="10"/>
  <c r="C44" i="8"/>
  <c r="AR3" i="8"/>
  <c r="C40" i="4"/>
  <c r="AN3" i="4"/>
  <c r="G66" i="10"/>
  <c r="BN7" i="10"/>
  <c r="BN7" i="8"/>
  <c r="G66" i="8"/>
  <c r="BD23" i="4"/>
  <c r="W56" i="4"/>
  <c r="Q46" i="10"/>
  <c r="AT17" i="10"/>
  <c r="AT17" i="8"/>
  <c r="Q46" i="8"/>
  <c r="AR61" i="4"/>
  <c r="BI44" i="4"/>
  <c r="AP17" i="10"/>
  <c r="Q42" i="10"/>
  <c r="AP17" i="8"/>
  <c r="Q42" i="8"/>
  <c r="AL61" i="4"/>
  <c r="BI38" i="4"/>
  <c r="P25" i="10"/>
  <c r="Y16" i="10"/>
  <c r="Y16" i="8"/>
  <c r="P25" i="8"/>
  <c r="BH29" i="4"/>
  <c r="AC60" i="4"/>
  <c r="J19" i="10"/>
  <c r="S10" i="8"/>
  <c r="J19" i="8"/>
  <c r="S10" i="10"/>
  <c r="AB15" i="4"/>
  <c r="O28" i="4"/>
  <c r="R19" i="10"/>
  <c r="S18" i="10"/>
  <c r="R19" i="8"/>
  <c r="S18" i="8"/>
  <c r="BJ15" i="4"/>
  <c r="O62" i="4"/>
  <c r="AG36" i="10"/>
  <c r="AJ33" i="10"/>
  <c r="AG36" i="8"/>
  <c r="AJ33" i="8"/>
  <c r="BK10" i="4"/>
  <c r="J63" i="4"/>
  <c r="T25" i="10"/>
  <c r="Y20" i="10"/>
  <c r="T25" i="8"/>
  <c r="Y20" i="8"/>
  <c r="P29" i="4"/>
  <c r="AC16" i="4"/>
  <c r="AN55" i="10"/>
  <c r="BC40" i="10"/>
  <c r="AN55" i="8"/>
  <c r="BC40" i="8"/>
  <c r="AH21" i="4"/>
  <c r="U34" i="4"/>
  <c r="G58" i="10"/>
  <c r="BF7" i="10"/>
  <c r="BF7" i="8"/>
  <c r="G58" i="8"/>
  <c r="W26" i="4"/>
  <c r="Z23" i="4"/>
  <c r="BL7" i="10"/>
  <c r="G64" i="10"/>
  <c r="BL7" i="8"/>
  <c r="G64" i="8"/>
  <c r="BB23" i="4"/>
  <c r="W54" i="4"/>
  <c r="D31" i="10"/>
  <c r="AE4" i="10"/>
  <c r="D31" i="8"/>
  <c r="AE4" i="8"/>
  <c r="D57" i="4"/>
  <c r="BE4" i="4"/>
  <c r="AQ38" i="10"/>
  <c r="AL43" i="10"/>
  <c r="AQ38" i="8"/>
  <c r="AL43" i="8"/>
  <c r="AM12" i="4"/>
  <c r="L39" i="4"/>
  <c r="G38" i="10"/>
  <c r="AL7" i="10"/>
  <c r="AL7" i="8"/>
  <c r="G38" i="8"/>
  <c r="W12" i="4"/>
  <c r="L23" i="4"/>
  <c r="AJ49" i="10"/>
  <c r="AW36" i="10"/>
  <c r="AW36" i="8"/>
  <c r="AJ49" i="8"/>
  <c r="J65" i="4"/>
  <c r="BM10" i="4"/>
  <c r="C18" i="10"/>
  <c r="R3" i="10"/>
  <c r="C18" i="8"/>
  <c r="R3" i="8"/>
  <c r="C62" i="4"/>
  <c r="BJ3" i="4"/>
  <c r="J57" i="10"/>
  <c r="BE10" i="10"/>
  <c r="BE10" i="8"/>
  <c r="J57" i="8"/>
  <c r="AB25" i="4"/>
  <c r="Y28" i="4"/>
  <c r="BE4" i="10"/>
  <c r="D57" i="10"/>
  <c r="BE4" i="8"/>
  <c r="D57" i="8"/>
  <c r="D25" i="4"/>
  <c r="Y4" i="4"/>
  <c r="BK32" i="10"/>
  <c r="AF63" i="10"/>
  <c r="AF63" i="8"/>
  <c r="BA58" i="4"/>
  <c r="BF53" i="4"/>
  <c r="BK32" i="8"/>
  <c r="U18" i="10"/>
  <c r="R21" i="10"/>
  <c r="R21" i="8"/>
  <c r="U18" i="8"/>
  <c r="BJ17" i="4"/>
  <c r="Q62" i="4"/>
  <c r="H31" i="10"/>
  <c r="AE8" i="10"/>
  <c r="H31" i="8"/>
  <c r="AE8" i="8"/>
  <c r="BE24" i="4"/>
  <c r="X57" i="4"/>
  <c r="F43" i="10"/>
  <c r="AQ6" i="10"/>
  <c r="AQ6" i="8"/>
  <c r="F43" i="8"/>
  <c r="AM14" i="4"/>
  <c r="N39" i="4"/>
  <c r="Q58" i="10"/>
  <c r="BF17" i="10"/>
  <c r="BF17" i="8"/>
  <c r="Q58" i="8"/>
  <c r="BI26" i="4"/>
  <c r="Z61" i="4"/>
  <c r="AU58" i="10"/>
  <c r="BF47" i="10"/>
  <c r="BF47" i="8"/>
  <c r="AS26" i="4"/>
  <c r="Z45" i="4"/>
  <c r="AU58" i="8"/>
  <c r="AM66" i="10"/>
  <c r="BN39" i="10"/>
  <c r="BN39" i="8"/>
  <c r="AM66" i="8"/>
  <c r="BD33" i="4"/>
  <c r="AG56" i="4"/>
  <c r="AL63" i="10"/>
  <c r="BK38" i="10"/>
  <c r="BK38" i="8"/>
  <c r="AL63" i="8"/>
  <c r="BA12" i="4"/>
  <c r="L53" i="4"/>
  <c r="U38" i="10"/>
  <c r="AL21" i="10"/>
  <c r="U38" i="8"/>
  <c r="AL21" i="8"/>
  <c r="Q12" i="4"/>
  <c r="L17" i="4"/>
  <c r="BH11" i="10"/>
  <c r="K60" i="10"/>
  <c r="BH11" i="8"/>
  <c r="K60" i="8"/>
  <c r="F22" i="2"/>
  <c r="H31" i="2"/>
  <c r="AU32" i="4"/>
  <c r="AF47" i="4"/>
  <c r="V23" i="10"/>
  <c r="W22" i="10"/>
  <c r="V23" i="8"/>
  <c r="W22" i="8"/>
  <c r="S18" i="4"/>
  <c r="R19" i="4"/>
  <c r="AE22" i="10"/>
  <c r="V31" i="10"/>
  <c r="AE22" i="8"/>
  <c r="V31" i="8"/>
  <c r="H7" i="2"/>
  <c r="F15" i="2"/>
  <c r="BE18" i="4"/>
  <c r="R57" i="4"/>
  <c r="AU44" i="10"/>
  <c r="AR47" i="10"/>
  <c r="AU44" i="8"/>
  <c r="AR47" i="8"/>
  <c r="D32" i="2"/>
  <c r="AS40" i="5"/>
  <c r="AN45" i="5"/>
  <c r="M3" i="2"/>
  <c r="F3" i="2"/>
  <c r="H32" i="2"/>
  <c r="D3" i="2"/>
  <c r="L3" i="2"/>
  <c r="AN45" i="4"/>
  <c r="AS40" i="4"/>
  <c r="F21" i="10"/>
  <c r="U6" i="10"/>
  <c r="U6" i="8"/>
  <c r="F21" i="8"/>
  <c r="Q14" i="4"/>
  <c r="N17" i="4"/>
  <c r="BJ63" i="10"/>
  <c r="BK62" i="10"/>
  <c r="BJ63" i="8"/>
  <c r="BK62" i="8"/>
  <c r="AP53" i="4"/>
  <c r="BA42" i="4"/>
  <c r="P63" i="10"/>
  <c r="BK16" i="10"/>
  <c r="BK16" i="8"/>
  <c r="P63" i="8"/>
  <c r="BH53" i="4"/>
  <c r="BA60" i="4"/>
  <c r="C62" i="10"/>
  <c r="BJ3" i="10"/>
  <c r="BJ3" i="8"/>
  <c r="C62" i="8"/>
  <c r="AP3" i="4"/>
  <c r="C42" i="4"/>
  <c r="Q66" i="10"/>
  <c r="BN17" i="10"/>
  <c r="BN17" i="8"/>
  <c r="Q66" i="8"/>
  <c r="BD61" i="4"/>
  <c r="BI56" i="4"/>
  <c r="P11" i="10"/>
  <c r="K16" i="10"/>
  <c r="K16" i="8"/>
  <c r="P11" i="8"/>
  <c r="BH47" i="4"/>
  <c r="AU60" i="4"/>
  <c r="AL59" i="10"/>
  <c r="BG38" i="10"/>
  <c r="BG38" i="8"/>
  <c r="AL59" i="8"/>
  <c r="AE12" i="4"/>
  <c r="L31" i="4"/>
  <c r="BL3" i="10"/>
  <c r="C64" i="10"/>
  <c r="BL3" i="8"/>
  <c r="C64" i="8"/>
  <c r="C54" i="4"/>
  <c r="BB3" i="4"/>
  <c r="BM14" i="10"/>
  <c r="N65" i="10"/>
  <c r="BM14" i="8"/>
  <c r="N65" i="8"/>
  <c r="BC50" i="4"/>
  <c r="AX55" i="4"/>
  <c r="BM62" i="10"/>
  <c r="BJ65" i="10"/>
  <c r="BJ65" i="8"/>
  <c r="BM62" i="8"/>
  <c r="AP55" i="4"/>
  <c r="BC42" i="4"/>
  <c r="M62" i="10"/>
  <c r="BJ13" i="10"/>
  <c r="BJ13" i="8"/>
  <c r="M62" i="8"/>
  <c r="AP49" i="4"/>
  <c r="AW42" i="4"/>
  <c r="AE38" i="10"/>
  <c r="AL31" i="10"/>
  <c r="AL31" i="8"/>
  <c r="AE38" i="8"/>
  <c r="BE12" i="4"/>
  <c r="L57" i="4"/>
  <c r="X33" i="10"/>
  <c r="AG24" i="10"/>
  <c r="X33" i="8"/>
  <c r="AG24" i="8"/>
  <c r="T63" i="4"/>
  <c r="BK20" i="4"/>
  <c r="BF31" i="10"/>
  <c r="AE58" i="10"/>
  <c r="BF31" i="8"/>
  <c r="AE58" i="8"/>
  <c r="BE26" i="4"/>
  <c r="Z57" i="4"/>
  <c r="Y54" i="10"/>
  <c r="BB25" i="10"/>
  <c r="BB25" i="8"/>
  <c r="Y54" i="8"/>
  <c r="AC8" i="4"/>
  <c r="H29" i="4"/>
  <c r="H27" i="10"/>
  <c r="AA8" i="10"/>
  <c r="AA8" i="8"/>
  <c r="H27" i="8"/>
  <c r="AI24" i="4"/>
  <c r="X35" i="4"/>
  <c r="AG56" i="10"/>
  <c r="BD33" i="10"/>
  <c r="AG56" i="8"/>
  <c r="BD33" i="8"/>
  <c r="BK22" i="4"/>
  <c r="V63" i="4"/>
  <c r="BD49" i="10"/>
  <c r="AW56" i="10"/>
  <c r="BD49" i="8"/>
  <c r="AW56" i="8"/>
  <c r="BM22" i="4"/>
  <c r="V65" i="4"/>
  <c r="L53" i="10"/>
  <c r="BA12" i="10"/>
  <c r="BA12" i="8"/>
  <c r="L53" i="8"/>
  <c r="AV7" i="4"/>
  <c r="G48" i="4"/>
  <c r="BH63" i="10"/>
  <c r="BK60" i="10"/>
  <c r="BH63" i="8"/>
  <c r="BK60" i="8"/>
  <c r="BA32" i="4"/>
  <c r="AF53" i="4"/>
  <c r="K8" i="10"/>
  <c r="H11" i="10"/>
  <c r="K8" i="8"/>
  <c r="H11" i="8"/>
  <c r="X47" i="4"/>
  <c r="AU24" i="4"/>
  <c r="H25" i="10"/>
  <c r="Y8" i="10"/>
  <c r="Y8" i="8"/>
  <c r="H25" i="8"/>
  <c r="AC24" i="4"/>
  <c r="X29" i="4"/>
  <c r="AS64" i="10"/>
  <c r="BL45" i="10"/>
  <c r="AS64" i="8"/>
  <c r="BL45" i="8"/>
  <c r="BB43" i="4"/>
  <c r="AQ54" i="4"/>
  <c r="G36" i="10"/>
  <c r="AJ7" i="10"/>
  <c r="AJ7" i="8"/>
  <c r="G36" i="8"/>
  <c r="W10" i="4"/>
  <c r="J23" i="4"/>
  <c r="W62" i="10"/>
  <c r="BJ23" i="10"/>
  <c r="BJ23" i="8"/>
  <c r="W62" i="8"/>
  <c r="AP19" i="4"/>
  <c r="S42" i="4"/>
  <c r="V63" i="10"/>
  <c r="BK22" i="10"/>
  <c r="BK22" i="8"/>
  <c r="V63" i="8"/>
  <c r="BA18" i="4"/>
  <c r="R53" i="4"/>
  <c r="J55" i="10"/>
  <c r="BC10" i="10"/>
  <c r="BC10" i="8"/>
  <c r="J55" i="8"/>
  <c r="AB21" i="4"/>
  <c r="U28" i="4"/>
  <c r="W28" i="10"/>
  <c r="AB23" i="10"/>
  <c r="AB23" i="8"/>
  <c r="W28" i="8"/>
  <c r="AJ19" i="4"/>
  <c r="S36" i="4"/>
  <c r="R35" i="10"/>
  <c r="AI18" i="10"/>
  <c r="AI18" i="8"/>
  <c r="R35" i="8"/>
  <c r="BJ9" i="4"/>
  <c r="I62" i="4"/>
  <c r="Y46" i="10"/>
  <c r="AT25" i="10"/>
  <c r="Y46" i="8"/>
  <c r="AT25" i="8"/>
  <c r="AC44" i="4"/>
  <c r="AR29" i="4"/>
  <c r="AA66" i="10"/>
  <c r="BN27" i="10"/>
  <c r="AA66" i="8"/>
  <c r="BD35" i="4"/>
  <c r="BN27" i="8"/>
  <c r="AI56" i="4"/>
  <c r="W34" i="10"/>
  <c r="AH23" i="10"/>
  <c r="AH23" i="8"/>
  <c r="W34" i="8"/>
  <c r="H4" i="2"/>
  <c r="F6" i="2"/>
  <c r="S64" i="4"/>
  <c r="BL19" i="4"/>
  <c r="BD39" i="10"/>
  <c r="AM56" i="10"/>
  <c r="AM56" i="8"/>
  <c r="BD39" i="8"/>
  <c r="AG22" i="4"/>
  <c r="V33" i="4"/>
  <c r="J65" i="10"/>
  <c r="BM10" i="10"/>
  <c r="BM10" i="8"/>
  <c r="J65" i="8"/>
  <c r="BC28" i="4"/>
  <c r="AB55" i="4"/>
  <c r="AK60" i="10"/>
  <c r="BH37" i="10"/>
  <c r="BH37" i="8"/>
  <c r="AK60" i="8"/>
  <c r="AF11" i="4"/>
  <c r="K32" i="4"/>
  <c r="AI60" i="10"/>
  <c r="BH35" i="10"/>
  <c r="BH35" i="8"/>
  <c r="AI60" i="8"/>
  <c r="AF9" i="4"/>
  <c r="I32" i="4"/>
  <c r="H57" i="10"/>
  <c r="BE8" i="10"/>
  <c r="BE8" i="8"/>
  <c r="H57" i="8"/>
  <c r="X25" i="4"/>
  <c r="Y24" i="4"/>
  <c r="I42" i="10"/>
  <c r="AP9" i="10"/>
  <c r="AP9" i="8"/>
  <c r="I42" i="8"/>
  <c r="AA38" i="4"/>
  <c r="AL27" i="4"/>
  <c r="AX5" i="10"/>
  <c r="E50" i="10"/>
  <c r="AX5" i="8"/>
  <c r="E50" i="8"/>
  <c r="BN13" i="4"/>
  <c r="M66" i="4"/>
  <c r="X27" i="10"/>
  <c r="X27" i="8"/>
  <c r="AA24" i="10"/>
  <c r="AA24" i="8"/>
  <c r="AI20" i="4"/>
  <c r="T35" i="4"/>
  <c r="J7" i="10"/>
  <c r="G10" i="10"/>
  <c r="J7" i="8"/>
  <c r="G10" i="8"/>
  <c r="W28" i="4"/>
  <c r="AB23" i="4"/>
  <c r="M20" i="10"/>
  <c r="T13" i="10"/>
  <c r="M20" i="8"/>
  <c r="T13" i="8"/>
  <c r="AW16" i="4"/>
  <c r="P49" i="4"/>
  <c r="I56" i="10"/>
  <c r="BD9" i="10"/>
  <c r="BD9" i="8"/>
  <c r="I56" i="8"/>
  <c r="AA22" i="4"/>
  <c r="V27" i="4"/>
  <c r="Z55" i="10"/>
  <c r="BC26" i="10"/>
  <c r="BC26" i="8"/>
  <c r="Z55" i="8"/>
  <c r="AD21" i="4"/>
  <c r="U30" i="4"/>
  <c r="AH29" i="10"/>
  <c r="AC34" i="10"/>
  <c r="AH29" i="8"/>
  <c r="AC34" i="8"/>
  <c r="AY64" i="4"/>
  <c r="BL51" i="4"/>
  <c r="H29" i="10"/>
  <c r="H29" i="8"/>
  <c r="AC8" i="8"/>
  <c r="AC8" i="10"/>
  <c r="AY24" i="4"/>
  <c r="X51" i="4"/>
  <c r="BI44" i="10"/>
  <c r="AR61" i="10"/>
  <c r="AR61" i="8"/>
  <c r="BI44" i="8"/>
  <c r="AN41" i="4"/>
  <c r="AO40" i="4"/>
  <c r="Z39" i="10"/>
  <c r="AM26" i="10"/>
  <c r="Z39" i="8"/>
  <c r="AM26" i="8"/>
  <c r="AG30" i="4"/>
  <c r="AD33" i="4"/>
  <c r="AT63" i="10"/>
  <c r="BK46" i="10"/>
  <c r="BK46" i="8"/>
  <c r="AT63" i="8"/>
  <c r="BA44" i="4"/>
  <c r="AR53" i="4"/>
  <c r="AB41" i="10"/>
  <c r="AO28" i="10"/>
  <c r="AB41" i="8"/>
  <c r="AO28" i="8"/>
  <c r="AK36" i="4"/>
  <c r="AJ37" i="4"/>
  <c r="Q34" i="10"/>
  <c r="AH17" i="10"/>
  <c r="AH17" i="8"/>
  <c r="Q34" i="8"/>
  <c r="BL61" i="4"/>
  <c r="BI64" i="4"/>
  <c r="BG24" i="10"/>
  <c r="X59" i="10"/>
  <c r="BG24" i="8"/>
  <c r="X59" i="8"/>
  <c r="AE20" i="4"/>
  <c r="T31" i="4"/>
  <c r="BF43" i="10"/>
  <c r="AQ58" i="10"/>
  <c r="AQ58" i="8"/>
  <c r="BF43" i="8"/>
  <c r="AM26" i="4"/>
  <c r="Z39" i="4"/>
  <c r="N25" i="10"/>
  <c r="Y14" i="10"/>
  <c r="Y14" i="8"/>
  <c r="N25" i="8"/>
  <c r="AX29" i="4"/>
  <c r="AC50" i="4"/>
  <c r="G34" i="10"/>
  <c r="AH7" i="10"/>
  <c r="G34" i="8"/>
  <c r="AH7" i="8"/>
  <c r="BL23" i="4"/>
  <c r="W64" i="4"/>
  <c r="AJ55" i="10"/>
  <c r="BC36" i="10"/>
  <c r="AJ55" i="8"/>
  <c r="BC36" i="8"/>
  <c r="J21" i="4"/>
  <c r="U10" i="4"/>
  <c r="N11" i="10"/>
  <c r="K14" i="8"/>
  <c r="K14" i="10"/>
  <c r="N11" i="8"/>
  <c r="AU50" i="4"/>
  <c r="AX47" i="4"/>
  <c r="O42" i="10"/>
  <c r="AP15" i="10"/>
  <c r="AP15" i="8"/>
  <c r="O42" i="8"/>
  <c r="BG38" i="4"/>
  <c r="AL59" i="4"/>
  <c r="I58" i="10"/>
  <c r="BF9" i="10"/>
  <c r="BF9" i="8"/>
  <c r="I58" i="8"/>
  <c r="Z27" i="4"/>
  <c r="AA26" i="4"/>
  <c r="BE64" i="10"/>
  <c r="BL57" i="10"/>
  <c r="BL57" i="8"/>
  <c r="BE64" i="8"/>
  <c r="BB25" i="4"/>
  <c r="Y54" i="4"/>
  <c r="M48" i="10"/>
  <c r="AV13" i="10"/>
  <c r="AV13" i="8"/>
  <c r="M48" i="8"/>
  <c r="AT49" i="4"/>
  <c r="AW46" i="4"/>
  <c r="AN63" i="10"/>
  <c r="BK40" i="10"/>
  <c r="AN63" i="8"/>
  <c r="BK40" i="8"/>
  <c r="BA34" i="4"/>
  <c r="AH53" i="4"/>
  <c r="Y12" i="10"/>
  <c r="L25" i="10"/>
  <c r="Y12" i="8"/>
  <c r="L25" i="8"/>
  <c r="AV29" i="4"/>
  <c r="AC48" i="4"/>
  <c r="F25" i="10"/>
  <c r="F25" i="8"/>
  <c r="Y6" i="10"/>
  <c r="Y6" i="8"/>
  <c r="AC14" i="4"/>
  <c r="N29" i="4"/>
  <c r="V15" i="10"/>
  <c r="O22" i="10"/>
  <c r="O22" i="8"/>
  <c r="V15" i="8"/>
  <c r="BG18" i="4"/>
  <c r="R59" i="4"/>
  <c r="O10" i="10"/>
  <c r="J15" i="10"/>
  <c r="O10" i="8"/>
  <c r="J15" i="8"/>
  <c r="BG28" i="4"/>
  <c r="AB59" i="4"/>
  <c r="N15" i="10"/>
  <c r="O14" i="10"/>
  <c r="N15" i="8"/>
  <c r="O14" i="8"/>
  <c r="BG50" i="4"/>
  <c r="AX59" i="4"/>
  <c r="AJ43" i="10"/>
  <c r="AQ36" i="10"/>
  <c r="AQ36" i="8"/>
  <c r="AJ43" i="8"/>
  <c r="J39" i="4"/>
  <c r="AM10" i="4"/>
  <c r="AC42" i="10"/>
  <c r="AP29" i="10"/>
  <c r="AC42" i="8"/>
  <c r="AP29" i="8"/>
  <c r="AY38" i="4"/>
  <c r="AL51" i="4"/>
  <c r="AW60" i="10"/>
  <c r="BH49" i="10"/>
  <c r="BH49" i="8"/>
  <c r="AW60" i="8"/>
  <c r="BM32" i="4"/>
  <c r="AF65" i="4"/>
  <c r="I50" i="10"/>
  <c r="AX9" i="10"/>
  <c r="AX9" i="8"/>
  <c r="I50" i="8"/>
  <c r="AA66" i="4"/>
  <c r="BN27" i="4"/>
  <c r="AX39" i="10"/>
  <c r="AM50" i="10"/>
  <c r="AM50" i="8"/>
  <c r="AX39" i="8"/>
  <c r="BN33" i="4"/>
  <c r="AG66" i="4"/>
  <c r="BD3" i="10"/>
  <c r="C56" i="10"/>
  <c r="BD3" i="8"/>
  <c r="C56" i="8"/>
  <c r="C22" i="4"/>
  <c r="V3" i="4"/>
  <c r="AZ65" i="10"/>
  <c r="BM52" i="10"/>
  <c r="AZ65" i="8"/>
  <c r="BM52" i="8"/>
  <c r="BC6" i="4"/>
  <c r="F55" i="4"/>
  <c r="H21" i="10"/>
  <c r="U8" i="10"/>
  <c r="U8" i="8"/>
  <c r="H21" i="8"/>
  <c r="X17" i="4"/>
  <c r="Q24" i="4"/>
  <c r="C24" i="10"/>
  <c r="C24" i="8"/>
  <c r="X3" i="8"/>
  <c r="X3" i="10"/>
  <c r="T3" i="4"/>
  <c r="C20" i="4"/>
  <c r="AA26" i="10"/>
  <c r="Z27" i="10"/>
  <c r="Z27" i="8"/>
  <c r="AA26" i="8"/>
  <c r="AI30" i="4"/>
  <c r="AD35" i="4"/>
  <c r="H19" i="10"/>
  <c r="S8" i="10"/>
  <c r="H19" i="8"/>
  <c r="S8" i="8"/>
  <c r="X15" i="4"/>
  <c r="O24" i="4"/>
  <c r="AM14" i="10"/>
  <c r="AM14" i="8"/>
  <c r="N39" i="8"/>
  <c r="N39" i="10"/>
  <c r="AX33" i="4"/>
  <c r="AG50" i="4"/>
  <c r="AW24" i="10"/>
  <c r="AW24" i="8"/>
  <c r="X49" i="8"/>
  <c r="X49" i="10"/>
  <c r="BM20" i="4"/>
  <c r="T65" i="4"/>
  <c r="T9" i="10"/>
  <c r="I20" i="10"/>
  <c r="I20" i="8"/>
  <c r="T9" i="8"/>
  <c r="AA16" i="4"/>
  <c r="P27" i="4"/>
  <c r="U52" i="10"/>
  <c r="AZ21" i="10"/>
  <c r="AZ21" i="8"/>
  <c r="U52" i="8"/>
  <c r="F17" i="4"/>
  <c r="Q6" i="4"/>
  <c r="AS62" i="10"/>
  <c r="BJ45" i="10"/>
  <c r="BJ45" i="8"/>
  <c r="AS62" i="8"/>
  <c r="AQ42" i="4"/>
  <c r="AP43" i="4"/>
  <c r="F33" i="10"/>
  <c r="AG6" i="10"/>
  <c r="F33" i="8"/>
  <c r="AG6" i="8"/>
  <c r="BK14" i="4"/>
  <c r="N63" i="4"/>
  <c r="AQ60" i="10"/>
  <c r="BH43" i="10"/>
  <c r="AQ60" i="8"/>
  <c r="BH43" i="8"/>
  <c r="AM32" i="4"/>
  <c r="AF39" i="4"/>
  <c r="G42" i="10"/>
  <c r="AP7" i="10"/>
  <c r="AP7" i="8"/>
  <c r="G42" i="8"/>
  <c r="AL23" i="4"/>
  <c r="W38" i="4"/>
  <c r="T31" i="10"/>
  <c r="AE20" i="10"/>
  <c r="T31" i="8"/>
  <c r="AE20" i="8"/>
  <c r="BE16" i="4"/>
  <c r="P57" i="4"/>
  <c r="AB31" i="10"/>
  <c r="AE28" i="10"/>
  <c r="AE28" i="8"/>
  <c r="AB31" i="8"/>
  <c r="BE36" i="4"/>
  <c r="AJ57" i="4"/>
  <c r="AK28" i="10"/>
  <c r="AB37" i="10"/>
  <c r="AK28" i="8"/>
  <c r="AB37" i="8"/>
  <c r="F16" i="2"/>
  <c r="H25" i="2"/>
  <c r="AJ11" i="4"/>
  <c r="K36" i="4"/>
  <c r="AY38" i="10"/>
  <c r="AL51" i="10"/>
  <c r="AY38" i="8"/>
  <c r="AL51" i="8"/>
  <c r="E12" i="4"/>
  <c r="L5" i="4"/>
  <c r="P57" i="10"/>
  <c r="BE16" i="10"/>
  <c r="BE16" i="8"/>
  <c r="BH25" i="4"/>
  <c r="Y60" i="4"/>
  <c r="P57" i="8"/>
  <c r="AE50" i="10"/>
  <c r="AX31" i="10"/>
  <c r="AX31" i="8"/>
  <c r="AE50" i="8"/>
  <c r="BN57" i="4"/>
  <c r="BE66" i="4"/>
  <c r="AA42" i="10"/>
  <c r="AP27" i="10"/>
  <c r="AP27" i="8"/>
  <c r="AA42" i="8"/>
  <c r="AL35" i="4"/>
  <c r="AI38" i="4"/>
  <c r="H49" i="10"/>
  <c r="AW8" i="10"/>
  <c r="AW8" i="8"/>
  <c r="H49" i="8"/>
  <c r="BM24" i="4"/>
  <c r="X65" i="4"/>
  <c r="AJ11" i="10"/>
  <c r="K36" i="10"/>
  <c r="K36" i="8"/>
  <c r="AJ11" i="8"/>
  <c r="AU10" i="4"/>
  <c r="J47" i="4"/>
  <c r="AD53" i="10"/>
  <c r="BA30" i="10"/>
  <c r="AD53" i="8"/>
  <c r="BA30" i="8"/>
  <c r="AZ7" i="4"/>
  <c r="G52" i="4"/>
  <c r="BJ53" i="10"/>
  <c r="BA62" i="10"/>
  <c r="BJ53" i="8"/>
  <c r="BA62" i="8"/>
  <c r="AP7" i="4"/>
  <c r="G42" i="4"/>
  <c r="AG22" i="10"/>
  <c r="AG22" i="8"/>
  <c r="V33" i="10"/>
  <c r="V33" i="8"/>
  <c r="BK18" i="4"/>
  <c r="R63" i="4"/>
  <c r="AE56" i="10"/>
  <c r="BD31" i="10"/>
  <c r="AE56" i="8"/>
  <c r="BD31" i="8"/>
  <c r="BE22" i="4"/>
  <c r="V57" i="4"/>
  <c r="C42" i="10"/>
  <c r="AP3" i="10"/>
  <c r="AP3" i="8"/>
  <c r="C42" i="8"/>
  <c r="AL3" i="4"/>
  <c r="C38" i="4"/>
  <c r="H33" i="10"/>
  <c r="AG8" i="10"/>
  <c r="H33" i="8"/>
  <c r="AG8" i="8"/>
  <c r="X63" i="4"/>
  <c r="BK24" i="4"/>
  <c r="BH65" i="10"/>
  <c r="BM60" i="10"/>
  <c r="BH65" i="8"/>
  <c r="BM60" i="8"/>
  <c r="BC32" i="4"/>
  <c r="AF55" i="4"/>
  <c r="AW58" i="10"/>
  <c r="BF49" i="10"/>
  <c r="BF49" i="8"/>
  <c r="AW58" i="8"/>
  <c r="BM26" i="4"/>
  <c r="Z65" i="4"/>
  <c r="R63" i="10"/>
  <c r="BK18" i="10"/>
  <c r="BK18" i="8"/>
  <c r="R63" i="8"/>
  <c r="BA62" i="4"/>
  <c r="BJ53" i="4"/>
  <c r="L43" i="10"/>
  <c r="AQ12" i="10"/>
  <c r="AQ12" i="8"/>
  <c r="L43" i="8"/>
  <c r="AM48" i="4"/>
  <c r="AV39" i="4"/>
  <c r="AM22" i="10"/>
  <c r="V39" i="10"/>
  <c r="AM22" i="8"/>
  <c r="V39" i="8"/>
  <c r="R33" i="4"/>
  <c r="AG18" i="4"/>
  <c r="S64" i="10"/>
  <c r="BL19" i="10"/>
  <c r="BL19" i="8"/>
  <c r="S64" i="8"/>
  <c r="BB15" i="4"/>
  <c r="O54" i="4"/>
  <c r="AG46" i="10"/>
  <c r="AT33" i="10"/>
  <c r="AT33" i="8"/>
  <c r="AG46" i="8"/>
  <c r="AR63" i="4"/>
  <c r="BK44" i="4"/>
  <c r="AK26" i="10"/>
  <c r="Z37" i="10"/>
  <c r="AK26" i="8"/>
  <c r="Z37" i="8"/>
  <c r="H10" i="2"/>
  <c r="K30" i="4"/>
  <c r="AD11" i="4"/>
  <c r="S58" i="10"/>
  <c r="BF19" i="10"/>
  <c r="BF19" i="8"/>
  <c r="S58" i="8"/>
  <c r="BD12" i="1"/>
  <c r="BD13" i="1"/>
  <c r="Z15" i="5"/>
  <c r="D2" i="2"/>
  <c r="O26" i="5"/>
  <c r="D33" i="2"/>
  <c r="CS10" i="2"/>
  <c r="F33" i="2"/>
  <c r="CS9" i="2"/>
  <c r="Z15" i="4"/>
  <c r="U2" i="2"/>
  <c r="O26" i="4"/>
  <c r="H2" i="2"/>
  <c r="T2" i="2"/>
  <c r="K22" i="10"/>
  <c r="V11" i="10"/>
  <c r="K22" i="8"/>
  <c r="V11" i="8"/>
  <c r="R47" i="4"/>
  <c r="AU18" i="4"/>
  <c r="AA64" i="10"/>
  <c r="BL27" i="10"/>
  <c r="BL27" i="8"/>
  <c r="AA64" i="8"/>
  <c r="BB35" i="4"/>
  <c r="AI54" i="4"/>
  <c r="K38" i="10"/>
  <c r="AL11" i="10"/>
  <c r="AL11" i="8"/>
  <c r="K38" i="8"/>
  <c r="AU12" i="4"/>
  <c r="L47" i="4"/>
  <c r="AA54" i="10"/>
  <c r="BB27" i="10"/>
  <c r="BB27" i="8"/>
  <c r="AA54" i="8"/>
  <c r="AI8" i="4"/>
  <c r="H35" i="4"/>
  <c r="AT31" i="10"/>
  <c r="AE46" i="10"/>
  <c r="AT31" i="8"/>
  <c r="AE46" i="8"/>
  <c r="AR57" i="4"/>
  <c r="BE44" i="4"/>
  <c r="Q54" i="10"/>
  <c r="BB17" i="10"/>
  <c r="BB17" i="8"/>
  <c r="Q54" i="8"/>
  <c r="BI8" i="4"/>
  <c r="H61" i="4"/>
  <c r="BL65" i="10"/>
  <c r="BM64" i="10"/>
  <c r="BL65" i="8"/>
  <c r="BM64" i="8"/>
  <c r="BC54" i="4"/>
  <c r="BB55" i="4"/>
  <c r="Y28" i="10"/>
  <c r="AB25" i="10"/>
  <c r="AB25" i="8"/>
  <c r="Y28" i="8"/>
  <c r="AJ29" i="4"/>
  <c r="AC36" i="4"/>
  <c r="AA40" i="10"/>
  <c r="AN27" i="10"/>
  <c r="AA40" i="8"/>
  <c r="AN27" i="8"/>
  <c r="AH35" i="4"/>
  <c r="AI34" i="4"/>
  <c r="Q60" i="10"/>
  <c r="BH17" i="10"/>
  <c r="BH17" i="8"/>
  <c r="Q60" i="8"/>
  <c r="BI32" i="4"/>
  <c r="AF61" i="4"/>
  <c r="Z57" i="10"/>
  <c r="BE26" i="10"/>
  <c r="BE26" i="8"/>
  <c r="Z57" i="8"/>
  <c r="Y30" i="4"/>
  <c r="AD25" i="4"/>
  <c r="H47" i="10"/>
  <c r="AU8" i="10"/>
  <c r="AU8" i="8"/>
  <c r="H47" i="8"/>
  <c r="AS24" i="4"/>
  <c r="X45" i="4"/>
  <c r="BA28" i="10"/>
  <c r="AB53" i="8"/>
  <c r="BA28" i="8"/>
  <c r="AB53" i="10"/>
  <c r="AJ7" i="4"/>
  <c r="G36" i="4"/>
  <c r="BD61" i="10"/>
  <c r="BI56" i="10"/>
  <c r="BI56" i="8"/>
  <c r="BD61" i="8"/>
  <c r="V41" i="4"/>
  <c r="AO22" i="4"/>
  <c r="BH15" i="10"/>
  <c r="O60" i="10"/>
  <c r="BH15" i="8"/>
  <c r="O60" i="8"/>
  <c r="AF59" i="4"/>
  <c r="BG32" i="4"/>
  <c r="BJ57" i="10"/>
  <c r="BE62" i="10"/>
  <c r="BJ57" i="8"/>
  <c r="BE62" i="8"/>
  <c r="Y42" i="4"/>
  <c r="AP25" i="4"/>
  <c r="C36" i="10"/>
  <c r="AJ3" i="10"/>
  <c r="C36" i="8"/>
  <c r="AJ3" i="8"/>
  <c r="C10" i="4"/>
  <c r="J3" i="4"/>
  <c r="BN57" i="10"/>
  <c r="BE66" i="10"/>
  <c r="BN57" i="8"/>
  <c r="BE66" i="8"/>
  <c r="BD25" i="4"/>
  <c r="Y56" i="4"/>
  <c r="P51" i="10"/>
  <c r="AY16" i="10"/>
  <c r="AY16" i="8"/>
  <c r="P51" i="8"/>
  <c r="E60" i="4"/>
  <c r="BH5" i="4"/>
  <c r="D63" i="10"/>
  <c r="BK4" i="10"/>
  <c r="BK4" i="8"/>
  <c r="D63" i="8"/>
  <c r="D53" i="4"/>
  <c r="BA4" i="4"/>
  <c r="AW40" i="8"/>
  <c r="AN49" i="8"/>
  <c r="AW40" i="10"/>
  <c r="AN49" i="10"/>
  <c r="AH65" i="4"/>
  <c r="BM34" i="4"/>
  <c r="AX43" i="10"/>
  <c r="AQ50" i="10"/>
  <c r="AQ50" i="8"/>
  <c r="AX43" i="8"/>
  <c r="BN39" i="4"/>
  <c r="AM66" i="4"/>
  <c r="AK4" i="10"/>
  <c r="D37" i="10"/>
  <c r="D37" i="8"/>
  <c r="AK4" i="8"/>
  <c r="K4" i="4"/>
  <c r="D11" i="4"/>
  <c r="AI58" i="10"/>
  <c r="BF35" i="10"/>
  <c r="BF35" i="8"/>
  <c r="AI58" i="8"/>
  <c r="Z9" i="4"/>
  <c r="I26" i="4"/>
  <c r="U12" i="10"/>
  <c r="U12" i="8"/>
  <c r="L21" i="8"/>
  <c r="L21" i="10"/>
  <c r="AV17" i="4"/>
  <c r="Q48" i="4"/>
  <c r="G60" i="10"/>
  <c r="BH7" i="10"/>
  <c r="BH7" i="8"/>
  <c r="G60" i="8"/>
  <c r="W32" i="4"/>
  <c r="AF23" i="4"/>
  <c r="Z61" i="10"/>
  <c r="BI26" i="10"/>
  <c r="BI26" i="8"/>
  <c r="Z61" i="8"/>
  <c r="AO30" i="4"/>
  <c r="AD41" i="4"/>
  <c r="M66" i="10"/>
  <c r="BN13" i="10"/>
  <c r="BN13" i="8"/>
  <c r="M66" i="8"/>
  <c r="BD49" i="4"/>
  <c r="AW56" i="4"/>
  <c r="P55" i="10"/>
  <c r="BC16" i="10"/>
  <c r="BC16" i="8"/>
  <c r="P55" i="8"/>
  <c r="BH21" i="4"/>
  <c r="U60" i="4"/>
  <c r="F31" i="10"/>
  <c r="AE6" i="10"/>
  <c r="F31" i="8"/>
  <c r="AE6" i="8"/>
  <c r="N57" i="4"/>
  <c r="BE14" i="4"/>
  <c r="BC38" i="10"/>
  <c r="AL55" i="10"/>
  <c r="BC38" i="8"/>
  <c r="AL55" i="8"/>
  <c r="U12" i="4"/>
  <c r="L21" i="4"/>
  <c r="M18" i="10"/>
  <c r="R13" i="10"/>
  <c r="BJ49" i="4"/>
  <c r="M18" i="8"/>
  <c r="R13" i="8"/>
  <c r="AW62" i="4"/>
  <c r="D9" i="10"/>
  <c r="I4" i="10"/>
  <c r="D9" i="8"/>
  <c r="I4" i="8"/>
  <c r="AA4" i="4"/>
  <c r="D27" i="4"/>
  <c r="AG50" i="10"/>
  <c r="AX33" i="10"/>
  <c r="AX33" i="8"/>
  <c r="AG50" i="8"/>
  <c r="BK66" i="4"/>
  <c r="BN63" i="4"/>
  <c r="N51" i="10"/>
  <c r="AY14" i="10"/>
  <c r="AY14" i="8"/>
  <c r="N51" i="8"/>
  <c r="E50" i="4"/>
  <c r="AX5" i="4"/>
  <c r="AK56" i="10"/>
  <c r="BD37" i="10"/>
  <c r="BD37" i="8"/>
  <c r="AK56" i="8"/>
  <c r="V11" i="4"/>
  <c r="K22" i="4"/>
  <c r="AK66" i="10"/>
  <c r="BN37" i="10"/>
  <c r="BN37" i="8"/>
  <c r="AK66" i="8"/>
  <c r="BD11" i="4"/>
  <c r="K56" i="4"/>
  <c r="O58" i="10"/>
  <c r="BF15" i="8"/>
  <c r="O58" i="8"/>
  <c r="BF15" i="10"/>
  <c r="BG26" i="4"/>
  <c r="Z59" i="4"/>
  <c r="BH51" i="10"/>
  <c r="AY60" i="10"/>
  <c r="BH51" i="8"/>
  <c r="AY60" i="8"/>
  <c r="E32" i="4"/>
  <c r="AF5" i="4"/>
  <c r="R57" i="10"/>
  <c r="BE18" i="10"/>
  <c r="BE18" i="8"/>
  <c r="R57" i="8"/>
  <c r="BJ25" i="4"/>
  <c r="Y62" i="4"/>
  <c r="K30" i="10"/>
  <c r="AD11" i="10"/>
  <c r="AD11" i="8"/>
  <c r="K30" i="8"/>
  <c r="AZ47" i="4"/>
  <c r="AU52" i="4"/>
  <c r="AB45" i="10"/>
  <c r="AS28" i="10"/>
  <c r="AB45" i="8"/>
  <c r="AS28" i="8"/>
  <c r="AJ43" i="4"/>
  <c r="AQ36" i="4"/>
  <c r="G24" i="10"/>
  <c r="X7" i="10"/>
  <c r="X7" i="8"/>
  <c r="G24" i="8"/>
  <c r="W20" i="4"/>
  <c r="T23" i="4"/>
  <c r="J39" i="10"/>
  <c r="AM10" i="10"/>
  <c r="AM10" i="8"/>
  <c r="J39" i="8"/>
  <c r="AG28" i="4"/>
  <c r="AB33" i="4"/>
  <c r="H43" i="10"/>
  <c r="AQ8" i="10"/>
  <c r="AQ8" i="8"/>
  <c r="H43" i="8"/>
  <c r="AM24" i="4"/>
  <c r="X39" i="4"/>
  <c r="BI20" i="10"/>
  <c r="T61" i="10"/>
  <c r="BI20" i="8"/>
  <c r="T61" i="8"/>
  <c r="AO16" i="4"/>
  <c r="P41" i="4"/>
  <c r="AH31" i="10"/>
  <c r="AE34" i="10"/>
  <c r="AH31" i="8"/>
  <c r="AE34" i="8"/>
  <c r="BE64" i="4"/>
  <c r="BL57" i="4"/>
  <c r="AT41" i="10"/>
  <c r="AO46" i="10"/>
  <c r="AT41" i="8"/>
  <c r="AO46" i="8"/>
  <c r="AR37" i="4"/>
  <c r="AK44" i="4"/>
  <c r="C52" i="10"/>
  <c r="AZ3" i="10"/>
  <c r="AZ3" i="8"/>
  <c r="C52" i="8"/>
  <c r="C6" i="4"/>
  <c r="F3" i="4"/>
  <c r="BH53" i="10"/>
  <c r="BA60" i="10"/>
  <c r="BH53" i="8"/>
  <c r="BA60" i="8"/>
  <c r="AF7" i="4"/>
  <c r="G32" i="4"/>
  <c r="K66" i="10"/>
  <c r="BN11" i="10"/>
  <c r="BN11" i="8"/>
  <c r="K66" i="8"/>
  <c r="AU56" i="4"/>
  <c r="BD47" i="4"/>
  <c r="AN57" i="10"/>
  <c r="BE40" i="10"/>
  <c r="BE40" i="8"/>
  <c r="AN57" i="8"/>
  <c r="H14" i="2"/>
  <c r="AH25" i="4"/>
  <c r="Y34" i="4"/>
  <c r="I26" i="10"/>
  <c r="Z9" i="10"/>
  <c r="Z9" i="8"/>
  <c r="I26" i="8"/>
  <c r="AD27" i="4"/>
  <c r="AA30" i="4"/>
  <c r="T59" i="10"/>
  <c r="BG20" i="10"/>
  <c r="T59" i="8"/>
  <c r="P31" i="4"/>
  <c r="H33" i="2"/>
  <c r="BG20" i="8"/>
  <c r="AE16" i="4"/>
  <c r="Y30" i="10"/>
  <c r="AD25" i="10"/>
  <c r="AD25" i="8"/>
  <c r="Y30" i="8"/>
  <c r="F10" i="2"/>
  <c r="H12" i="2"/>
  <c r="AC52" i="4"/>
  <c r="AZ29" i="4"/>
  <c r="G20" i="10"/>
  <c r="T7" i="10"/>
  <c r="G20" i="8"/>
  <c r="T7" i="8"/>
  <c r="W16" i="4"/>
  <c r="P23" i="4"/>
  <c r="Z51" i="10"/>
  <c r="AY26" i="8"/>
  <c r="AY26" i="10"/>
  <c r="Z51" i="8"/>
  <c r="E30" i="4"/>
  <c r="AD5" i="4"/>
  <c r="AJ45" i="10"/>
  <c r="AS36" i="10"/>
  <c r="AS36" i="8"/>
  <c r="AJ45" i="8"/>
  <c r="AQ10" i="4"/>
  <c r="J43" i="4"/>
  <c r="G10" i="2"/>
  <c r="I30" i="2"/>
  <c r="I3" i="2"/>
  <c r="I21" i="2"/>
  <c r="O1314" i="1"/>
  <c r="O1293" i="1"/>
  <c r="O655" i="1"/>
  <c r="O1282" i="1"/>
  <c r="AC1282" i="1" s="1"/>
  <c r="O1280" i="1"/>
  <c r="AC1280" i="1" s="1"/>
  <c r="O1244" i="1"/>
  <c r="AD1244" i="1" s="1"/>
  <c r="O1196" i="1"/>
  <c r="AC1196" i="1" s="1"/>
  <c r="O1180" i="1"/>
  <c r="AC1180" i="1" s="1"/>
  <c r="O1228" i="1"/>
  <c r="O1227" i="1"/>
  <c r="AD1227" i="1" s="1"/>
  <c r="O1195" i="1"/>
  <c r="O1163" i="1"/>
  <c r="O1099" i="1"/>
  <c r="AD1099" i="1" s="1"/>
  <c r="O1067" i="1"/>
  <c r="AC1067" i="1" s="1"/>
  <c r="O1035" i="1"/>
  <c r="O987" i="1"/>
  <c r="O924" i="1"/>
  <c r="AD924" i="1" s="1"/>
  <c r="O890" i="1"/>
  <c r="O827" i="1"/>
  <c r="O795" i="1"/>
  <c r="AC795" i="1" s="1"/>
  <c r="O779" i="1"/>
  <c r="AD779" i="1" s="1"/>
  <c r="O747" i="1"/>
  <c r="AC747" i="1" s="1"/>
  <c r="O683" i="1"/>
  <c r="AC683" i="1" s="1"/>
  <c r="O1260" i="1"/>
  <c r="AC1260" i="1" s="1"/>
  <c r="O1212" i="1"/>
  <c r="AD1212" i="1" s="1"/>
  <c r="O1259" i="1"/>
  <c r="AC1259" i="1" s="1"/>
  <c r="O1211" i="1"/>
  <c r="O1179" i="1"/>
  <c r="O1147" i="1"/>
  <c r="AC1147" i="1" s="1"/>
  <c r="O1115" i="1"/>
  <c r="AC1115" i="1" s="1"/>
  <c r="O1083" i="1"/>
  <c r="O1051" i="1"/>
  <c r="O1019" i="1"/>
  <c r="AD1019" i="1" s="1"/>
  <c r="O971" i="1"/>
  <c r="O940" i="1"/>
  <c r="O875" i="1"/>
  <c r="AD875" i="1" s="1"/>
  <c r="O843" i="1"/>
  <c r="AD843" i="1" s="1"/>
  <c r="O731" i="1"/>
  <c r="AC731" i="1" s="1"/>
  <c r="O1251" i="1"/>
  <c r="AC1251" i="1" s="1"/>
  <c r="O1252" i="1"/>
  <c r="AD1252" i="1" s="1"/>
  <c r="O1250" i="1"/>
  <c r="AC1250" i="1" s="1"/>
  <c r="O1248" i="1"/>
  <c r="AC1248" i="1" s="1"/>
  <c r="O1246" i="1"/>
  <c r="O1066" i="1"/>
  <c r="O970" i="1"/>
  <c r="AC970" i="1" s="1"/>
  <c r="O922" i="1"/>
  <c r="AD922" i="1" s="1"/>
  <c r="O859" i="1"/>
  <c r="O1130" i="1"/>
  <c r="O1018" i="1"/>
  <c r="AD1018" i="1" s="1"/>
  <c r="O891" i="1"/>
  <c r="O1178" i="1"/>
  <c r="O1082" i="1"/>
  <c r="O1002" i="1"/>
  <c r="AD1002" i="1" s="1"/>
  <c r="O906" i="1"/>
  <c r="AD906" i="1" s="1"/>
  <c r="O1194" i="1"/>
  <c r="AD1194" i="1" s="1"/>
  <c r="O1114" i="1"/>
  <c r="O1034" i="1"/>
  <c r="O950" i="1"/>
  <c r="AC950" i="1" s="1"/>
  <c r="O842" i="1"/>
  <c r="O1098" i="1"/>
  <c r="O1210" i="1"/>
  <c r="AD1210" i="1" s="1"/>
  <c r="O1050" i="1"/>
  <c r="O986" i="1"/>
  <c r="O938" i="1"/>
  <c r="O874" i="1"/>
  <c r="AD874" i="1" s="1"/>
  <c r="O1226" i="1"/>
  <c r="O1217" i="1"/>
  <c r="AD1217" i="1" s="1"/>
  <c r="O1200" i="1"/>
  <c r="AC1200" i="1" s="1"/>
  <c r="O1165" i="1"/>
  <c r="AC1165" i="1" s="1"/>
  <c r="O1133" i="1"/>
  <c r="AC1133" i="1" s="1"/>
  <c r="O1101" i="1"/>
  <c r="AD1101" i="1" s="1"/>
  <c r="O1069" i="1"/>
  <c r="AC1069" i="1" s="1"/>
  <c r="O1021" i="1"/>
  <c r="AC1021" i="1" s="1"/>
  <c r="O957" i="1"/>
  <c r="AC957" i="1" s="1"/>
  <c r="O1213" i="1"/>
  <c r="O1149" i="1"/>
  <c r="O1117" i="1"/>
  <c r="AD1117" i="1" s="1"/>
  <c r="O1086" i="1"/>
  <c r="AC1086" i="1" s="1"/>
  <c r="O1053" i="1"/>
  <c r="O1037" i="1"/>
  <c r="O1005" i="1"/>
  <c r="AD1005" i="1" s="1"/>
  <c r="O942" i="1"/>
  <c r="O1214" i="1"/>
  <c r="AD1214" i="1" s="1"/>
  <c r="O1216" i="1"/>
  <c r="AC1216" i="1" s="1"/>
  <c r="O1206" i="1"/>
  <c r="AC1206" i="1" s="1"/>
  <c r="O1201" i="1"/>
  <c r="AC1201" i="1" s="1"/>
  <c r="O1190" i="1"/>
  <c r="AD1190" i="1" s="1"/>
  <c r="O1174" i="1"/>
  <c r="AD1174" i="1" s="1"/>
  <c r="O1158" i="1"/>
  <c r="O1142" i="1"/>
  <c r="AD1142" i="1" s="1"/>
  <c r="O1126" i="1"/>
  <c r="O1094" i="1"/>
  <c r="O1078" i="1"/>
  <c r="AD1078" i="1" s="1"/>
  <c r="O1062" i="1"/>
  <c r="AD1062" i="1" s="1"/>
  <c r="O1047" i="1"/>
  <c r="O1030" i="1"/>
  <c r="AC1030" i="1" s="1"/>
  <c r="O1014" i="1"/>
  <c r="AC1014" i="1" s="1"/>
  <c r="O995" i="1"/>
  <c r="O966" i="1"/>
  <c r="O951" i="1"/>
  <c r="AD951" i="1" s="1"/>
  <c r="O918" i="1"/>
  <c r="AC918" i="1" s="1"/>
  <c r="O902" i="1"/>
  <c r="AC902" i="1" s="1"/>
  <c r="O886" i="1"/>
  <c r="AC886" i="1" s="1"/>
  <c r="O870" i="1"/>
  <c r="AD870" i="1" s="1"/>
  <c r="O854" i="1"/>
  <c r="AC854" i="1" s="1"/>
  <c r="O838" i="1"/>
  <c r="AD838" i="1" s="1"/>
  <c r="O822" i="1"/>
  <c r="O806" i="1"/>
  <c r="AD806" i="1" s="1"/>
  <c r="O790" i="1"/>
  <c r="AC790" i="1" s="1"/>
  <c r="O774" i="1"/>
  <c r="AD774" i="1" s="1"/>
  <c r="O758" i="1"/>
  <c r="O742" i="1"/>
  <c r="AC742" i="1" s="1"/>
  <c r="O726" i="1"/>
  <c r="AC726" i="1" s="1"/>
  <c r="O710" i="1"/>
  <c r="O694" i="1"/>
  <c r="O678" i="1"/>
  <c r="O661" i="1"/>
  <c r="AD661" i="1" s="1"/>
  <c r="O647" i="1"/>
  <c r="AD647" i="1" s="1"/>
  <c r="O614" i="1"/>
  <c r="AD614" i="1" s="1"/>
  <c r="O598" i="1"/>
  <c r="AC598" i="1" s="1"/>
  <c r="O1070" i="1"/>
  <c r="AC1070" i="1" s="1"/>
  <c r="O958" i="1"/>
  <c r="AD958" i="1" s="1"/>
  <c r="O1150" i="1"/>
  <c r="O1102" i="1"/>
  <c r="O1006" i="1"/>
  <c r="AD1006" i="1" s="1"/>
  <c r="O1134" i="1"/>
  <c r="AC1134" i="1" s="1"/>
  <c r="O1084" i="1"/>
  <c r="O1022" i="1"/>
  <c r="AD1022" i="1" s="1"/>
  <c r="O974" i="1"/>
  <c r="AC974" i="1" s="1"/>
  <c r="O1198" i="1"/>
  <c r="O1182" i="1"/>
  <c r="O1118" i="1"/>
  <c r="AC1118" i="1" s="1"/>
  <c r="O1054" i="1"/>
  <c r="AC1054" i="1" s="1"/>
  <c r="O990" i="1"/>
  <c r="AD990" i="1" s="1"/>
  <c r="O1199" i="1"/>
  <c r="AD1199" i="1" s="1"/>
  <c r="O1197" i="1"/>
  <c r="O1185" i="1"/>
  <c r="O1184" i="1"/>
  <c r="AD1184" i="1" s="1"/>
  <c r="O1188" i="1"/>
  <c r="O1187" i="1"/>
  <c r="AD1187" i="1" s="1"/>
  <c r="O1183" i="1"/>
  <c r="AD1183" i="1" s="1"/>
  <c r="O1177" i="1"/>
  <c r="AD1177" i="1" s="1"/>
  <c r="O1157" i="1"/>
  <c r="O1137" i="1"/>
  <c r="AC1137" i="1" s="1"/>
  <c r="O1121" i="1"/>
  <c r="AC1121" i="1" s="1"/>
  <c r="O1168" i="1"/>
  <c r="O1172" i="1"/>
  <c r="O1166" i="1"/>
  <c r="AD1166" i="1" s="1"/>
  <c r="O1164" i="1"/>
  <c r="AD1164" i="1" s="1"/>
  <c r="O1148" i="1"/>
  <c r="AD1148" i="1" s="1"/>
  <c r="O1100" i="1"/>
  <c r="AC1100" i="1" s="1"/>
  <c r="O1132" i="1"/>
  <c r="AD1132" i="1" s="1"/>
  <c r="O1116" i="1"/>
  <c r="AC1116" i="1" s="1"/>
  <c r="O1169" i="1"/>
  <c r="AD1169" i="1" s="1"/>
  <c r="O1167" i="1"/>
  <c r="O1162" i="1"/>
  <c r="AD1162" i="1" s="1"/>
  <c r="O1161" i="1"/>
  <c r="AC1161" i="1" s="1"/>
  <c r="O1145" i="1"/>
  <c r="O1001" i="1"/>
  <c r="AD1001" i="1" s="1"/>
  <c r="O1128" i="1"/>
  <c r="AC1128" i="1" s="1"/>
  <c r="O1097" i="1"/>
  <c r="AD1097" i="1" s="1"/>
  <c r="O969" i="1"/>
  <c r="O761" i="1"/>
  <c r="AC761" i="1" s="1"/>
  <c r="O1112" i="1"/>
  <c r="AC1112" i="1" s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AC521" i="1" s="1"/>
  <c r="O1124" i="1"/>
  <c r="AD1124" i="1" s="1"/>
  <c r="O1076" i="1"/>
  <c r="O1081" i="1"/>
  <c r="AD1081" i="1" s="1"/>
  <c r="O954" i="1"/>
  <c r="AC954" i="1" s="1"/>
  <c r="O825" i="1"/>
  <c r="AD825" i="1" s="1"/>
  <c r="O713" i="1"/>
  <c r="AC713" i="1" s="1"/>
  <c r="O569" i="1"/>
  <c r="AC569" i="1" s="1"/>
  <c r="O1092" i="1"/>
  <c r="O1017" i="1"/>
  <c r="O857" i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AC1156" i="1" s="1"/>
  <c r="O921" i="1"/>
  <c r="AD921" i="1" s="1"/>
  <c r="O1135" i="1"/>
  <c r="AD1135" i="1" s="1"/>
  <c r="O1152" i="1"/>
  <c r="AD1152" i="1" s="1"/>
  <c r="O1129" i="1"/>
  <c r="AD1129" i="1" s="1"/>
  <c r="O1033" i="1"/>
  <c r="AD1033" i="1" s="1"/>
  <c r="O809" i="1"/>
  <c r="AD809" i="1" s="1"/>
  <c r="O617" i="1"/>
  <c r="AC617" i="1" s="1"/>
  <c r="O1080" i="1"/>
  <c r="O1113" i="1"/>
  <c r="O1154" i="1"/>
  <c r="AC1154" i="1" s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AC1088" i="1" s="1"/>
  <c r="O1136" i="1"/>
  <c r="AD1136" i="1" s="1"/>
  <c r="O1024" i="1"/>
  <c r="AD1024" i="1" s="1"/>
  <c r="O1104" i="1"/>
  <c r="AD1104" i="1" s="1"/>
  <c r="O1040" i="1"/>
  <c r="AD1040" i="1" s="1"/>
  <c r="O1144" i="1"/>
  <c r="AD1144" i="1" s="1"/>
  <c r="O1146" i="1"/>
  <c r="AD1146" i="1" s="1"/>
  <c r="O1131" i="1"/>
  <c r="AC1131" i="1" s="1"/>
  <c r="O1122" i="1"/>
  <c r="O1109" i="1"/>
  <c r="O1093" i="1"/>
  <c r="AC1093" i="1" s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AC981" i="1" s="1"/>
  <c r="O965" i="1"/>
  <c r="AD965" i="1" s="1"/>
  <c r="O933" i="1"/>
  <c r="O917" i="1"/>
  <c r="AD917" i="1" s="1"/>
  <c r="O868" i="1"/>
  <c r="AD868" i="1" s="1"/>
  <c r="O837" i="1"/>
  <c r="AD837" i="1" s="1"/>
  <c r="O821" i="1"/>
  <c r="AD821" i="1" s="1"/>
  <c r="O789" i="1"/>
  <c r="AD789" i="1" s="1"/>
  <c r="O773" i="1"/>
  <c r="AC773" i="1" s="1"/>
  <c r="O741" i="1"/>
  <c r="O725" i="1"/>
  <c r="AC725" i="1" s="1"/>
  <c r="O1103" i="1"/>
  <c r="AD1103" i="1" s="1"/>
  <c r="O1087" i="1"/>
  <c r="AD1087" i="1" s="1"/>
  <c r="O1071" i="1"/>
  <c r="AC1071" i="1" s="1"/>
  <c r="O1055" i="1"/>
  <c r="AC1055" i="1" s="1"/>
  <c r="O1039" i="1"/>
  <c r="AD1039" i="1" s="1"/>
  <c r="O1023" i="1"/>
  <c r="AD1023" i="1" s="1"/>
  <c r="O1007" i="1"/>
  <c r="AD1007" i="1" s="1"/>
  <c r="O1119" i="1"/>
  <c r="O1090" i="1"/>
  <c r="AD1090" i="1" s="1"/>
  <c r="O1058" i="1"/>
  <c r="O1042" i="1"/>
  <c r="AD1042" i="1" s="1"/>
  <c r="O1026" i="1"/>
  <c r="AC1026" i="1" s="1"/>
  <c r="O1010" i="1"/>
  <c r="AD1010" i="1" s="1"/>
  <c r="O994" i="1"/>
  <c r="AD994" i="1" s="1"/>
  <c r="O978" i="1"/>
  <c r="O946" i="1"/>
  <c r="O914" i="1"/>
  <c r="AC914" i="1" s="1"/>
  <c r="O898" i="1"/>
  <c r="AD898" i="1" s="1"/>
  <c r="O882" i="1"/>
  <c r="AC882" i="1" s="1"/>
  <c r="O866" i="1"/>
  <c r="AD866" i="1" s="1"/>
  <c r="O850" i="1"/>
  <c r="AD850" i="1" s="1"/>
  <c r="O834" i="1"/>
  <c r="AC834" i="1" s="1"/>
  <c r="O819" i="1"/>
  <c r="AD819" i="1" s="1"/>
  <c r="O802" i="1"/>
  <c r="AC802" i="1" s="1"/>
  <c r="O786" i="1"/>
  <c r="AC786" i="1" s="1"/>
  <c r="O770" i="1"/>
  <c r="AD770" i="1" s="1"/>
  <c r="O754" i="1"/>
  <c r="AD754" i="1" s="1"/>
  <c r="O738" i="1"/>
  <c r="AC738" i="1" s="1"/>
  <c r="O722" i="1"/>
  <c r="AD722" i="1" s="1"/>
  <c r="O706" i="1"/>
  <c r="AC706" i="1" s="1"/>
  <c r="O690" i="1"/>
  <c r="O674" i="1"/>
  <c r="AD674" i="1" s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AD1110" i="1" s="1"/>
  <c r="O1107" i="1"/>
  <c r="AD1107" i="1" s="1"/>
  <c r="O1106" i="1"/>
  <c r="AD1106" i="1" s="1"/>
  <c r="O1089" i="1"/>
  <c r="AD1089" i="1" s="1"/>
  <c r="O1041" i="1"/>
  <c r="AC1041" i="1" s="1"/>
  <c r="O1025" i="1"/>
  <c r="AD1025" i="1" s="1"/>
  <c r="O1073" i="1"/>
  <c r="AC1073" i="1" s="1"/>
  <c r="O1105" i="1"/>
  <c r="AC1105" i="1" s="1"/>
  <c r="O1036" i="1"/>
  <c r="AC1036" i="1" s="1"/>
  <c r="O1020" i="1"/>
  <c r="O988" i="1"/>
  <c r="AC988" i="1" s="1"/>
  <c r="O972" i="1"/>
  <c r="AD972" i="1" s="1"/>
  <c r="O956" i="1"/>
  <c r="AD956" i="1" s="1"/>
  <c r="O941" i="1"/>
  <c r="AC941" i="1" s="1"/>
  <c r="O925" i="1"/>
  <c r="AC925" i="1" s="1"/>
  <c r="O908" i="1"/>
  <c r="AC908" i="1" s="1"/>
  <c r="O892" i="1"/>
  <c r="AC892" i="1" s="1"/>
  <c r="O876" i="1"/>
  <c r="AD876" i="1" s="1"/>
  <c r="O860" i="1"/>
  <c r="AC860" i="1" s="1"/>
  <c r="O844" i="1"/>
  <c r="AD844" i="1" s="1"/>
  <c r="O828" i="1"/>
  <c r="AC828" i="1" s="1"/>
  <c r="O812" i="1"/>
  <c r="AC812" i="1" s="1"/>
  <c r="O796" i="1"/>
  <c r="AC796" i="1" s="1"/>
  <c r="O1068" i="1"/>
  <c r="AC1068" i="1" s="1"/>
  <c r="O1085" i="1"/>
  <c r="AC1085" i="1" s="1"/>
  <c r="O1096" i="1"/>
  <c r="AD1096" i="1" s="1"/>
  <c r="O1074" i="1"/>
  <c r="AC1074" i="1" s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AD1057" i="1" s="1"/>
  <c r="O1056" i="1"/>
  <c r="AD1056" i="1" s="1"/>
  <c r="O1052" i="1"/>
  <c r="AD1052" i="1" s="1"/>
  <c r="O1048" i="1"/>
  <c r="AC1048" i="1" s="1"/>
  <c r="O1016" i="1"/>
  <c r="AD1016" i="1" s="1"/>
  <c r="O1032" i="1"/>
  <c r="AC1032" i="1" s="1"/>
  <c r="O1000" i="1"/>
  <c r="AD1000" i="1" s="1"/>
  <c r="O1038" i="1"/>
  <c r="AD1038" i="1" s="1"/>
  <c r="O1003" i="1"/>
  <c r="AD1003" i="1" s="1"/>
  <c r="O980" i="1"/>
  <c r="O964" i="1"/>
  <c r="AD964" i="1" s="1"/>
  <c r="O948" i="1"/>
  <c r="AD948" i="1" s="1"/>
  <c r="O932" i="1"/>
  <c r="AD932" i="1" s="1"/>
  <c r="O916" i="1"/>
  <c r="AD916" i="1" s="1"/>
  <c r="O900" i="1"/>
  <c r="AD900" i="1" s="1"/>
  <c r="O884" i="1"/>
  <c r="AC884" i="1" s="1"/>
  <c r="O869" i="1"/>
  <c r="AC869" i="1" s="1"/>
  <c r="O852" i="1"/>
  <c r="AC852" i="1" s="1"/>
  <c r="O1009" i="1"/>
  <c r="AD1009" i="1" s="1"/>
  <c r="O1008" i="1"/>
  <c r="AC1008" i="1" s="1"/>
  <c r="O1004" i="1"/>
  <c r="AC1004" i="1" s="1"/>
  <c r="O993" i="1"/>
  <c r="AC993" i="1" s="1"/>
  <c r="O997" i="1"/>
  <c r="AC997" i="1" s="1"/>
  <c r="O979" i="1"/>
  <c r="AD979" i="1" s="1"/>
  <c r="O955" i="1"/>
  <c r="AC955" i="1" s="1"/>
  <c r="O949" i="1"/>
  <c r="O937" i="1"/>
  <c r="O901" i="1"/>
  <c r="AD901" i="1" s="1"/>
  <c r="O889" i="1"/>
  <c r="AD889" i="1" s="1"/>
  <c r="O853" i="1"/>
  <c r="AC853" i="1" s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AD601" i="1" s="1"/>
  <c r="O553" i="1"/>
  <c r="AC553" i="1" s="1"/>
  <c r="O505" i="1"/>
  <c r="AC505" i="1" s="1"/>
  <c r="O985" i="1"/>
  <c r="AD985" i="1" s="1"/>
  <c r="O973" i="1"/>
  <c r="AD973" i="1" s="1"/>
  <c r="O931" i="1"/>
  <c r="AC931" i="1" s="1"/>
  <c r="O919" i="1"/>
  <c r="AC919" i="1" s="1"/>
  <c r="O907" i="1"/>
  <c r="AD907" i="1" s="1"/>
  <c r="O883" i="1"/>
  <c r="AD883" i="1" s="1"/>
  <c r="O871" i="1"/>
  <c r="AD871" i="1" s="1"/>
  <c r="O858" i="1"/>
  <c r="AC858" i="1" s="1"/>
  <c r="O835" i="1"/>
  <c r="AC835" i="1" s="1"/>
  <c r="O823" i="1"/>
  <c r="AC823" i="1" s="1"/>
  <c r="O805" i="1"/>
  <c r="AC805" i="1" s="1"/>
  <c r="O763" i="1"/>
  <c r="AC763" i="1" s="1"/>
  <c r="O745" i="1"/>
  <c r="AD745" i="1" s="1"/>
  <c r="BU31" i="2"/>
  <c r="BU7" i="2"/>
  <c r="BU10" i="2"/>
  <c r="O991" i="1"/>
  <c r="AD991" i="1" s="1"/>
  <c r="BU28" i="2"/>
  <c r="BU6" i="2"/>
  <c r="BU5" i="2"/>
  <c r="BU18" i="2"/>
  <c r="BU12" i="2"/>
  <c r="BU11" i="2"/>
  <c r="BU4" i="2"/>
  <c r="BU33" i="2"/>
  <c r="BU16" i="2"/>
  <c r="BU14" i="2"/>
  <c r="BU21" i="2"/>
  <c r="BU27" i="2"/>
  <c r="BU25" i="2"/>
  <c r="BU13" i="2"/>
  <c r="BU9" i="2"/>
  <c r="BU23" i="2"/>
  <c r="BU15" i="2"/>
  <c r="BU26" i="2"/>
  <c r="BU19" i="2"/>
  <c r="BU2" i="2"/>
  <c r="BU32" i="2"/>
  <c r="BU3" i="2"/>
  <c r="BU8" i="2"/>
  <c r="BU22" i="2"/>
  <c r="BU29" i="2"/>
  <c r="BU20" i="2"/>
  <c r="BU24" i="2"/>
  <c r="BU17" i="2"/>
  <c r="O989" i="1"/>
  <c r="AD989" i="1" s="1"/>
  <c r="BU30" i="2"/>
  <c r="O984" i="1"/>
  <c r="AD984" i="1" s="1"/>
  <c r="BT19" i="2"/>
  <c r="O953" i="1"/>
  <c r="AD953" i="1" s="1"/>
  <c r="BT2" i="2"/>
  <c r="BT30" i="2"/>
  <c r="O977" i="1"/>
  <c r="AD977" i="1" s="1"/>
  <c r="BT27" i="2"/>
  <c r="BT28" i="2"/>
  <c r="BT31" i="2"/>
  <c r="BT7" i="2"/>
  <c r="BT25" i="2"/>
  <c r="BT18" i="2"/>
  <c r="BT10" i="2"/>
  <c r="BT11" i="2"/>
  <c r="BT9" i="2"/>
  <c r="BT29" i="2"/>
  <c r="BT3" i="2"/>
  <c r="BT13" i="2"/>
  <c r="BT4" i="2"/>
  <c r="BT32" i="2"/>
  <c r="BT21" i="2"/>
  <c r="BT22" i="2"/>
  <c r="BT12" i="2"/>
  <c r="BT5" i="2"/>
  <c r="BT23" i="2"/>
  <c r="BT16" i="2"/>
  <c r="BT8" i="2"/>
  <c r="BT20" i="2"/>
  <c r="BT14" i="2"/>
  <c r="BT33" i="2"/>
  <c r="BT6" i="2"/>
  <c r="BT15" i="2"/>
  <c r="BT24" i="2"/>
  <c r="BT17" i="2"/>
  <c r="BT26" i="2"/>
  <c r="O982" i="1"/>
  <c r="AD982" i="1" s="1"/>
  <c r="O960" i="1"/>
  <c r="O959" i="1"/>
  <c r="AD959" i="1" s="1"/>
  <c r="O976" i="1"/>
  <c r="AD976" i="1" s="1"/>
  <c r="O975" i="1"/>
  <c r="AC975" i="1" s="1"/>
  <c r="O968" i="1"/>
  <c r="AD968" i="1" s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AC945" i="1" s="1"/>
  <c r="O943" i="1"/>
  <c r="AC943" i="1" s="1"/>
  <c r="O913" i="1"/>
  <c r="AC913" i="1" s="1"/>
  <c r="DW57" i="2"/>
  <c r="O895" i="1"/>
  <c r="AC895" i="1" s="1"/>
  <c r="O848" i="1"/>
  <c r="AD848" i="1" s="1"/>
  <c r="O928" i="1"/>
  <c r="AD928" i="1" s="1"/>
  <c r="O880" i="1"/>
  <c r="AC880" i="1" s="1"/>
  <c r="O864" i="1"/>
  <c r="AD864" i="1" s="1"/>
  <c r="O944" i="1"/>
  <c r="AC944" i="1" s="1"/>
  <c r="O911" i="1"/>
  <c r="AC911" i="1" s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AC814" i="1" s="1"/>
  <c r="O782" i="1"/>
  <c r="AD782" i="1" s="1"/>
  <c r="O766" i="1"/>
  <c r="AC766" i="1" s="1"/>
  <c r="O926" i="1"/>
  <c r="AC926" i="1" s="1"/>
  <c r="O893" i="1"/>
  <c r="AC893" i="1" s="1"/>
  <c r="O877" i="1"/>
  <c r="AD877" i="1" s="1"/>
  <c r="O861" i="1"/>
  <c r="AC861" i="1" s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AD798" i="1" s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AC840" i="1" s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AD897" i="1" s="1"/>
  <c r="O881" i="1"/>
  <c r="AD881" i="1" s="1"/>
  <c r="O865" i="1"/>
  <c r="AC865" i="1" s="1"/>
  <c r="O849" i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O751" i="1"/>
  <c r="AC751" i="1" s="1"/>
  <c r="O735" i="1"/>
  <c r="AD735" i="1" s="1"/>
  <c r="O719" i="1"/>
  <c r="AD719" i="1" s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AD308" i="1" s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AD787" i="1" s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AD808" i="1" s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AC529" i="1" s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AB1160" i="1"/>
  <c r="AA1016" i="1"/>
  <c r="AA968" i="1"/>
  <c r="AB1287" i="1"/>
  <c r="Z1207" i="1"/>
  <c r="AQ1207" i="1" s="1"/>
  <c r="AB1111" i="1"/>
  <c r="AB999" i="1"/>
  <c r="AB967" i="1"/>
  <c r="AB952" i="1"/>
  <c r="AB663" i="1"/>
  <c r="Z134" i="1"/>
  <c r="AQ134" i="1" s="1"/>
  <c r="AB1142" i="1"/>
  <c r="AA1047" i="1"/>
  <c r="AB951" i="1"/>
  <c r="AA886" i="1"/>
  <c r="AA806" i="1"/>
  <c r="AB661" i="1"/>
  <c r="Z133" i="1"/>
  <c r="AQ133" i="1" s="1"/>
  <c r="AB1269" i="1"/>
  <c r="AA1189" i="1"/>
  <c r="AA1141" i="1"/>
  <c r="AB1125" i="1"/>
  <c r="AB1046" i="1"/>
  <c r="AB998" i="1"/>
  <c r="AB981" i="1"/>
  <c r="AB933" i="1"/>
  <c r="AB885" i="1"/>
  <c r="AB597" i="1"/>
  <c r="AB501" i="1"/>
  <c r="Z132" i="1"/>
  <c r="AQ132" i="1" s="1"/>
  <c r="AA756" i="1"/>
  <c r="AB1219" i="1"/>
  <c r="AB1171" i="1"/>
  <c r="AB1107" i="1"/>
  <c r="AB1059" i="1"/>
  <c r="AB979" i="1"/>
  <c r="Z915" i="1"/>
  <c r="AQ915" i="1" s="1"/>
  <c r="AB835" i="1"/>
  <c r="AA771" i="1"/>
  <c r="AA483" i="1"/>
  <c r="AB1202" i="1"/>
  <c r="AB1106" i="1"/>
  <c r="AB914" i="1"/>
  <c r="AB850" i="1"/>
  <c r="AB770" i="1"/>
  <c r="AB706" i="1"/>
  <c r="AA690" i="1"/>
  <c r="AA450" i="1"/>
  <c r="Z129" i="1"/>
  <c r="AQ129" i="1" s="1"/>
  <c r="AB1249" i="1"/>
  <c r="AB1201" i="1"/>
  <c r="AB1089" i="1"/>
  <c r="AA1057" i="1"/>
  <c r="AB1041" i="1"/>
  <c r="AB1009" i="1"/>
  <c r="AB945" i="1"/>
  <c r="AB913" i="1"/>
  <c r="AB849" i="1"/>
  <c r="AB705" i="1"/>
  <c r="Z128" i="1"/>
  <c r="AQ128" i="1" s="1"/>
  <c r="AB1232" i="1"/>
  <c r="AA1088" i="1"/>
  <c r="AB656" i="1"/>
  <c r="AA640" i="1"/>
  <c r="AB544" i="1"/>
  <c r="AA432" i="1"/>
  <c r="Z127" i="1"/>
  <c r="AQ127" i="1" s="1"/>
  <c r="AB1311" i="1"/>
  <c r="AB1231" i="1"/>
  <c r="AB1167" i="1"/>
  <c r="AB1135" i="1"/>
  <c r="AB1071" i="1"/>
  <c r="AB1023" i="1"/>
  <c r="AB991" i="1"/>
  <c r="AB927" i="1"/>
  <c r="AA591" i="1"/>
  <c r="AB447" i="1"/>
  <c r="AA980" i="1"/>
  <c r="AB1166" i="1"/>
  <c r="AA1022" i="1"/>
  <c r="AB923" i="1"/>
  <c r="AA814" i="1"/>
  <c r="AB590" i="1"/>
  <c r="AA574" i="1"/>
  <c r="AB542" i="1"/>
  <c r="AA1124" i="1"/>
  <c r="O410" i="1"/>
  <c r="AD410" i="1" s="1"/>
  <c r="AB1309" i="1"/>
  <c r="AB1293" i="1"/>
  <c r="AB1213" i="1"/>
  <c r="AA1117" i="1"/>
  <c r="AB1021" i="1"/>
  <c r="AB1005" i="1"/>
  <c r="AB973" i="1"/>
  <c r="AB926" i="1"/>
  <c r="AA813" i="1"/>
  <c r="AA669" i="1"/>
  <c r="AA932" i="1"/>
  <c r="AB836" i="1"/>
  <c r="AB1052" i="1"/>
  <c r="AA1004" i="1"/>
  <c r="AA908" i="1"/>
  <c r="AA892" i="1"/>
  <c r="AA844" i="1"/>
  <c r="AB748" i="1"/>
  <c r="AA684" i="1"/>
  <c r="AB620" i="1"/>
  <c r="Z1243" i="1"/>
  <c r="AQ1243" i="1" s="1"/>
  <c r="AB1147" i="1"/>
  <c r="AB1099" i="1"/>
  <c r="AB1051" i="1"/>
  <c r="AB1035" i="1"/>
  <c r="AA1003" i="1"/>
  <c r="AB987" i="1"/>
  <c r="Z74" i="1"/>
  <c r="AQ74" i="1" s="1"/>
  <c r="AB1178" i="1"/>
  <c r="AA1130" i="1"/>
  <c r="AA1034" i="1"/>
  <c r="AB986" i="1"/>
  <c r="AA938" i="1"/>
  <c r="AA699" i="1"/>
  <c r="Z137" i="1"/>
  <c r="AQ137" i="1" s="1"/>
  <c r="AB1305" i="1"/>
  <c r="AB1113" i="1"/>
  <c r="AB1081" i="1"/>
  <c r="AA1033" i="1"/>
  <c r="AB1017" i="1"/>
  <c r="AA985" i="1"/>
  <c r="AB969" i="1"/>
  <c r="AB937" i="1"/>
  <c r="AB393" i="1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B285" i="1"/>
  <c r="O223" i="1"/>
  <c r="AD223" i="1" s="1"/>
  <c r="AC890" i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AD65" i="1" s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19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58" i="1"/>
  <c r="AD1126" i="1"/>
  <c r="AD1094" i="1"/>
  <c r="AD1047" i="1"/>
  <c r="AD1030" i="1"/>
  <c r="AD995" i="1"/>
  <c r="AD966" i="1"/>
  <c r="AD902" i="1"/>
  <c r="AD854" i="1"/>
  <c r="AD822" i="1"/>
  <c r="AD758" i="1"/>
  <c r="AD742" i="1"/>
  <c r="AD710" i="1"/>
  <c r="AD694" i="1"/>
  <c r="AD678" i="1"/>
  <c r="AD598" i="1"/>
  <c r="AD1301" i="1"/>
  <c r="AD1285" i="1"/>
  <c r="AD1269" i="1"/>
  <c r="AD1253" i="1"/>
  <c r="AD1237" i="1"/>
  <c r="AD1221" i="1"/>
  <c r="AD1205" i="1"/>
  <c r="AD1189" i="1"/>
  <c r="AD1173" i="1"/>
  <c r="AD1157" i="1"/>
  <c r="AD1109" i="1"/>
  <c r="AD998" i="1"/>
  <c r="AD949" i="1"/>
  <c r="AD933" i="1"/>
  <c r="AD741" i="1"/>
  <c r="AC1215" i="1"/>
  <c r="AD1300" i="1"/>
  <c r="AD1284" i="1"/>
  <c r="AD1268" i="1"/>
  <c r="AD1236" i="1"/>
  <c r="AD1220" i="1"/>
  <c r="AD1204" i="1"/>
  <c r="AD1188" i="1"/>
  <c r="AD1172" i="1"/>
  <c r="AD1092" i="1"/>
  <c r="AD1076" i="1"/>
  <c r="AD1012" i="1"/>
  <c r="AD980" i="1"/>
  <c r="AD884" i="1"/>
  <c r="AD852" i="1"/>
  <c r="AD788" i="1"/>
  <c r="AD1299" i="1"/>
  <c r="AD1283" i="1"/>
  <c r="AD1267" i="1"/>
  <c r="AD1235" i="1"/>
  <c r="AD1219" i="1"/>
  <c r="AD1203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1314" i="1"/>
  <c r="AD1298" i="1"/>
  <c r="AD1282" i="1"/>
  <c r="AD1266" i="1"/>
  <c r="AD1250" i="1"/>
  <c r="AD1234" i="1"/>
  <c r="AD1218" i="1"/>
  <c r="AD1202" i="1"/>
  <c r="AD1186" i="1"/>
  <c r="AD1170" i="1"/>
  <c r="AD1122" i="1"/>
  <c r="AD1058" i="1"/>
  <c r="AD978" i="1"/>
  <c r="AD946" i="1"/>
  <c r="AD834" i="1"/>
  <c r="AD690" i="1"/>
  <c r="AD1313" i="1"/>
  <c r="AD1297" i="1"/>
  <c r="AD1281" i="1"/>
  <c r="AD1265" i="1"/>
  <c r="AD1249" i="1"/>
  <c r="AD1233" i="1"/>
  <c r="AD1185" i="1"/>
  <c r="AD1137" i="1"/>
  <c r="AD1041" i="1"/>
  <c r="AD961" i="1"/>
  <c r="AD849" i="1"/>
  <c r="AD529" i="1"/>
  <c r="AD1312" i="1"/>
  <c r="AD1296" i="1"/>
  <c r="AD1264" i="1"/>
  <c r="AD1232" i="1"/>
  <c r="AD1216" i="1"/>
  <c r="AD1168" i="1"/>
  <c r="AD1088" i="1"/>
  <c r="AD960" i="1"/>
  <c r="AD800" i="1"/>
  <c r="AD1311" i="1"/>
  <c r="AD1295" i="1"/>
  <c r="AD1279" i="1"/>
  <c r="AD1263" i="1"/>
  <c r="AD1247" i="1"/>
  <c r="AD1231" i="1"/>
  <c r="AD1215" i="1"/>
  <c r="AD1167" i="1"/>
  <c r="AD1119" i="1"/>
  <c r="AD943" i="1"/>
  <c r="AD767" i="1"/>
  <c r="AD655" i="1"/>
  <c r="AD1310" i="1"/>
  <c r="AD1294" i="1"/>
  <c r="AD1278" i="1"/>
  <c r="AD1262" i="1"/>
  <c r="AD1246" i="1"/>
  <c r="AD1230" i="1"/>
  <c r="AD1198" i="1"/>
  <c r="AD1182" i="1"/>
  <c r="AD1150" i="1"/>
  <c r="AD1134" i="1"/>
  <c r="AD1118" i="1"/>
  <c r="AD1102" i="1"/>
  <c r="AD1084" i="1"/>
  <c r="AD1070" i="1"/>
  <c r="AD896" i="1"/>
  <c r="AD814" i="1"/>
  <c r="AD1309" i="1"/>
  <c r="AD1293" i="1"/>
  <c r="AD1277" i="1"/>
  <c r="AD1261" i="1"/>
  <c r="AD1245" i="1"/>
  <c r="AD1229" i="1"/>
  <c r="AD1213" i="1"/>
  <c r="AD1197" i="1"/>
  <c r="AD1181" i="1"/>
  <c r="AD1149" i="1"/>
  <c r="AD1133" i="1"/>
  <c r="AD1069" i="1"/>
  <c r="AD1053" i="1"/>
  <c r="AD1037" i="1"/>
  <c r="AD942" i="1"/>
  <c r="AD861" i="1"/>
  <c r="AD1308" i="1"/>
  <c r="AD1292" i="1"/>
  <c r="AD1276" i="1"/>
  <c r="AD1260" i="1"/>
  <c r="AD1228" i="1"/>
  <c r="AD1180" i="1"/>
  <c r="AD1036" i="1"/>
  <c r="AD1020" i="1"/>
  <c r="AD1004" i="1"/>
  <c r="AD908" i="1"/>
  <c r="O210" i="1"/>
  <c r="AD210" i="1" s="1"/>
  <c r="O194" i="1"/>
  <c r="AD194" i="1" s="1"/>
  <c r="AD1307" i="1"/>
  <c r="AD1291" i="1"/>
  <c r="AD1275" i="1"/>
  <c r="AD1243" i="1"/>
  <c r="AD1211" i="1"/>
  <c r="AD1195" i="1"/>
  <c r="AD1179" i="1"/>
  <c r="AD1163" i="1"/>
  <c r="AD1147" i="1"/>
  <c r="AD1115" i="1"/>
  <c r="AD1083" i="1"/>
  <c r="AD1051" i="1"/>
  <c r="AD1035" i="1"/>
  <c r="AD987" i="1"/>
  <c r="AD971" i="1"/>
  <c r="AD940" i="1"/>
  <c r="AD890" i="1"/>
  <c r="AD827" i="1"/>
  <c r="AD795" i="1"/>
  <c r="AD763" i="1"/>
  <c r="AD747" i="1"/>
  <c r="AD1306" i="1"/>
  <c r="AD1290" i="1"/>
  <c r="AD1274" i="1"/>
  <c r="AD1258" i="1"/>
  <c r="AD1242" i="1"/>
  <c r="AD1226" i="1"/>
  <c r="AD1178" i="1"/>
  <c r="AD1130" i="1"/>
  <c r="AD1114" i="1"/>
  <c r="AD1098" i="1"/>
  <c r="AD1082" i="1"/>
  <c r="AD1066" i="1"/>
  <c r="AD1050" i="1"/>
  <c r="AD1034" i="1"/>
  <c r="AD986" i="1"/>
  <c r="AD950" i="1"/>
  <c r="AD938" i="1"/>
  <c r="AD891" i="1"/>
  <c r="AD859" i="1"/>
  <c r="AD842" i="1"/>
  <c r="AD1305" i="1"/>
  <c r="AD1289" i="1"/>
  <c r="AD1273" i="1"/>
  <c r="AD1257" i="1"/>
  <c r="AD1241" i="1"/>
  <c r="AD1225" i="1"/>
  <c r="AD1209" i="1"/>
  <c r="AD1193" i="1"/>
  <c r="AD1161" i="1"/>
  <c r="AD1145" i="1"/>
  <c r="AD1113" i="1"/>
  <c r="AD1017" i="1"/>
  <c r="AD969" i="1"/>
  <c r="AD937" i="1"/>
  <c r="AD857" i="1"/>
  <c r="AD761" i="1"/>
  <c r="AD553" i="1"/>
  <c r="AD521" i="1"/>
  <c r="AD1304" i="1"/>
  <c r="AD1288" i="1"/>
  <c r="AD1272" i="1"/>
  <c r="AD1256" i="1"/>
  <c r="AD1240" i="1"/>
  <c r="AD1224" i="1"/>
  <c r="AD1208" i="1"/>
  <c r="AD1192" i="1"/>
  <c r="AD1176" i="1"/>
  <c r="AD1160" i="1"/>
  <c r="AD1112" i="1"/>
  <c r="AD1080" i="1"/>
  <c r="AD840" i="1"/>
  <c r="AC1297" i="1"/>
  <c r="AC1279" i="1"/>
  <c r="AC1261" i="1"/>
  <c r="AC1243" i="1"/>
  <c r="AC1225" i="1"/>
  <c r="AC1207" i="1"/>
  <c r="AC1075" i="1"/>
  <c r="AC1039" i="1"/>
  <c r="AC1295" i="1"/>
  <c r="AC1265" i="1"/>
  <c r="AC1235" i="1"/>
  <c r="AC1211" i="1"/>
  <c r="AC1181" i="1"/>
  <c r="AC1145" i="1"/>
  <c r="AC996" i="1"/>
  <c r="AC971" i="1"/>
  <c r="AC947" i="1"/>
  <c r="AC899" i="1"/>
  <c r="AC875" i="1"/>
  <c r="AC857" i="1"/>
  <c r="AC839" i="1"/>
  <c r="AC791" i="1"/>
  <c r="AC1312" i="1"/>
  <c r="AC1306" i="1"/>
  <c r="AC1300" i="1"/>
  <c r="AC1294" i="1"/>
  <c r="AC1288" i="1"/>
  <c r="AC1276" i="1"/>
  <c r="AC1270" i="1"/>
  <c r="AC1264" i="1"/>
  <c r="AC1258" i="1"/>
  <c r="AC1246" i="1"/>
  <c r="AC1240" i="1"/>
  <c r="AC1234" i="1"/>
  <c r="AC1228" i="1"/>
  <c r="AC1222" i="1"/>
  <c r="AC1204" i="1"/>
  <c r="AC1198" i="1"/>
  <c r="AC1192" i="1"/>
  <c r="AC1186" i="1"/>
  <c r="AC1174" i="1"/>
  <c r="AC1168" i="1"/>
  <c r="AC1162" i="1"/>
  <c r="AC1150" i="1"/>
  <c r="AC1138" i="1"/>
  <c r="AC1126" i="1"/>
  <c r="AC1114" i="1"/>
  <c r="AC1102" i="1"/>
  <c r="AC1066" i="1"/>
  <c r="AC1024" i="1"/>
  <c r="AC964" i="1"/>
  <c r="AC958" i="1"/>
  <c r="AC946" i="1"/>
  <c r="AC928" i="1"/>
  <c r="AC922" i="1"/>
  <c r="AC874" i="1"/>
  <c r="AC694" i="1"/>
  <c r="AC340" i="1"/>
  <c r="AC1311" i="1"/>
  <c r="AC1293" i="1"/>
  <c r="AC1275" i="1"/>
  <c r="AC1257" i="1"/>
  <c r="AC1239" i="1"/>
  <c r="AC1221" i="1"/>
  <c r="AC1203" i="1"/>
  <c r="AC1177" i="1"/>
  <c r="AC938" i="1"/>
  <c r="AC1301" i="1"/>
  <c r="AC1271" i="1"/>
  <c r="AC1241" i="1"/>
  <c r="AC1205" i="1"/>
  <c r="AC1175" i="1"/>
  <c r="AC1139" i="1"/>
  <c r="AC1091" i="1"/>
  <c r="AC1031" i="1"/>
  <c r="AC1191" i="1"/>
  <c r="AC1185" i="1"/>
  <c r="AC1179" i="1"/>
  <c r="AC1173" i="1"/>
  <c r="AC1167" i="1"/>
  <c r="AC1155" i="1"/>
  <c r="AC1149" i="1"/>
  <c r="AC1143" i="1"/>
  <c r="AC1119" i="1"/>
  <c r="AC1113" i="1"/>
  <c r="AC1095" i="1"/>
  <c r="AC1083" i="1"/>
  <c r="AC1059" i="1"/>
  <c r="AC1044" i="1"/>
  <c r="AC1035" i="1"/>
  <c r="AC1017" i="1"/>
  <c r="AC1011" i="1"/>
  <c r="AC987" i="1"/>
  <c r="AC969" i="1"/>
  <c r="AC952" i="1"/>
  <c r="AC940" i="1"/>
  <c r="AC933" i="1"/>
  <c r="AC915" i="1"/>
  <c r="AC903" i="1"/>
  <c r="AC897" i="1"/>
  <c r="AC867" i="1"/>
  <c r="AC855" i="1"/>
  <c r="AC849" i="1"/>
  <c r="AC807" i="1"/>
  <c r="AC741" i="1"/>
  <c r="AC1309" i="1"/>
  <c r="AC1291" i="1"/>
  <c r="AC1273" i="1"/>
  <c r="AC1254" i="1"/>
  <c r="AC1237" i="1"/>
  <c r="AC1219" i="1"/>
  <c r="AC1171" i="1"/>
  <c r="AC1135" i="1"/>
  <c r="AC1063" i="1"/>
  <c r="AC1289" i="1"/>
  <c r="AC1229" i="1"/>
  <c r="AC1169" i="1"/>
  <c r="AC1079" i="1"/>
  <c r="AC1037" i="1"/>
  <c r="AC1013" i="1"/>
  <c r="AC977" i="1"/>
  <c r="AC827" i="1"/>
  <c r="AC719" i="1"/>
  <c r="AC1304" i="1"/>
  <c r="AC1292" i="1"/>
  <c r="AC1268" i="1"/>
  <c r="AC1238" i="1"/>
  <c r="AC1226" i="1"/>
  <c r="AC1214" i="1"/>
  <c r="AC1202" i="1"/>
  <c r="AC1190" i="1"/>
  <c r="AC1178" i="1"/>
  <c r="AC1166" i="1"/>
  <c r="AC1142" i="1"/>
  <c r="AC1076" i="1"/>
  <c r="AC995" i="1"/>
  <c r="AC891" i="1"/>
  <c r="AC842" i="1"/>
  <c r="AC806" i="1"/>
  <c r="AC800" i="1"/>
  <c r="AC770" i="1"/>
  <c r="AC710" i="1"/>
  <c r="AC674" i="1"/>
  <c r="AC1305" i="1"/>
  <c r="AC1287" i="1"/>
  <c r="AC1269" i="1"/>
  <c r="AC1233" i="1"/>
  <c r="AC1197" i="1"/>
  <c r="AC1129" i="1"/>
  <c r="AC1313" i="1"/>
  <c r="AC1283" i="1"/>
  <c r="AC1253" i="1"/>
  <c r="AC1223" i="1"/>
  <c r="AC1187" i="1"/>
  <c r="AC1157" i="1"/>
  <c r="AC965" i="1"/>
  <c r="AC942" i="1"/>
  <c r="AC868" i="1"/>
  <c r="AC851" i="1"/>
  <c r="AC767" i="1"/>
  <c r="AC1310" i="1"/>
  <c r="AC1298" i="1"/>
  <c r="AC1286" i="1"/>
  <c r="AC1274" i="1"/>
  <c r="AC1262" i="1"/>
  <c r="AC1256" i="1"/>
  <c r="AC1232" i="1"/>
  <c r="AC1220" i="1"/>
  <c r="AC1208" i="1"/>
  <c r="AC1172" i="1"/>
  <c r="AC1160" i="1"/>
  <c r="AC1148" i="1"/>
  <c r="AC1130" i="1"/>
  <c r="AC1094" i="1"/>
  <c r="AC1082" i="1"/>
  <c r="AC1058" i="1"/>
  <c r="AC1047" i="1"/>
  <c r="AC1034" i="1"/>
  <c r="AC986" i="1"/>
  <c r="AC980" i="1"/>
  <c r="AC951" i="1"/>
  <c r="AC788" i="1"/>
  <c r="AC308" i="1"/>
  <c r="AC1027" i="1"/>
  <c r="AC1015" i="1"/>
  <c r="AC998" i="1"/>
  <c r="AC949" i="1"/>
  <c r="AC937" i="1"/>
  <c r="AC877" i="1"/>
  <c r="AC787" i="1"/>
  <c r="AC739" i="1"/>
  <c r="AC655" i="1"/>
  <c r="AC1303" i="1"/>
  <c r="AC1285" i="1"/>
  <c r="AC1267" i="1"/>
  <c r="AC1249" i="1"/>
  <c r="AC1231" i="1"/>
  <c r="AC1213" i="1"/>
  <c r="AC1195" i="1"/>
  <c r="AC1159" i="1"/>
  <c r="AC1123" i="1"/>
  <c r="AC1051" i="1"/>
  <c r="AC992" i="1"/>
  <c r="AC1307" i="1"/>
  <c r="AC1277" i="1"/>
  <c r="AC1247" i="1"/>
  <c r="AC1217" i="1"/>
  <c r="AC1193" i="1"/>
  <c r="AC1163" i="1"/>
  <c r="AC1127" i="1"/>
  <c r="AC1109" i="1"/>
  <c r="AC1043" i="1"/>
  <c r="AC983" i="1"/>
  <c r="AC959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55" i="1"/>
  <c r="AC1242" i="1"/>
  <c r="AC1236" i="1"/>
  <c r="AC1230" i="1"/>
  <c r="AC1224" i="1"/>
  <c r="AC1218" i="1"/>
  <c r="AC1212" i="1"/>
  <c r="AC1188" i="1"/>
  <c r="AC1182" i="1"/>
  <c r="AC1176" i="1"/>
  <c r="AC1170" i="1"/>
  <c r="AC1158" i="1"/>
  <c r="AC1122" i="1"/>
  <c r="AC1098" i="1"/>
  <c r="AC1092" i="1"/>
  <c r="AC1084" i="1"/>
  <c r="AC1080" i="1"/>
  <c r="AC1062" i="1"/>
  <c r="AC1050" i="1"/>
  <c r="AC1020" i="1"/>
  <c r="AC978" i="1"/>
  <c r="AC966" i="1"/>
  <c r="AC960" i="1"/>
  <c r="AC870" i="1"/>
  <c r="AC859" i="1"/>
  <c r="AC822" i="1"/>
  <c r="AC798" i="1"/>
  <c r="AC690" i="1"/>
  <c r="AC678" i="1"/>
  <c r="AC1299" i="1"/>
  <c r="AC1281" i="1"/>
  <c r="AC1263" i="1"/>
  <c r="AC1245" i="1"/>
  <c r="AC1209" i="1"/>
  <c r="AC1189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O127" i="1"/>
  <c r="AD127" i="1" s="1"/>
  <c r="O144" i="1"/>
  <c r="AD144" i="1" s="1"/>
  <c r="O111" i="1"/>
  <c r="AD111" i="1" s="1"/>
  <c r="AB136" i="1"/>
  <c r="AB130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AA1155" i="1"/>
  <c r="Z1149" i="1"/>
  <c r="AQ1149" i="1" s="1"/>
  <c r="AA1149" i="1"/>
  <c r="Z1143" i="1"/>
  <c r="AQ1143" i="1" s="1"/>
  <c r="AA1143" i="1"/>
  <c r="AA1137" i="1"/>
  <c r="Z1131" i="1"/>
  <c r="AQ1131" i="1" s="1"/>
  <c r="AA1131" i="1"/>
  <c r="AA1125" i="1"/>
  <c r="AA1119" i="1"/>
  <c r="AA1113" i="1"/>
  <c r="Z1107" i="1"/>
  <c r="AQ1107" i="1" s="1"/>
  <c r="AA1107" i="1"/>
  <c r="Z1101" i="1"/>
  <c r="AQ1101" i="1" s="1"/>
  <c r="AA1101" i="1"/>
  <c r="Z1095" i="1"/>
  <c r="AQ1095" i="1" s="1"/>
  <c r="AA1095" i="1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A1059" i="1"/>
  <c r="Z1053" i="1"/>
  <c r="AQ1053" i="1" s="1"/>
  <c r="AA1053" i="1"/>
  <c r="Z1044" i="1"/>
  <c r="AQ1044" i="1" s="1"/>
  <c r="AA1044" i="1"/>
  <c r="Z1041" i="1"/>
  <c r="AQ1041" i="1" s="1"/>
  <c r="AA1041" i="1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AA999" i="1"/>
  <c r="AA993" i="1"/>
  <c r="AA987" i="1"/>
  <c r="Z981" i="1"/>
  <c r="AQ981" i="1" s="1"/>
  <c r="AA981" i="1"/>
  <c r="Z975" i="1"/>
  <c r="AQ975" i="1" s="1"/>
  <c r="AA975" i="1"/>
  <c r="AA969" i="1"/>
  <c r="Z963" i="1"/>
  <c r="AQ963" i="1" s="1"/>
  <c r="AA963" i="1"/>
  <c r="Z957" i="1"/>
  <c r="AQ957" i="1" s="1"/>
  <c r="AA957" i="1"/>
  <c r="AA952" i="1"/>
  <c r="AA945" i="1"/>
  <c r="Z940" i="1"/>
  <c r="AQ940" i="1" s="1"/>
  <c r="AA940" i="1"/>
  <c r="Z933" i="1"/>
  <c r="AQ933" i="1" s="1"/>
  <c r="AA933" i="1"/>
  <c r="Z927" i="1"/>
  <c r="AQ927" i="1" s="1"/>
  <c r="AA927" i="1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A1202" i="1"/>
  <c r="Z1196" i="1"/>
  <c r="AQ1196" i="1" s="1"/>
  <c r="AA1196" i="1"/>
  <c r="Z1190" i="1"/>
  <c r="AQ1190" i="1" s="1"/>
  <c r="AA1190" i="1"/>
  <c r="Z1184" i="1"/>
  <c r="AQ1184" i="1" s="1"/>
  <c r="AA1184" i="1"/>
  <c r="AA1178" i="1"/>
  <c r="Z1166" i="1"/>
  <c r="AQ1166" i="1" s="1"/>
  <c r="AA1166" i="1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Z1300" i="1"/>
  <c r="AQ1300" i="1" s="1"/>
  <c r="Z1276" i="1"/>
  <c r="AQ1276" i="1" s="1"/>
  <c r="Z1258" i="1"/>
  <c r="AQ1258" i="1" s="1"/>
  <c r="Z1150" i="1"/>
  <c r="AQ1150" i="1" s="1"/>
  <c r="Z1144" i="1"/>
  <c r="AQ1144" i="1" s="1"/>
  <c r="Z1030" i="1"/>
  <c r="AQ1030" i="1" s="1"/>
  <c r="Z1018" i="1"/>
  <c r="AQ1018" i="1" s="1"/>
  <c r="Z958" i="1"/>
  <c r="AQ958" i="1" s="1"/>
  <c r="Z941" i="1"/>
  <c r="AQ941" i="1" s="1"/>
  <c r="Z910" i="1"/>
  <c r="AQ910" i="1" s="1"/>
  <c r="Z892" i="1"/>
  <c r="AQ892" i="1" s="1"/>
  <c r="Z886" i="1"/>
  <c r="AQ886" i="1" s="1"/>
  <c r="Z874" i="1"/>
  <c r="AQ874" i="1" s="1"/>
  <c r="Z844" i="1"/>
  <c r="AQ844" i="1" s="1"/>
  <c r="Z814" i="1"/>
  <c r="AQ814" i="1" s="1"/>
  <c r="Z802" i="1"/>
  <c r="AQ802" i="1" s="1"/>
  <c r="Z772" i="1"/>
  <c r="AQ772" i="1" s="1"/>
  <c r="Z718" i="1"/>
  <c r="AQ718" i="1" s="1"/>
  <c r="Z652" i="1"/>
  <c r="AQ652" i="1" s="1"/>
  <c r="Z640" i="1"/>
  <c r="AQ640" i="1" s="1"/>
  <c r="Z616" i="1"/>
  <c r="AQ616" i="1" s="1"/>
  <c r="Z574" i="1"/>
  <c r="AQ574" i="1" s="1"/>
  <c r="Z508" i="1"/>
  <c r="AQ508" i="1" s="1"/>
  <c r="Z496" i="1"/>
  <c r="AQ496" i="1" s="1"/>
  <c r="Z484" i="1"/>
  <c r="AQ484" i="1" s="1"/>
  <c r="Z478" i="1"/>
  <c r="AQ478" i="1" s="1"/>
  <c r="Z460" i="1"/>
  <c r="AQ460" i="1" s="1"/>
  <c r="Z454" i="1"/>
  <c r="AQ454" i="1" s="1"/>
  <c r="Z424" i="1"/>
  <c r="AQ424" i="1" s="1"/>
  <c r="Z412" i="1"/>
  <c r="AQ412" i="1" s="1"/>
  <c r="Z394" i="1"/>
  <c r="AQ394" i="1" s="1"/>
  <c r="Z340" i="1"/>
  <c r="AQ340" i="1" s="1"/>
  <c r="Z263" i="1"/>
  <c r="AQ263" i="1" s="1"/>
  <c r="Z256" i="1"/>
  <c r="AQ256" i="1" s="1"/>
  <c r="Z238" i="1"/>
  <c r="AQ238" i="1" s="1"/>
  <c r="Z148" i="1"/>
  <c r="AQ148" i="1" s="1"/>
  <c r="Z136" i="1"/>
  <c r="AQ136" i="1" s="1"/>
  <c r="Z130" i="1"/>
  <c r="AQ130" i="1" s="1"/>
  <c r="Z106" i="1"/>
  <c r="AQ106" i="1" s="1"/>
  <c r="Z1113" i="1"/>
  <c r="AQ1113" i="1" s="1"/>
  <c r="Z969" i="1"/>
  <c r="AQ969" i="1" s="1"/>
  <c r="Z813" i="1"/>
  <c r="AQ813" i="1" s="1"/>
  <c r="Z795" i="1"/>
  <c r="AQ795" i="1" s="1"/>
  <c r="Z771" i="1"/>
  <c r="AQ771" i="1" s="1"/>
  <c r="Z723" i="1"/>
  <c r="AQ723" i="1" s="1"/>
  <c r="Z711" i="1"/>
  <c r="AQ711" i="1" s="1"/>
  <c r="Z681" i="1"/>
  <c r="AQ681" i="1" s="1"/>
  <c r="Z669" i="1"/>
  <c r="AQ669" i="1" s="1"/>
  <c r="Z639" i="1"/>
  <c r="AQ639" i="1" s="1"/>
  <c r="Z591" i="1"/>
  <c r="AQ591" i="1" s="1"/>
  <c r="Z543" i="1"/>
  <c r="AQ543" i="1" s="1"/>
  <c r="Z525" i="1"/>
  <c r="AQ525" i="1" s="1"/>
  <c r="Z513" i="1"/>
  <c r="AQ513" i="1" s="1"/>
  <c r="Z489" i="1"/>
  <c r="AQ489" i="1" s="1"/>
  <c r="Z483" i="1"/>
  <c r="AQ483" i="1" s="1"/>
  <c r="Z441" i="1"/>
  <c r="AQ441" i="1" s="1"/>
  <c r="Z363" i="1"/>
  <c r="AQ363" i="1" s="1"/>
  <c r="Z345" i="1"/>
  <c r="AQ345" i="1" s="1"/>
  <c r="Z309" i="1"/>
  <c r="AQ309" i="1" s="1"/>
  <c r="Z303" i="1"/>
  <c r="AQ303" i="1" s="1"/>
  <c r="Z279" i="1"/>
  <c r="AQ279" i="1" s="1"/>
  <c r="Z273" i="1"/>
  <c r="AQ273" i="1" s="1"/>
  <c r="Z267" i="1"/>
  <c r="AQ267" i="1" s="1"/>
  <c r="Z255" i="1"/>
  <c r="AQ255" i="1" s="1"/>
  <c r="Z231" i="1"/>
  <c r="AQ231" i="1" s="1"/>
  <c r="Z225" i="1"/>
  <c r="AQ225" i="1" s="1"/>
  <c r="Z207" i="1"/>
  <c r="AQ207" i="1" s="1"/>
  <c r="Z165" i="1"/>
  <c r="AQ165" i="1" s="1"/>
  <c r="Z159" i="1"/>
  <c r="AQ159" i="1" s="1"/>
  <c r="Z154" i="1"/>
  <c r="AQ154" i="1" s="1"/>
  <c r="Z135" i="1"/>
  <c r="AQ135" i="1" s="1"/>
  <c r="Z51" i="1"/>
  <c r="AQ51" i="1" s="1"/>
  <c r="Z39" i="1"/>
  <c r="AQ39" i="1" s="1"/>
  <c r="Z21" i="1"/>
  <c r="AQ21" i="1" s="1"/>
  <c r="Z1202" i="1"/>
  <c r="AQ1202" i="1" s="1"/>
  <c r="Z1035" i="1"/>
  <c r="AQ1035" i="1" s="1"/>
  <c r="Z999" i="1"/>
  <c r="AQ999" i="1" s="1"/>
  <c r="Z1130" i="1"/>
  <c r="AQ1130" i="1" s="1"/>
  <c r="Z1124" i="1"/>
  <c r="AQ1124" i="1" s="1"/>
  <c r="Z1088" i="1"/>
  <c r="AQ1088" i="1" s="1"/>
  <c r="Z1047" i="1"/>
  <c r="AQ1047" i="1" s="1"/>
  <c r="Z1034" i="1"/>
  <c r="AQ1034" i="1" s="1"/>
  <c r="Z1022" i="1"/>
  <c r="AQ1022" i="1" s="1"/>
  <c r="Z1016" i="1"/>
  <c r="AQ1016" i="1" s="1"/>
  <c r="Z1004" i="1"/>
  <c r="AQ1004" i="1" s="1"/>
  <c r="Z980" i="1"/>
  <c r="AQ980" i="1" s="1"/>
  <c r="Z968" i="1"/>
  <c r="AQ968" i="1" s="1"/>
  <c r="Z938" i="1"/>
  <c r="AQ938" i="1" s="1"/>
  <c r="Z932" i="1"/>
  <c r="AQ932" i="1" s="1"/>
  <c r="Z908" i="1"/>
  <c r="AQ908" i="1" s="1"/>
  <c r="Z854" i="1"/>
  <c r="AQ854" i="1" s="1"/>
  <c r="Z806" i="1"/>
  <c r="AQ806" i="1" s="1"/>
  <c r="Z788" i="1"/>
  <c r="AQ788" i="1" s="1"/>
  <c r="Z758" i="1"/>
  <c r="AQ758" i="1" s="1"/>
  <c r="Z699" i="1"/>
  <c r="AQ699" i="1" s="1"/>
  <c r="Z674" i="1"/>
  <c r="AQ674" i="1" s="1"/>
  <c r="Z638" i="1"/>
  <c r="AQ638" i="1" s="1"/>
  <c r="Z632" i="1"/>
  <c r="AQ632" i="1" s="1"/>
  <c r="Z614" i="1"/>
  <c r="AQ614" i="1" s="1"/>
  <c r="Z548" i="1"/>
  <c r="AQ548" i="1" s="1"/>
  <c r="Z488" i="1"/>
  <c r="AQ488" i="1" s="1"/>
  <c r="Z458" i="1"/>
  <c r="AQ458" i="1" s="1"/>
  <c r="Z404" i="1"/>
  <c r="AQ404" i="1" s="1"/>
  <c r="Z368" i="1"/>
  <c r="AQ368" i="1" s="1"/>
  <c r="Z344" i="1"/>
  <c r="AQ344" i="1" s="1"/>
  <c r="Z332" i="1"/>
  <c r="AQ332" i="1" s="1"/>
  <c r="Z302" i="1"/>
  <c r="AQ302" i="1" s="1"/>
  <c r="Z272" i="1"/>
  <c r="AQ272" i="1" s="1"/>
  <c r="Z261" i="1"/>
  <c r="AQ261" i="1" s="1"/>
  <c r="Z249" i="1"/>
  <c r="AQ249" i="1" s="1"/>
  <c r="Z188" i="1"/>
  <c r="AQ188" i="1" s="1"/>
  <c r="Z86" i="1"/>
  <c r="AQ86" i="1" s="1"/>
  <c r="Z80" i="1"/>
  <c r="AQ80" i="1" s="1"/>
  <c r="Z62" i="1"/>
  <c r="AQ62" i="1" s="1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Z1189" i="1"/>
  <c r="AQ1189" i="1" s="1"/>
  <c r="Z1141" i="1"/>
  <c r="AQ1141" i="1" s="1"/>
  <c r="Z1117" i="1"/>
  <c r="AQ1117" i="1" s="1"/>
  <c r="Z1057" i="1"/>
  <c r="AQ1057" i="1" s="1"/>
  <c r="Z1033" i="1"/>
  <c r="AQ1033" i="1" s="1"/>
  <c r="Z1003" i="1"/>
  <c r="AQ1003" i="1" s="1"/>
  <c r="Z985" i="1"/>
  <c r="AQ985" i="1" s="1"/>
  <c r="Z961" i="1"/>
  <c r="AQ961" i="1" s="1"/>
  <c r="Z901" i="1"/>
  <c r="AQ901" i="1" s="1"/>
  <c r="Z865" i="1"/>
  <c r="AQ865" i="1" s="1"/>
  <c r="Z858" i="1"/>
  <c r="AQ858" i="1" s="1"/>
  <c r="Z841" i="1"/>
  <c r="AQ841" i="1" s="1"/>
  <c r="Z835" i="1"/>
  <c r="AQ835" i="1" s="1"/>
  <c r="Z776" i="1"/>
  <c r="AQ776" i="1" s="1"/>
  <c r="Z727" i="1"/>
  <c r="AQ727" i="1" s="1"/>
  <c r="Z721" i="1"/>
  <c r="AQ721" i="1" s="1"/>
  <c r="Z698" i="1"/>
  <c r="AQ698" i="1" s="1"/>
  <c r="Z613" i="1"/>
  <c r="AQ613" i="1" s="1"/>
  <c r="Z607" i="1"/>
  <c r="AQ607" i="1" s="1"/>
  <c r="Z601" i="1"/>
  <c r="AQ601" i="1" s="1"/>
  <c r="Z505" i="1"/>
  <c r="AQ505" i="1" s="1"/>
  <c r="Z470" i="1"/>
  <c r="AQ470" i="1" s="1"/>
  <c r="Z457" i="1"/>
  <c r="AQ457" i="1" s="1"/>
  <c r="Z439" i="1"/>
  <c r="AQ439" i="1" s="1"/>
  <c r="Z337" i="1"/>
  <c r="AQ337" i="1" s="1"/>
  <c r="Z325" i="1"/>
  <c r="AQ325" i="1" s="1"/>
  <c r="Z145" i="1"/>
  <c r="AQ145" i="1" s="1"/>
  <c r="Z139" i="1"/>
  <c r="AQ139" i="1" s="1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Z1158" i="1"/>
  <c r="AQ1158" i="1" s="1"/>
  <c r="Z1098" i="1"/>
  <c r="AQ1098" i="1" s="1"/>
  <c r="Z1068" i="1"/>
  <c r="AQ1068" i="1" s="1"/>
  <c r="Z1026" i="1"/>
  <c r="AQ1026" i="1" s="1"/>
  <c r="Z960" i="1"/>
  <c r="AQ960" i="1" s="1"/>
  <c r="Z925" i="1"/>
  <c r="AQ925" i="1" s="1"/>
  <c r="Z852" i="1"/>
  <c r="AQ852" i="1" s="1"/>
  <c r="Z756" i="1"/>
  <c r="AQ756" i="1" s="1"/>
  <c r="Z732" i="1"/>
  <c r="AQ732" i="1" s="1"/>
  <c r="Z696" i="1"/>
  <c r="AQ696" i="1" s="1"/>
  <c r="Z690" i="1"/>
  <c r="AQ690" i="1" s="1"/>
  <c r="Z684" i="1"/>
  <c r="AQ684" i="1" s="1"/>
  <c r="Z600" i="1"/>
  <c r="AQ600" i="1" s="1"/>
  <c r="Z576" i="1"/>
  <c r="AQ576" i="1" s="1"/>
  <c r="Z570" i="1"/>
  <c r="AQ570" i="1" s="1"/>
  <c r="Z515" i="1"/>
  <c r="AQ515" i="1" s="1"/>
  <c r="Z450" i="1"/>
  <c r="AQ450" i="1" s="1"/>
  <c r="Z432" i="1"/>
  <c r="AQ432" i="1" s="1"/>
  <c r="Z402" i="1"/>
  <c r="AQ402" i="1" s="1"/>
  <c r="Z324" i="1"/>
  <c r="AQ324" i="1" s="1"/>
  <c r="Z318" i="1"/>
  <c r="AQ318" i="1" s="1"/>
  <c r="Z312" i="1"/>
  <c r="AQ312" i="1" s="1"/>
  <c r="Z300" i="1"/>
  <c r="AQ300" i="1" s="1"/>
  <c r="Z294" i="1"/>
  <c r="AQ294" i="1" s="1"/>
  <c r="Z270" i="1"/>
  <c r="AQ270" i="1" s="1"/>
  <c r="Z246" i="1"/>
  <c r="AQ246" i="1" s="1"/>
  <c r="Z240" i="1"/>
  <c r="AQ240" i="1" s="1"/>
  <c r="Z180" i="1"/>
  <c r="AQ180" i="1" s="1"/>
  <c r="Z174" i="1"/>
  <c r="AQ174" i="1" s="1"/>
  <c r="Z161" i="1"/>
  <c r="AQ161" i="1" s="1"/>
  <c r="Z120" i="1"/>
  <c r="AQ120" i="1" s="1"/>
  <c r="Z90" i="1"/>
  <c r="AQ90" i="1" s="1"/>
  <c r="Z84" i="1"/>
  <c r="AQ84" i="1" s="1"/>
  <c r="Z67" i="1"/>
  <c r="AQ67" i="1" s="1"/>
  <c r="Z24" i="1"/>
  <c r="AQ24" i="1" s="1"/>
  <c r="Z18" i="1"/>
  <c r="AQ18" i="1" s="1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Z1259" i="1"/>
  <c r="AQ1259" i="1" s="1"/>
  <c r="Z1121" i="1"/>
  <c r="AQ1121" i="1" s="1"/>
  <c r="Z1103" i="1"/>
  <c r="AQ1103" i="1" s="1"/>
  <c r="Z1073" i="1"/>
  <c r="AQ1073" i="1" s="1"/>
  <c r="Z1049" i="1"/>
  <c r="AQ1049" i="1" s="1"/>
  <c r="Z911" i="1"/>
  <c r="AQ911" i="1" s="1"/>
  <c r="Z881" i="1"/>
  <c r="AQ881" i="1" s="1"/>
  <c r="Z839" i="1"/>
  <c r="AQ839" i="1" s="1"/>
  <c r="Z833" i="1"/>
  <c r="AQ833" i="1" s="1"/>
  <c r="Z809" i="1"/>
  <c r="AQ809" i="1" s="1"/>
  <c r="Z767" i="1"/>
  <c r="AQ767" i="1" s="1"/>
  <c r="Z689" i="1"/>
  <c r="AQ689" i="1" s="1"/>
  <c r="Z677" i="1"/>
  <c r="AQ677" i="1" s="1"/>
  <c r="Z665" i="1"/>
  <c r="AQ665" i="1" s="1"/>
  <c r="Z623" i="1"/>
  <c r="AQ623" i="1" s="1"/>
  <c r="Z593" i="1"/>
  <c r="AQ593" i="1" s="1"/>
  <c r="Z581" i="1"/>
  <c r="AQ581" i="1" s="1"/>
  <c r="Z539" i="1"/>
  <c r="AQ539" i="1" s="1"/>
  <c r="Z503" i="1"/>
  <c r="AQ503" i="1" s="1"/>
  <c r="Z473" i="1"/>
  <c r="AQ473" i="1" s="1"/>
  <c r="Z461" i="1"/>
  <c r="AQ461" i="1" s="1"/>
  <c r="Z449" i="1"/>
  <c r="AQ449" i="1" s="1"/>
  <c r="Z419" i="1"/>
  <c r="AQ419" i="1" s="1"/>
  <c r="Z401" i="1"/>
  <c r="AQ401" i="1" s="1"/>
  <c r="Z371" i="1"/>
  <c r="AQ371" i="1" s="1"/>
  <c r="Z347" i="1"/>
  <c r="AQ347" i="1" s="1"/>
  <c r="Z299" i="1"/>
  <c r="AQ299" i="1" s="1"/>
  <c r="Z288" i="1"/>
  <c r="AQ288" i="1" s="1"/>
  <c r="Z281" i="1"/>
  <c r="AQ281" i="1" s="1"/>
  <c r="Z275" i="1"/>
  <c r="AQ275" i="1" s="1"/>
  <c r="Z173" i="1"/>
  <c r="AQ173" i="1" s="1"/>
  <c r="Z131" i="1"/>
  <c r="AQ131" i="1" s="1"/>
  <c r="Z66" i="1"/>
  <c r="AQ66" i="1" s="1"/>
  <c r="Z23" i="1"/>
  <c r="AQ23" i="1" s="1"/>
  <c r="Z1155" i="1"/>
  <c r="AQ1155" i="1" s="1"/>
  <c r="Z1119" i="1"/>
  <c r="AQ1119" i="1" s="1"/>
  <c r="O47" i="1"/>
  <c r="AD47" i="1" s="1"/>
  <c r="O68" i="1"/>
  <c r="AD68" i="1" s="1"/>
  <c r="O83" i="1"/>
  <c r="AD83" i="1" s="1"/>
  <c r="O35" i="1"/>
  <c r="AD35" i="1" s="1"/>
  <c r="O95" i="1"/>
  <c r="AD95" i="1" s="1"/>
  <c r="O79" i="1"/>
  <c r="AD79" i="1" s="1"/>
  <c r="O63" i="1"/>
  <c r="AD63" i="1" s="1"/>
  <c r="O99" i="1"/>
  <c r="AD99" i="1" s="1"/>
  <c r="O38" i="1"/>
  <c r="AD38" i="1" s="1"/>
  <c r="O76" i="1"/>
  <c r="AD76" i="1" s="1"/>
  <c r="O23" i="1"/>
  <c r="AD23" i="1" s="1"/>
  <c r="O75" i="1"/>
  <c r="AD75" i="1" s="1"/>
  <c r="O57" i="1"/>
  <c r="AD57" i="1" s="1"/>
  <c r="O73" i="1"/>
  <c r="AD73" i="1" s="1"/>
  <c r="O88" i="1"/>
  <c r="AD88" i="1" s="1"/>
  <c r="O72" i="1"/>
  <c r="AD72" i="1" s="1"/>
  <c r="O55" i="1"/>
  <c r="AD55" i="1" s="1"/>
  <c r="O92" i="1"/>
  <c r="AD92" i="1" s="1"/>
  <c r="CS6" i="2"/>
  <c r="S56" i="1"/>
  <c r="S50" i="1"/>
  <c r="S22" i="1"/>
  <c r="S16" i="1"/>
  <c r="S10" i="1"/>
  <c r="S31" i="1"/>
  <c r="S15" i="1"/>
  <c r="S9" i="1"/>
  <c r="S30" i="1"/>
  <c r="S3" i="1"/>
  <c r="S14" i="1"/>
  <c r="S8" i="1"/>
  <c r="S71" i="1"/>
  <c r="S47" i="1"/>
  <c r="S35" i="1"/>
  <c r="S29" i="1"/>
  <c r="S13" i="1"/>
  <c r="S7" i="1"/>
  <c r="S82" i="1"/>
  <c r="S40" i="1"/>
  <c r="S34" i="1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O27" i="1"/>
  <c r="AD27" i="1" s="1"/>
  <c r="O43" i="1"/>
  <c r="AD43" i="1" s="1"/>
  <c r="O59" i="1"/>
  <c r="AD59" i="1" s="1"/>
  <c r="O52" i="1"/>
  <c r="AD52" i="1" s="1"/>
  <c r="O36" i="1"/>
  <c r="AD36" i="1" s="1"/>
  <c r="O34" i="1"/>
  <c r="AD34" i="1" s="1"/>
  <c r="O50" i="1"/>
  <c r="AD50" i="1" s="1"/>
  <c r="O46" i="1"/>
  <c r="AD46" i="1" s="1"/>
  <c r="O30" i="1"/>
  <c r="AD30" i="1" s="1"/>
  <c r="O62" i="1"/>
  <c r="AD62" i="1" s="1"/>
  <c r="I2" i="2"/>
  <c r="I24" i="2"/>
  <c r="I7" i="2"/>
  <c r="I10" i="2"/>
  <c r="I25" i="2"/>
  <c r="I19" i="2"/>
  <c r="I29" i="2"/>
  <c r="I32" i="2"/>
  <c r="I8" i="2"/>
  <c r="I11" i="2"/>
  <c r="I23" i="2"/>
  <c r="I5" i="2"/>
  <c r="I18" i="2"/>
  <c r="I6" i="2"/>
  <c r="I33" i="2"/>
  <c r="I31" i="2"/>
  <c r="I15" i="2"/>
  <c r="I9" i="2"/>
  <c r="O51" i="1"/>
  <c r="AD51" i="1" s="1"/>
  <c r="I14" i="2"/>
  <c r="I12" i="2"/>
  <c r="I17" i="2"/>
  <c r="I16" i="2"/>
  <c r="I26" i="2"/>
  <c r="I22" i="2"/>
  <c r="O28" i="1"/>
  <c r="AD28" i="1" s="1"/>
  <c r="I27" i="2"/>
  <c r="I28" i="2"/>
  <c r="G28" i="2"/>
  <c r="BG5" i="2"/>
  <c r="BG12" i="2"/>
  <c r="G15" i="2"/>
  <c r="G3" i="2"/>
  <c r="G33" i="2"/>
  <c r="I13" i="2"/>
  <c r="G5" i="2"/>
  <c r="G24" i="2"/>
  <c r="G31" i="2"/>
  <c r="G6" i="2"/>
  <c r="G13" i="2"/>
  <c r="G16" i="2"/>
  <c r="G29" i="2"/>
  <c r="G8" i="2"/>
  <c r="G11" i="2"/>
  <c r="G9" i="2"/>
  <c r="G12" i="2"/>
  <c r="G32" i="2"/>
  <c r="G30" i="2"/>
  <c r="G21" i="2"/>
  <c r="G27" i="2"/>
  <c r="G26" i="2"/>
  <c r="G19" i="2"/>
  <c r="G2" i="2"/>
  <c r="G23" i="2"/>
  <c r="G18" i="2"/>
  <c r="G22" i="2"/>
  <c r="G25" i="2"/>
  <c r="BE12" i="2"/>
  <c r="BF19" i="2"/>
  <c r="BE18" i="2"/>
  <c r="BA26" i="2"/>
  <c r="BG23" i="2"/>
  <c r="BA29" i="2"/>
  <c r="BF15" i="2"/>
  <c r="BG22" i="2"/>
  <c r="BE29" i="2"/>
  <c r="BF5" i="2"/>
  <c r="BG8" i="2"/>
  <c r="BA19" i="2"/>
  <c r="BA27" i="2"/>
  <c r="BG18" i="2"/>
  <c r="BE5" i="2"/>
  <c r="BF6" i="2"/>
  <c r="BA13" i="2"/>
  <c r="BA16" i="2"/>
  <c r="BF9" i="2"/>
  <c r="BA22" i="2"/>
  <c r="BF24" i="2"/>
  <c r="BG25" i="2"/>
  <c r="BA30" i="2"/>
  <c r="BF31" i="2"/>
  <c r="BG28" i="2"/>
  <c r="BE17" i="2"/>
  <c r="BA33" i="2"/>
  <c r="BG15" i="2"/>
  <c r="BG3" i="2"/>
  <c r="BG14" i="2"/>
  <c r="BE10" i="2"/>
  <c r="BA2" i="2"/>
  <c r="BF28" i="2"/>
  <c r="BF13" i="2"/>
  <c r="BG21" i="2"/>
  <c r="BA28" i="2"/>
  <c r="BE13" i="2"/>
  <c r="BA3" i="2"/>
  <c r="BA11" i="2"/>
  <c r="BF14" i="2"/>
  <c r="BE2" i="2"/>
  <c r="BG7" i="2"/>
  <c r="BE7" i="2"/>
  <c r="BA23" i="2"/>
  <c r="BF27" i="2"/>
  <c r="BG4" i="2"/>
  <c r="BE27" i="2"/>
  <c r="BA18" i="2"/>
  <c r="BF3" i="2"/>
  <c r="BA24" i="2"/>
  <c r="BA32" i="2"/>
  <c r="BE21" i="2"/>
  <c r="BE19" i="2"/>
  <c r="BA25" i="2"/>
  <c r="BF2" i="2"/>
  <c r="BA17" i="2"/>
  <c r="BE6" i="2"/>
  <c r="BE16" i="2"/>
  <c r="BA9" i="2"/>
  <c r="BE8" i="2"/>
  <c r="BF29" i="2"/>
  <c r="BA12" i="2"/>
  <c r="BF26" i="2"/>
  <c r="BE3" i="2"/>
  <c r="BE32" i="2"/>
  <c r="BG31" i="2"/>
  <c r="BF10" i="2"/>
  <c r="BE23" i="2"/>
  <c r="BF18" i="2"/>
  <c r="BE15" i="2"/>
  <c r="BA5" i="2"/>
  <c r="BF8" i="2"/>
  <c r="BE26" i="2"/>
  <c r="BE22" i="2"/>
  <c r="BG32" i="2"/>
  <c r="BE14" i="2"/>
  <c r="BE30" i="2"/>
  <c r="BG17" i="2"/>
  <c r="BA6" i="2"/>
  <c r="BA7" i="2"/>
  <c r="BE33" i="2"/>
  <c r="BG9" i="2"/>
  <c r="BF21" i="2"/>
  <c r="BG29" i="2"/>
  <c r="BE24" i="2"/>
  <c r="BG11" i="2"/>
  <c r="BG30" i="2"/>
  <c r="BG33" i="2"/>
  <c r="BG16" i="2"/>
  <c r="BE9" i="2"/>
  <c r="BA21" i="2"/>
  <c r="BA4" i="2"/>
  <c r="BE4" i="2"/>
  <c r="BA15" i="2"/>
  <c r="BE11" i="2"/>
  <c r="BE25" i="2"/>
  <c r="BE31" i="2"/>
  <c r="BG10" i="2"/>
  <c r="BA8" i="2"/>
  <c r="BG24" i="2"/>
  <c r="BA10" i="2"/>
  <c r="BE28" i="2"/>
  <c r="BF17" i="2"/>
  <c r="BG6" i="2"/>
  <c r="BF23" i="2"/>
  <c r="BF4" i="2"/>
  <c r="BG27" i="2"/>
  <c r="BF12" i="2"/>
  <c r="BG26" i="2"/>
  <c r="BF32" i="2"/>
  <c r="BG19" i="2"/>
  <c r="BF30" i="2"/>
  <c r="BG2" i="2"/>
  <c r="BF33" i="2"/>
  <c r="BG13" i="2"/>
  <c r="BF11" i="2"/>
  <c r="BF7" i="2"/>
  <c r="BA14" i="2"/>
  <c r="BF22" i="2"/>
  <c r="BF25" i="2"/>
  <c r="BA31" i="2"/>
  <c r="BF16" i="2"/>
  <c r="O40" i="1"/>
  <c r="AD40" i="1" s="1"/>
  <c r="O25" i="1"/>
  <c r="AD25" i="1" s="1"/>
  <c r="I20" i="2"/>
  <c r="O24" i="1"/>
  <c r="AD24" i="1" s="1"/>
  <c r="O39" i="1"/>
  <c r="AD39" i="1" s="1"/>
  <c r="O33" i="1"/>
  <c r="AD33" i="1" s="1"/>
  <c r="S25" i="1"/>
  <c r="O32" i="1"/>
  <c r="AD32" i="1" s="1"/>
  <c r="S6" i="1"/>
  <c r="S39" i="1"/>
  <c r="S11" i="1"/>
  <c r="S5" i="1"/>
  <c r="S37" i="1"/>
  <c r="S4" i="1"/>
  <c r="S20" i="1"/>
  <c r="O22" i="1"/>
  <c r="AD22" i="1" s="1"/>
  <c r="S42" i="1"/>
  <c r="G20" i="2"/>
  <c r="S19" i="1"/>
  <c r="O21" i="1"/>
  <c r="AD21" i="1" s="1"/>
  <c r="O18" i="1"/>
  <c r="AD18" i="1" s="1"/>
  <c r="O16" i="1"/>
  <c r="AD16" i="1" s="1"/>
  <c r="O20" i="1"/>
  <c r="AD20" i="1" s="1"/>
  <c r="O15" i="1"/>
  <c r="AD15" i="1" s="1"/>
  <c r="O17" i="1"/>
  <c r="AD17" i="1" s="1"/>
  <c r="O14" i="1"/>
  <c r="AD14" i="1" s="1"/>
  <c r="O19" i="1"/>
  <c r="AD19" i="1" s="1"/>
  <c r="O13" i="1"/>
  <c r="AD13" i="1" s="1"/>
  <c r="O8" i="1"/>
  <c r="O9" i="1"/>
  <c r="AD9" i="1" s="1"/>
  <c r="BO57" i="3"/>
  <c r="BO41" i="3"/>
  <c r="BO3" i="3"/>
  <c r="BO14" i="3"/>
  <c r="O10" i="1"/>
  <c r="AD10" i="1" s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AC1104" i="1" l="1"/>
  <c r="AC1184" i="1"/>
  <c r="AC989" i="1"/>
  <c r="AC1006" i="1"/>
  <c r="AD1048" i="1"/>
  <c r="AD1201" i="1"/>
  <c r="AC1117" i="1"/>
  <c r="AC647" i="1"/>
  <c r="AD1248" i="1"/>
  <c r="AD790" i="1"/>
  <c r="AC906" i="1"/>
  <c r="AC1099" i="1"/>
  <c r="AC1210" i="1"/>
  <c r="AD954" i="1"/>
  <c r="AD869" i="1"/>
  <c r="AC601" i="1"/>
  <c r="AC1244" i="1"/>
  <c r="AC1089" i="1"/>
  <c r="AC1078" i="1"/>
  <c r="AD805" i="1"/>
  <c r="AC1081" i="1"/>
  <c r="AC1023" i="1"/>
  <c r="AC1227" i="1"/>
  <c r="AC1090" i="1"/>
  <c r="AD836" i="1"/>
  <c r="AC1016" i="1"/>
  <c r="AC838" i="1"/>
  <c r="AC1183" i="1"/>
  <c r="AD957" i="1"/>
  <c r="AC1040" i="1"/>
  <c r="AD1067" i="1"/>
  <c r="AD828" i="1"/>
  <c r="AC1152" i="1"/>
  <c r="AC1110" i="1"/>
  <c r="AD1259" i="1"/>
  <c r="AC990" i="1"/>
  <c r="AC1057" i="1"/>
  <c r="AD892" i="1"/>
  <c r="AD945" i="1"/>
  <c r="AD981" i="1"/>
  <c r="AD786" i="1"/>
  <c r="AD643" i="1"/>
  <c r="AD1156" i="1"/>
  <c r="AD970" i="1"/>
  <c r="AD1086" i="1"/>
  <c r="AD1008" i="1"/>
  <c r="AC774" i="1"/>
  <c r="AD731" i="1"/>
  <c r="AC801" i="1"/>
  <c r="GN66" i="7"/>
  <c r="DZ66" i="7"/>
  <c r="BM66" i="7"/>
  <c r="GI66" i="7"/>
  <c r="DF66" i="7"/>
  <c r="AB66" i="7"/>
  <c r="EW66" i="7"/>
  <c r="CJ66" i="7"/>
  <c r="U66" i="7"/>
  <c r="FJ66" i="7"/>
  <c r="GQ66" i="7"/>
  <c r="AM66" i="7"/>
  <c r="FX66" i="7"/>
  <c r="DJ66" i="7"/>
  <c r="AW66" i="7"/>
  <c r="FS66" i="7"/>
  <c r="CP66" i="7"/>
  <c r="GT66" i="7"/>
  <c r="EG66" i="7"/>
  <c r="BT66" i="7"/>
  <c r="FW66" i="7"/>
  <c r="DK66" i="7"/>
  <c r="ET66" i="7"/>
  <c r="AL66" i="7"/>
  <c r="FH66" i="7"/>
  <c r="CT66" i="7"/>
  <c r="AG66" i="7"/>
  <c r="FC66" i="7"/>
  <c r="BZ66" i="7"/>
  <c r="GD66" i="7"/>
  <c r="DQ66" i="7"/>
  <c r="BD66" i="7"/>
  <c r="DU66" i="7"/>
  <c r="BI66" i="7"/>
  <c r="CU66" i="7"/>
  <c r="AC66" i="7"/>
  <c r="ER66" i="7"/>
  <c r="CD66" i="7"/>
  <c r="Q66" i="7"/>
  <c r="EM66" i="7"/>
  <c r="BJ66" i="7"/>
  <c r="FN66" i="7"/>
  <c r="DA66" i="7"/>
  <c r="AN66" i="7"/>
  <c r="BW66" i="7"/>
  <c r="FG66" i="7"/>
  <c r="AS66" i="7"/>
  <c r="AA66" i="7"/>
  <c r="EB66" i="7"/>
  <c r="BN66" i="7"/>
  <c r="GJ66" i="7"/>
  <c r="DW66" i="7"/>
  <c r="AT66" i="7"/>
  <c r="EX66" i="7"/>
  <c r="CK66" i="7"/>
  <c r="X66" i="7"/>
  <c r="W66" i="7"/>
  <c r="DE66" i="7"/>
  <c r="GP66" i="7"/>
  <c r="GM66" i="7"/>
  <c r="DL66" i="7"/>
  <c r="AX66" i="7"/>
  <c r="FT66" i="7"/>
  <c r="DG66" i="7"/>
  <c r="AD66" i="7"/>
  <c r="EH66" i="7"/>
  <c r="BU66" i="7"/>
  <c r="GO66" i="7"/>
  <c r="FQ66" i="7"/>
  <c r="BG66" i="7"/>
  <c r="EQ66" i="7"/>
  <c r="GG66" i="7"/>
  <c r="CV66" i="7"/>
  <c r="AH66" i="7"/>
  <c r="FD66" i="7"/>
  <c r="CQ66" i="7"/>
  <c r="GF66" i="7"/>
  <c r="DR66" i="7"/>
  <c r="BE66" i="7"/>
  <c r="FY66" i="7"/>
  <c r="DS66" i="7"/>
  <c r="FA66" i="7"/>
  <c r="CO66" i="7"/>
  <c r="GA66" i="7"/>
  <c r="CF66" i="7"/>
  <c r="R66" i="7"/>
  <c r="EN66" i="7"/>
  <c r="CA66" i="7"/>
  <c r="FP66" i="7"/>
  <c r="DB66" i="7"/>
  <c r="AO66" i="7"/>
  <c r="FI66" i="7"/>
  <c r="BS66" i="7"/>
  <c r="DC66" i="7"/>
  <c r="AQ66" i="7"/>
  <c r="FZ66" i="7"/>
  <c r="BP66" i="7"/>
  <c r="GK66" i="7"/>
  <c r="DX66" i="7"/>
  <c r="BK66" i="7"/>
  <c r="EZ66" i="7"/>
  <c r="CL66" i="7"/>
  <c r="Y66" i="7"/>
  <c r="ES66" i="7"/>
  <c r="V66" i="7"/>
  <c r="BC66" i="7"/>
  <c r="GE66" i="7"/>
  <c r="EI66" i="7"/>
  <c r="AZ66" i="7"/>
  <c r="FU66" i="7"/>
  <c r="DH66" i="7"/>
  <c r="AU66" i="7"/>
  <c r="EJ66" i="7"/>
  <c r="BV66" i="7"/>
  <c r="GR66" i="7"/>
  <c r="EC66" i="7"/>
  <c r="FO66" i="7"/>
  <c r="EY66" i="7"/>
  <c r="EE66" i="7"/>
  <c r="ED66" i="7"/>
  <c r="AJ66" i="7"/>
  <c r="FE66" i="7"/>
  <c r="CR66" i="7"/>
  <c r="AE66" i="7"/>
  <c r="DT66" i="7"/>
  <c r="BF66" i="7"/>
  <c r="GB66" i="7"/>
  <c r="DM66" i="7"/>
  <c r="DO66" i="7"/>
  <c r="CY66" i="7"/>
  <c r="CH66" i="7"/>
  <c r="EK66" i="7"/>
  <c r="T66" i="7"/>
  <c r="EO66" i="7"/>
  <c r="CB66" i="7"/>
  <c r="GH66" i="7"/>
  <c r="DD66" i="7"/>
  <c r="AP66" i="7"/>
  <c r="FL66" i="7"/>
  <c r="CW66" i="7"/>
  <c r="BR66" i="7"/>
  <c r="BB66" i="7"/>
  <c r="AI66" i="7"/>
  <c r="EA66" i="7"/>
  <c r="GL66" i="7"/>
  <c r="DY66" i="7"/>
  <c r="BL66" i="7"/>
  <c r="FR66" i="7"/>
  <c r="CN66" i="7"/>
  <c r="Z66" i="7"/>
  <c r="EV66" i="7"/>
  <c r="CG66" i="7"/>
  <c r="S66" i="7"/>
  <c r="GU66" i="7"/>
  <c r="CM66" i="7"/>
  <c r="FV66" i="7"/>
  <c r="DI66" i="7"/>
  <c r="AV66" i="7"/>
  <c r="FB66" i="7"/>
  <c r="BX66" i="7"/>
  <c r="GS66" i="7"/>
  <c r="EF66" i="7"/>
  <c r="BQ66" i="7"/>
  <c r="FK66" i="7"/>
  <c r="EU66" i="7"/>
  <c r="CI66" i="7"/>
  <c r="FF66" i="7"/>
  <c r="CS66" i="7"/>
  <c r="AF66" i="7"/>
  <c r="EL66" i="7"/>
  <c r="BH66" i="7"/>
  <c r="GC66" i="7"/>
  <c r="DP66" i="7"/>
  <c r="BA66" i="7"/>
  <c r="DN66" i="7"/>
  <c r="CX66" i="7"/>
  <c r="CE66" i="7"/>
  <c r="CC66" i="7"/>
  <c r="P66" i="7"/>
  <c r="DV66" i="7"/>
  <c r="AR66" i="7"/>
  <c r="FM66" i="7"/>
  <c r="CZ66" i="7"/>
  <c r="AK66" i="7"/>
  <c r="BO66" i="7"/>
  <c r="AY66" i="7"/>
  <c r="BY66" i="7"/>
  <c r="O66" i="7"/>
  <c r="N66" i="7"/>
  <c r="EP66" i="7"/>
  <c r="M66" i="7"/>
  <c r="N30" i="7"/>
  <c r="O30" i="7"/>
  <c r="M30" i="7"/>
  <c r="AX30" i="7"/>
  <c r="EP30" i="7"/>
  <c r="BE30" i="7"/>
  <c r="EW30" i="7"/>
  <c r="BF30" i="7"/>
  <c r="EX30" i="7"/>
  <c r="BG30" i="7"/>
  <c r="CF30" i="7"/>
  <c r="FX30" i="7"/>
  <c r="CM30" i="7"/>
  <c r="GE30" i="7"/>
  <c r="FW30" i="7"/>
  <c r="BD30" i="7"/>
  <c r="EV30" i="7"/>
  <c r="BK30" i="7"/>
  <c r="FC30" i="7"/>
  <c r="BL30" i="7"/>
  <c r="FD30" i="7"/>
  <c r="BM30" i="7"/>
  <c r="CL30" i="7"/>
  <c r="GD30" i="7"/>
  <c r="CS30" i="7"/>
  <c r="GK30" i="7"/>
  <c r="DI30" i="7"/>
  <c r="BJ30" i="7"/>
  <c r="FB30" i="7"/>
  <c r="BQ30" i="7"/>
  <c r="FI30" i="7"/>
  <c r="BR30" i="7"/>
  <c r="FJ30" i="7"/>
  <c r="BS30" i="7"/>
  <c r="CR30" i="7"/>
  <c r="GJ30" i="7"/>
  <c r="CY30" i="7"/>
  <c r="GQ30" i="7"/>
  <c r="ES30" i="7"/>
  <c r="BP30" i="7"/>
  <c r="FH30" i="7"/>
  <c r="BW30" i="7"/>
  <c r="FO30" i="7"/>
  <c r="BX30" i="7"/>
  <c r="FP30" i="7"/>
  <c r="BY30" i="7"/>
  <c r="CX30" i="7"/>
  <c r="GP30" i="7"/>
  <c r="DE30" i="7"/>
  <c r="CK30" i="7"/>
  <c r="GC30" i="7"/>
  <c r="BV30" i="7"/>
  <c r="FN30" i="7"/>
  <c r="CC30" i="7"/>
  <c r="FU30" i="7"/>
  <c r="CD30" i="7"/>
  <c r="FV30" i="7"/>
  <c r="CE30" i="7"/>
  <c r="DD30" i="7"/>
  <c r="S30" i="7"/>
  <c r="DK30" i="7"/>
  <c r="DU30" i="7"/>
  <c r="DO30" i="7"/>
  <c r="CB30" i="7"/>
  <c r="FT30" i="7"/>
  <c r="CI30" i="7"/>
  <c r="GA30" i="7"/>
  <c r="CJ30" i="7"/>
  <c r="GB30" i="7"/>
  <c r="R30" i="7"/>
  <c r="DJ30" i="7"/>
  <c r="Y30" i="7"/>
  <c r="DQ30" i="7"/>
  <c r="FE30" i="7"/>
  <c r="EY30" i="7"/>
  <c r="CH30" i="7"/>
  <c r="FZ30" i="7"/>
  <c r="CO30" i="7"/>
  <c r="GG30" i="7"/>
  <c r="CP30" i="7"/>
  <c r="GH30" i="7"/>
  <c r="X30" i="7"/>
  <c r="DP30" i="7"/>
  <c r="AE30" i="7"/>
  <c r="DW30" i="7"/>
  <c r="GO30" i="7"/>
  <c r="GI30" i="7"/>
  <c r="CN30" i="7"/>
  <c r="GF30" i="7"/>
  <c r="CU30" i="7"/>
  <c r="GM30" i="7"/>
  <c r="CV30" i="7"/>
  <c r="GN30" i="7"/>
  <c r="AD30" i="7"/>
  <c r="DV30" i="7"/>
  <c r="AK30" i="7"/>
  <c r="EC30" i="7"/>
  <c r="CQ30" i="7"/>
  <c r="CT30" i="7"/>
  <c r="GL30" i="7"/>
  <c r="DA30" i="7"/>
  <c r="GS30" i="7"/>
  <c r="DB30" i="7"/>
  <c r="GT30" i="7"/>
  <c r="AJ30" i="7"/>
  <c r="EB30" i="7"/>
  <c r="AQ30" i="7"/>
  <c r="EI30" i="7"/>
  <c r="EA30" i="7"/>
  <c r="CZ30" i="7"/>
  <c r="GR30" i="7"/>
  <c r="DG30" i="7"/>
  <c r="P30" i="7"/>
  <c r="DH30" i="7"/>
  <c r="Q30" i="7"/>
  <c r="AP30" i="7"/>
  <c r="EH30" i="7"/>
  <c r="AW30" i="7"/>
  <c r="EO30" i="7"/>
  <c r="FK30" i="7"/>
  <c r="DF30" i="7"/>
  <c r="U30" i="7"/>
  <c r="DM30" i="7"/>
  <c r="V30" i="7"/>
  <c r="DN30" i="7"/>
  <c r="W30" i="7"/>
  <c r="AV30" i="7"/>
  <c r="EN30" i="7"/>
  <c r="BC30" i="7"/>
  <c r="EU30" i="7"/>
  <c r="GU30" i="7"/>
  <c r="T30" i="7"/>
  <c r="DL30" i="7"/>
  <c r="AA30" i="7"/>
  <c r="DS30" i="7"/>
  <c r="AB30" i="7"/>
  <c r="DT30" i="7"/>
  <c r="AC30" i="7"/>
  <c r="BB30" i="7"/>
  <c r="ET30" i="7"/>
  <c r="BI30" i="7"/>
  <c r="FA30" i="7"/>
  <c r="CW30" i="7"/>
  <c r="Z30" i="7"/>
  <c r="DR30" i="7"/>
  <c r="AG30" i="7"/>
  <c r="DY30" i="7"/>
  <c r="AH30" i="7"/>
  <c r="DZ30" i="7"/>
  <c r="AI30" i="7"/>
  <c r="BH30" i="7"/>
  <c r="EZ30" i="7"/>
  <c r="BO30" i="7"/>
  <c r="FG30" i="7"/>
  <c r="EG30" i="7"/>
  <c r="AF30" i="7"/>
  <c r="DX30" i="7"/>
  <c r="AM30" i="7"/>
  <c r="EE30" i="7"/>
  <c r="AN30" i="7"/>
  <c r="EF30" i="7"/>
  <c r="AO30" i="7"/>
  <c r="BN30" i="7"/>
  <c r="FF30" i="7"/>
  <c r="BU30" i="7"/>
  <c r="FM30" i="7"/>
  <c r="FQ30" i="7"/>
  <c r="AL30" i="7"/>
  <c r="ED30" i="7"/>
  <c r="AS30" i="7"/>
  <c r="EK30" i="7"/>
  <c r="AT30" i="7"/>
  <c r="EL30" i="7"/>
  <c r="AU30" i="7"/>
  <c r="BT30" i="7"/>
  <c r="FL30" i="7"/>
  <c r="CA30" i="7"/>
  <c r="FS30" i="7"/>
  <c r="DC30" i="7"/>
  <c r="AR30" i="7"/>
  <c r="EJ30" i="7"/>
  <c r="AY30" i="7"/>
  <c r="EQ30" i="7"/>
  <c r="AZ30" i="7"/>
  <c r="ER30" i="7"/>
  <c r="BA30" i="7"/>
  <c r="BZ30" i="7"/>
  <c r="FR30" i="7"/>
  <c r="CG30" i="7"/>
  <c r="FY30" i="7"/>
  <c r="EM30" i="7"/>
  <c r="H39" i="7"/>
  <c r="H4" i="7"/>
  <c r="I4" i="7"/>
  <c r="J39" i="7"/>
  <c r="I39" i="7"/>
  <c r="L39" i="7"/>
  <c r="M39" i="7"/>
  <c r="K39" i="7"/>
  <c r="J4" i="7"/>
  <c r="L4" i="7"/>
  <c r="K4" i="7"/>
  <c r="M4" i="7"/>
  <c r="DL67" i="7"/>
  <c r="AY67" i="7"/>
  <c r="FU67" i="7"/>
  <c r="DH67" i="7"/>
  <c r="AU67" i="7"/>
  <c r="FQ67" i="7"/>
  <c r="DD67" i="7"/>
  <c r="EH67" i="7"/>
  <c r="BU67" i="7"/>
  <c r="GQ67" i="7"/>
  <c r="CG67" i="7"/>
  <c r="W67" i="7"/>
  <c r="CV67" i="7"/>
  <c r="AI67" i="7"/>
  <c r="FE67" i="7"/>
  <c r="CR67" i="7"/>
  <c r="AE67" i="7"/>
  <c r="FA67" i="7"/>
  <c r="CN67" i="7"/>
  <c r="DR67" i="7"/>
  <c r="BE67" i="7"/>
  <c r="GA67" i="7"/>
  <c r="BQ67" i="7"/>
  <c r="ED67" i="7"/>
  <c r="CF67" i="7"/>
  <c r="BP67" i="7"/>
  <c r="GL67" i="7"/>
  <c r="DY67" i="7"/>
  <c r="BL67" i="7"/>
  <c r="GH67" i="7"/>
  <c r="DU67" i="7"/>
  <c r="BH67" i="7"/>
  <c r="CL67" i="7"/>
  <c r="Y67" i="7"/>
  <c r="EU67" i="7"/>
  <c r="AK67" i="7"/>
  <c r="DN67" i="7"/>
  <c r="AZ67" i="7"/>
  <c r="FV67" i="7"/>
  <c r="DI67" i="7"/>
  <c r="AV67" i="7"/>
  <c r="FR67" i="7"/>
  <c r="DE67" i="7"/>
  <c r="AR67" i="7"/>
  <c r="BV67" i="7"/>
  <c r="GR67" i="7"/>
  <c r="EE67" i="7"/>
  <c r="U67" i="7"/>
  <c r="DC67" i="7"/>
  <c r="L67" i="7"/>
  <c r="AJ67" i="7"/>
  <c r="FF67" i="7"/>
  <c r="CS67" i="7"/>
  <c r="AF67" i="7"/>
  <c r="FB67" i="7"/>
  <c r="CO67" i="7"/>
  <c r="AB67" i="7"/>
  <c r="BF67" i="7"/>
  <c r="GB67" i="7"/>
  <c r="DO67" i="7"/>
  <c r="BG67" i="7"/>
  <c r="CH67" i="7"/>
  <c r="K67" i="7"/>
  <c r="T67" i="7"/>
  <c r="EP67" i="7"/>
  <c r="CC67" i="7"/>
  <c r="P67" i="7"/>
  <c r="EL67" i="7"/>
  <c r="BY67" i="7"/>
  <c r="GU67" i="7"/>
  <c r="AP67" i="7"/>
  <c r="FL67" i="7"/>
  <c r="CY67" i="7"/>
  <c r="BC67" i="7"/>
  <c r="CX67" i="7"/>
  <c r="K31" i="7"/>
  <c r="GM67" i="7"/>
  <c r="DZ67" i="7"/>
  <c r="BM67" i="7"/>
  <c r="GI67" i="7"/>
  <c r="DV67" i="7"/>
  <c r="BI67" i="7"/>
  <c r="GE67" i="7"/>
  <c r="Z67" i="7"/>
  <c r="EV67" i="7"/>
  <c r="CI67" i="7"/>
  <c r="BB67" i="7"/>
  <c r="CM67" i="7"/>
  <c r="L31" i="7"/>
  <c r="FW67" i="7"/>
  <c r="DJ67" i="7"/>
  <c r="AW67" i="7"/>
  <c r="FS67" i="7"/>
  <c r="DF67" i="7"/>
  <c r="AS67" i="7"/>
  <c r="FO67" i="7"/>
  <c r="GS67" i="7"/>
  <c r="EF67" i="7"/>
  <c r="BS67" i="7"/>
  <c r="AQ67" i="7"/>
  <c r="BW67" i="7"/>
  <c r="FG67" i="7"/>
  <c r="CT67" i="7"/>
  <c r="AG67" i="7"/>
  <c r="FC67" i="7"/>
  <c r="CP67" i="7"/>
  <c r="AC67" i="7"/>
  <c r="EY67" i="7"/>
  <c r="GC67" i="7"/>
  <c r="DP67" i="7"/>
  <c r="GO67" i="7"/>
  <c r="GP67" i="7"/>
  <c r="BR67" i="7"/>
  <c r="EQ67" i="7"/>
  <c r="CD67" i="7"/>
  <c r="Q67" i="7"/>
  <c r="EM67" i="7"/>
  <c r="BZ67" i="7"/>
  <c r="M67" i="7"/>
  <c r="EI67" i="7"/>
  <c r="FM67" i="7"/>
  <c r="CZ67" i="7"/>
  <c r="FY67" i="7"/>
  <c r="AM67" i="7"/>
  <c r="GN67" i="7"/>
  <c r="EA67" i="7"/>
  <c r="BN67" i="7"/>
  <c r="GJ67" i="7"/>
  <c r="DW67" i="7"/>
  <c r="BJ67" i="7"/>
  <c r="GF67" i="7"/>
  <c r="DS67" i="7"/>
  <c r="EW67" i="7"/>
  <c r="CJ67" i="7"/>
  <c r="FI67" i="7"/>
  <c r="FZ67" i="7"/>
  <c r="FX67" i="7"/>
  <c r="DK67" i="7"/>
  <c r="AX67" i="7"/>
  <c r="FT67" i="7"/>
  <c r="DG67" i="7"/>
  <c r="AT67" i="7"/>
  <c r="FP67" i="7"/>
  <c r="FH67" i="7"/>
  <c r="CU67" i="7"/>
  <c r="AH67" i="7"/>
  <c r="FD67" i="7"/>
  <c r="CQ67" i="7"/>
  <c r="AD67" i="7"/>
  <c r="EZ67" i="7"/>
  <c r="GD67" i="7"/>
  <c r="DQ67" i="7"/>
  <c r="BD67" i="7"/>
  <c r="EC67" i="7"/>
  <c r="FJ67" i="7"/>
  <c r="EB67" i="7"/>
  <c r="BO67" i="7"/>
  <c r="GK67" i="7"/>
  <c r="DX67" i="7"/>
  <c r="BK67" i="7"/>
  <c r="GG67" i="7"/>
  <c r="DT67" i="7"/>
  <c r="EX67" i="7"/>
  <c r="CK67" i="7"/>
  <c r="X67" i="7"/>
  <c r="CW67" i="7"/>
  <c r="ET67" i="7"/>
  <c r="R67" i="7"/>
  <c r="BT67" i="7"/>
  <c r="EO67" i="7"/>
  <c r="AN67" i="7"/>
  <c r="EN67" i="7"/>
  <c r="FK67" i="7"/>
  <c r="CB67" i="7"/>
  <c r="ES67" i="7"/>
  <c r="CA67" i="7"/>
  <c r="DM67" i="7"/>
  <c r="O67" i="7"/>
  <c r="BA67" i="7"/>
  <c r="N67" i="7"/>
  <c r="AL67" i="7"/>
  <c r="EK67" i="7"/>
  <c r="AA67" i="7"/>
  <c r="EJ67" i="7"/>
  <c r="V67" i="7"/>
  <c r="BX67" i="7"/>
  <c r="GT67" i="7"/>
  <c r="FN67" i="7"/>
  <c r="DB67" i="7"/>
  <c r="ER67" i="7"/>
  <c r="EG67" i="7"/>
  <c r="CE67" i="7"/>
  <c r="DA67" i="7"/>
  <c r="AO67" i="7"/>
  <c r="S67" i="7"/>
  <c r="AZ31" i="7"/>
  <c r="ER31" i="7"/>
  <c r="BA31" i="7"/>
  <c r="ES31" i="7"/>
  <c r="BB31" i="7"/>
  <c r="ET31" i="7"/>
  <c r="BC31" i="7"/>
  <c r="EU31" i="7"/>
  <c r="BD31" i="7"/>
  <c r="EV31" i="7"/>
  <c r="BE31" i="7"/>
  <c r="EW31" i="7"/>
  <c r="BF31" i="7"/>
  <c r="EX31" i="7"/>
  <c r="BG31" i="7"/>
  <c r="EY31" i="7"/>
  <c r="BH31" i="7"/>
  <c r="EZ31" i="7"/>
  <c r="BI31" i="7"/>
  <c r="FA31" i="7"/>
  <c r="BJ31" i="7"/>
  <c r="FB31" i="7"/>
  <c r="BK31" i="7"/>
  <c r="FC31" i="7"/>
  <c r="BL31" i="7"/>
  <c r="FD31" i="7"/>
  <c r="BM31" i="7"/>
  <c r="FE31" i="7"/>
  <c r="BN31" i="7"/>
  <c r="FF31" i="7"/>
  <c r="BO31" i="7"/>
  <c r="FG31" i="7"/>
  <c r="BP31" i="7"/>
  <c r="FH31" i="7"/>
  <c r="BQ31" i="7"/>
  <c r="FI31" i="7"/>
  <c r="BR31" i="7"/>
  <c r="FJ31" i="7"/>
  <c r="BS31" i="7"/>
  <c r="FK31" i="7"/>
  <c r="BT31" i="7"/>
  <c r="FL31" i="7"/>
  <c r="BU31" i="7"/>
  <c r="FM31" i="7"/>
  <c r="BV31" i="7"/>
  <c r="FN31" i="7"/>
  <c r="BW31" i="7"/>
  <c r="FO31" i="7"/>
  <c r="BX31" i="7"/>
  <c r="FP31" i="7"/>
  <c r="BY31" i="7"/>
  <c r="FQ31" i="7"/>
  <c r="BZ31" i="7"/>
  <c r="FR31" i="7"/>
  <c r="CA31" i="7"/>
  <c r="FS31" i="7"/>
  <c r="CB31" i="7"/>
  <c r="FT31" i="7"/>
  <c r="CC31" i="7"/>
  <c r="FU31" i="7"/>
  <c r="CD31" i="7"/>
  <c r="FV31" i="7"/>
  <c r="CE31" i="7"/>
  <c r="FW31" i="7"/>
  <c r="CF31" i="7"/>
  <c r="FX31" i="7"/>
  <c r="CG31" i="7"/>
  <c r="FY31" i="7"/>
  <c r="CH31" i="7"/>
  <c r="FZ31" i="7"/>
  <c r="CI31" i="7"/>
  <c r="GA31" i="7"/>
  <c r="CJ31" i="7"/>
  <c r="GB31" i="7"/>
  <c r="CK31" i="7"/>
  <c r="GC31" i="7"/>
  <c r="CL31" i="7"/>
  <c r="GD31" i="7"/>
  <c r="CM31" i="7"/>
  <c r="GE31" i="7"/>
  <c r="CN31" i="7"/>
  <c r="GF31" i="7"/>
  <c r="CO31" i="7"/>
  <c r="GG31" i="7"/>
  <c r="CP31" i="7"/>
  <c r="GH31" i="7"/>
  <c r="CQ31" i="7"/>
  <c r="GI31" i="7"/>
  <c r="CR31" i="7"/>
  <c r="GJ31" i="7"/>
  <c r="CS31" i="7"/>
  <c r="GK31" i="7"/>
  <c r="CT31" i="7"/>
  <c r="GL31" i="7"/>
  <c r="CU31" i="7"/>
  <c r="GM31" i="7"/>
  <c r="CV31" i="7"/>
  <c r="GN31" i="7"/>
  <c r="CW31" i="7"/>
  <c r="GO31" i="7"/>
  <c r="CX31" i="7"/>
  <c r="GP31" i="7"/>
  <c r="CY31" i="7"/>
  <c r="GQ31" i="7"/>
  <c r="CZ31" i="7"/>
  <c r="GR31" i="7"/>
  <c r="DA31" i="7"/>
  <c r="GS31" i="7"/>
  <c r="DB31" i="7"/>
  <c r="GT31" i="7"/>
  <c r="DC31" i="7"/>
  <c r="GU31" i="7"/>
  <c r="DD31" i="7"/>
  <c r="M31" i="7"/>
  <c r="DE31" i="7"/>
  <c r="N31" i="7"/>
  <c r="DF31" i="7"/>
  <c r="O31" i="7"/>
  <c r="DG31" i="7"/>
  <c r="P31" i="7"/>
  <c r="DH31" i="7"/>
  <c r="Q31" i="7"/>
  <c r="DI31" i="7"/>
  <c r="R31" i="7"/>
  <c r="DJ31" i="7"/>
  <c r="S31" i="7"/>
  <c r="DK31" i="7"/>
  <c r="T31" i="7"/>
  <c r="DL31" i="7"/>
  <c r="U31" i="7"/>
  <c r="DM31" i="7"/>
  <c r="V31" i="7"/>
  <c r="DN31" i="7"/>
  <c r="W31" i="7"/>
  <c r="DO31" i="7"/>
  <c r="X31" i="7"/>
  <c r="DP31" i="7"/>
  <c r="Y31" i="7"/>
  <c r="DQ31" i="7"/>
  <c r="Z31" i="7"/>
  <c r="DR31" i="7"/>
  <c r="AA31" i="7"/>
  <c r="DS31" i="7"/>
  <c r="AB31" i="7"/>
  <c r="DT31" i="7"/>
  <c r="AC31" i="7"/>
  <c r="DU31" i="7"/>
  <c r="AD31" i="7"/>
  <c r="DV31" i="7"/>
  <c r="AE31" i="7"/>
  <c r="DW31" i="7"/>
  <c r="AF31" i="7"/>
  <c r="DX31" i="7"/>
  <c r="AG31" i="7"/>
  <c r="DY31" i="7"/>
  <c r="AH31" i="7"/>
  <c r="DZ31" i="7"/>
  <c r="AI31" i="7"/>
  <c r="EA31" i="7"/>
  <c r="AJ31" i="7"/>
  <c r="EB31" i="7"/>
  <c r="AK31" i="7"/>
  <c r="EC31" i="7"/>
  <c r="AL31" i="7"/>
  <c r="ED31" i="7"/>
  <c r="AM31" i="7"/>
  <c r="EE31" i="7"/>
  <c r="AN31" i="7"/>
  <c r="EF31" i="7"/>
  <c r="AO31" i="7"/>
  <c r="EG31" i="7"/>
  <c r="AP31" i="7"/>
  <c r="EH31" i="7"/>
  <c r="AQ31" i="7"/>
  <c r="EI31" i="7"/>
  <c r="AR31" i="7"/>
  <c r="EJ31" i="7"/>
  <c r="AS31" i="7"/>
  <c r="EK31" i="7"/>
  <c r="AT31" i="7"/>
  <c r="EL31" i="7"/>
  <c r="AU31" i="7"/>
  <c r="EM31" i="7"/>
  <c r="AV31" i="7"/>
  <c r="EN31" i="7"/>
  <c r="AW31" i="7"/>
  <c r="EO31" i="7"/>
  <c r="AX31" i="7"/>
  <c r="EP31" i="7"/>
  <c r="AY31" i="7"/>
  <c r="EQ31" i="7"/>
  <c r="M68" i="7"/>
  <c r="K32" i="7"/>
  <c r="J68" i="7"/>
  <c r="N68" i="7"/>
  <c r="L68" i="7"/>
  <c r="K68" i="7"/>
  <c r="J32" i="7"/>
  <c r="L32" i="7"/>
  <c r="N32" i="7"/>
  <c r="M32" i="7"/>
  <c r="I49" i="7"/>
  <c r="H49" i="7"/>
  <c r="I14" i="7"/>
  <c r="H14" i="7"/>
  <c r="AC844" i="1"/>
  <c r="AC1096" i="1"/>
  <c r="P69" i="7"/>
  <c r="Q69" i="7"/>
  <c r="R69" i="7"/>
  <c r="L69" i="7"/>
  <c r="K69" i="7"/>
  <c r="O69" i="7"/>
  <c r="M69" i="7"/>
  <c r="N69" i="7"/>
  <c r="N33" i="7"/>
  <c r="K33" i="7"/>
  <c r="L33" i="7"/>
  <c r="M33" i="7"/>
  <c r="O33" i="7"/>
  <c r="P33" i="7"/>
  <c r="Q33" i="7"/>
  <c r="R33" i="7"/>
  <c r="EG44" i="7"/>
  <c r="CJ44" i="7"/>
  <c r="W44" i="7"/>
  <c r="ES44" i="7"/>
  <c r="CF44" i="7"/>
  <c r="S44" i="7"/>
  <c r="EO44" i="7"/>
  <c r="CB44" i="7"/>
  <c r="O44" i="7"/>
  <c r="EK44" i="7"/>
  <c r="BX44" i="7"/>
  <c r="BW44" i="7"/>
  <c r="DQ44" i="7"/>
  <c r="BT44" i="7"/>
  <c r="GP44" i="7"/>
  <c r="EC44" i="7"/>
  <c r="BP44" i="7"/>
  <c r="GL44" i="7"/>
  <c r="DY44" i="7"/>
  <c r="BL44" i="7"/>
  <c r="GH44" i="7"/>
  <c r="DU44" i="7"/>
  <c r="BH44" i="7"/>
  <c r="BG44" i="7"/>
  <c r="DA44" i="7"/>
  <c r="BD44" i="7"/>
  <c r="FZ44" i="7"/>
  <c r="DM44" i="7"/>
  <c r="AZ44" i="7"/>
  <c r="FV44" i="7"/>
  <c r="DI44" i="7"/>
  <c r="AV44" i="7"/>
  <c r="FR44" i="7"/>
  <c r="DE44" i="7"/>
  <c r="AR44" i="7"/>
  <c r="AQ44" i="7"/>
  <c r="CK44" i="7"/>
  <c r="AN44" i="7"/>
  <c r="FJ44" i="7"/>
  <c r="CW44" i="7"/>
  <c r="AJ44" i="7"/>
  <c r="FF44" i="7"/>
  <c r="CS44" i="7"/>
  <c r="AF44" i="7"/>
  <c r="FB44" i="7"/>
  <c r="CO44" i="7"/>
  <c r="AB44" i="7"/>
  <c r="AA44" i="7"/>
  <c r="BU44" i="7"/>
  <c r="X44" i="7"/>
  <c r="ET44" i="7"/>
  <c r="CG44" i="7"/>
  <c r="T44" i="7"/>
  <c r="EP44" i="7"/>
  <c r="CC44" i="7"/>
  <c r="P44" i="7"/>
  <c r="EL44" i="7"/>
  <c r="BY44" i="7"/>
  <c r="L44" i="7"/>
  <c r="K44" i="7"/>
  <c r="BE44" i="7"/>
  <c r="GQ44" i="7"/>
  <c r="ED44" i="7"/>
  <c r="BQ44" i="7"/>
  <c r="GM44" i="7"/>
  <c r="DZ44" i="7"/>
  <c r="BM44" i="7"/>
  <c r="GI44" i="7"/>
  <c r="DV44" i="7"/>
  <c r="BI44" i="7"/>
  <c r="GD44" i="7"/>
  <c r="GT44" i="7"/>
  <c r="AO44" i="7"/>
  <c r="GA44" i="7"/>
  <c r="DN44" i="7"/>
  <c r="BA44" i="7"/>
  <c r="FW44" i="7"/>
  <c r="DJ44" i="7"/>
  <c r="AW44" i="7"/>
  <c r="FS44" i="7"/>
  <c r="DF44" i="7"/>
  <c r="AS44" i="7"/>
  <c r="EX44" i="7"/>
  <c r="FN44" i="7"/>
  <c r="Y44" i="7"/>
  <c r="FK44" i="7"/>
  <c r="CX44" i="7"/>
  <c r="AK44" i="7"/>
  <c r="FG44" i="7"/>
  <c r="CT44" i="7"/>
  <c r="AG44" i="7"/>
  <c r="FC44" i="7"/>
  <c r="CP44" i="7"/>
  <c r="AC44" i="7"/>
  <c r="DR44" i="7"/>
  <c r="EH44" i="7"/>
  <c r="I44" i="7"/>
  <c r="EU44" i="7"/>
  <c r="CH44" i="7"/>
  <c r="U44" i="7"/>
  <c r="EQ44" i="7"/>
  <c r="CD44" i="7"/>
  <c r="Q44" i="7"/>
  <c r="EM44" i="7"/>
  <c r="BZ44" i="7"/>
  <c r="M44" i="7"/>
  <c r="GU44" i="7"/>
  <c r="DB44" i="7"/>
  <c r="GR44" i="7"/>
  <c r="EE44" i="7"/>
  <c r="BR44" i="7"/>
  <c r="GN44" i="7"/>
  <c r="EA44" i="7"/>
  <c r="BN44" i="7"/>
  <c r="GJ44" i="7"/>
  <c r="DW44" i="7"/>
  <c r="BJ44" i="7"/>
  <c r="GF44" i="7"/>
  <c r="GE44" i="7"/>
  <c r="CL44" i="7"/>
  <c r="GB44" i="7"/>
  <c r="DO44" i="7"/>
  <c r="BB44" i="7"/>
  <c r="FX44" i="7"/>
  <c r="DK44" i="7"/>
  <c r="AX44" i="7"/>
  <c r="FT44" i="7"/>
  <c r="DG44" i="7"/>
  <c r="AT44" i="7"/>
  <c r="FP44" i="7"/>
  <c r="FO44" i="7"/>
  <c r="BV44" i="7"/>
  <c r="FL44" i="7"/>
  <c r="CY44" i="7"/>
  <c r="AL44" i="7"/>
  <c r="FH44" i="7"/>
  <c r="CU44" i="7"/>
  <c r="AH44" i="7"/>
  <c r="FD44" i="7"/>
  <c r="CQ44" i="7"/>
  <c r="AD44" i="7"/>
  <c r="EZ44" i="7"/>
  <c r="EY44" i="7"/>
  <c r="BF44" i="7"/>
  <c r="GS44" i="7"/>
  <c r="EV44" i="7"/>
  <c r="CI44" i="7"/>
  <c r="V44" i="7"/>
  <c r="ER44" i="7"/>
  <c r="CE44" i="7"/>
  <c r="R44" i="7"/>
  <c r="EN44" i="7"/>
  <c r="CA44" i="7"/>
  <c r="N44" i="7"/>
  <c r="EJ44" i="7"/>
  <c r="EI44" i="7"/>
  <c r="AP44" i="7"/>
  <c r="GC44" i="7"/>
  <c r="EF44" i="7"/>
  <c r="BS44" i="7"/>
  <c r="GO44" i="7"/>
  <c r="EB44" i="7"/>
  <c r="BO44" i="7"/>
  <c r="GK44" i="7"/>
  <c r="DX44" i="7"/>
  <c r="BK44" i="7"/>
  <c r="GG44" i="7"/>
  <c r="DT44" i="7"/>
  <c r="DS44" i="7"/>
  <c r="Z44" i="7"/>
  <c r="FM44" i="7"/>
  <c r="DP44" i="7"/>
  <c r="BC44" i="7"/>
  <c r="FY44" i="7"/>
  <c r="DL44" i="7"/>
  <c r="AY44" i="7"/>
  <c r="FU44" i="7"/>
  <c r="DH44" i="7"/>
  <c r="AU44" i="7"/>
  <c r="FQ44" i="7"/>
  <c r="DD44" i="7"/>
  <c r="DC44" i="7"/>
  <c r="J44" i="7"/>
  <c r="CZ44" i="7"/>
  <c r="AM44" i="7"/>
  <c r="FI44" i="7"/>
  <c r="CV44" i="7"/>
  <c r="AI44" i="7"/>
  <c r="FE44" i="7"/>
  <c r="CR44" i="7"/>
  <c r="AE44" i="7"/>
  <c r="FA44" i="7"/>
  <c r="CN44" i="7"/>
  <c r="CM44" i="7"/>
  <c r="EW44" i="7"/>
  <c r="BK9" i="7"/>
  <c r="FC9" i="7"/>
  <c r="O9" i="7"/>
  <c r="DG9" i="7"/>
  <c r="AS9" i="7"/>
  <c r="EW9" i="7"/>
  <c r="BF9" i="7"/>
  <c r="EX9" i="7"/>
  <c r="BA9" i="7"/>
  <c r="ES9" i="7"/>
  <c r="AX9" i="7"/>
  <c r="EP9" i="7"/>
  <c r="DP9" i="7"/>
  <c r="R9" i="7"/>
  <c r="DE9" i="7"/>
  <c r="ET9" i="7"/>
  <c r="AY9" i="7"/>
  <c r="FI9" i="7"/>
  <c r="BL9" i="7"/>
  <c r="FD9" i="7"/>
  <c r="BG9" i="7"/>
  <c r="EY9" i="7"/>
  <c r="BD9" i="7"/>
  <c r="EV9" i="7"/>
  <c r="EH9" i="7"/>
  <c r="AJ9" i="7"/>
  <c r="DW9" i="7"/>
  <c r="AQ9" i="7"/>
  <c r="BE9" i="7"/>
  <c r="FO9" i="7"/>
  <c r="BR9" i="7"/>
  <c r="FJ9" i="7"/>
  <c r="BM9" i="7"/>
  <c r="FE9" i="7"/>
  <c r="BJ9" i="7"/>
  <c r="FB9" i="7"/>
  <c r="EZ9" i="7"/>
  <c r="BB9" i="7"/>
  <c r="EO9" i="7"/>
  <c r="CS9" i="7"/>
  <c r="BQ9" i="7"/>
  <c r="FU9" i="7"/>
  <c r="BX9" i="7"/>
  <c r="FP9" i="7"/>
  <c r="BS9" i="7"/>
  <c r="FK9" i="7"/>
  <c r="BP9" i="7"/>
  <c r="FH9" i="7"/>
  <c r="FR9" i="7"/>
  <c r="BT9" i="7"/>
  <c r="FG9" i="7"/>
  <c r="EU9" i="7"/>
  <c r="BW9" i="7"/>
  <c r="GA9" i="7"/>
  <c r="CD9" i="7"/>
  <c r="FV9" i="7"/>
  <c r="BY9" i="7"/>
  <c r="FQ9" i="7"/>
  <c r="BV9" i="7"/>
  <c r="FN9" i="7"/>
  <c r="GJ9" i="7"/>
  <c r="CL9" i="7"/>
  <c r="FY9" i="7"/>
  <c r="BH9" i="7"/>
  <c r="CC9" i="7"/>
  <c r="GG9" i="7"/>
  <c r="CJ9" i="7"/>
  <c r="GB9" i="7"/>
  <c r="CE9" i="7"/>
  <c r="FW9" i="7"/>
  <c r="CB9" i="7"/>
  <c r="FT9" i="7"/>
  <c r="M9" i="7"/>
  <c r="DD9" i="7"/>
  <c r="GQ9" i="7"/>
  <c r="DJ9" i="7"/>
  <c r="CI9" i="7"/>
  <c r="GM9" i="7"/>
  <c r="CP9" i="7"/>
  <c r="GH9" i="7"/>
  <c r="CK9" i="7"/>
  <c r="GC9" i="7"/>
  <c r="CH9" i="7"/>
  <c r="FZ9" i="7"/>
  <c r="AE9" i="7"/>
  <c r="DV9" i="7"/>
  <c r="X9" i="7"/>
  <c r="FL9" i="7"/>
  <c r="CO9" i="7"/>
  <c r="GS9" i="7"/>
  <c r="CV9" i="7"/>
  <c r="GN9" i="7"/>
  <c r="CQ9" i="7"/>
  <c r="GI9" i="7"/>
  <c r="CN9" i="7"/>
  <c r="GF9" i="7"/>
  <c r="AW9" i="7"/>
  <c r="EN9" i="7"/>
  <c r="BZ9" i="7"/>
  <c r="BI9" i="7"/>
  <c r="CU9" i="7"/>
  <c r="J9" i="7"/>
  <c r="DB9" i="7"/>
  <c r="GT9" i="7"/>
  <c r="CW9" i="7"/>
  <c r="GO9" i="7"/>
  <c r="CT9" i="7"/>
  <c r="GL9" i="7"/>
  <c r="BO9" i="7"/>
  <c r="FF9" i="7"/>
  <c r="EB9" i="7"/>
  <c r="DK9" i="7"/>
  <c r="DA9" i="7"/>
  <c r="P9" i="7"/>
  <c r="DH9" i="7"/>
  <c r="K9" i="7"/>
  <c r="DC9" i="7"/>
  <c r="GU9" i="7"/>
  <c r="CZ9" i="7"/>
  <c r="GR9" i="7"/>
  <c r="CG9" i="7"/>
  <c r="FX9" i="7"/>
  <c r="GD9" i="7"/>
  <c r="FM9" i="7"/>
  <c r="DM9" i="7"/>
  <c r="V9" i="7"/>
  <c r="DN9" i="7"/>
  <c r="Q9" i="7"/>
  <c r="DI9" i="7"/>
  <c r="N9" i="7"/>
  <c r="DF9" i="7"/>
  <c r="L9" i="7"/>
  <c r="CY9" i="7"/>
  <c r="GP9" i="7"/>
  <c r="Y9" i="7"/>
  <c r="I9" i="7"/>
  <c r="DS9" i="7"/>
  <c r="AB9" i="7"/>
  <c r="DT9" i="7"/>
  <c r="W9" i="7"/>
  <c r="DO9" i="7"/>
  <c r="T9" i="7"/>
  <c r="DL9" i="7"/>
  <c r="AD9" i="7"/>
  <c r="DQ9" i="7"/>
  <c r="S9" i="7"/>
  <c r="CA9" i="7"/>
  <c r="U9" i="7"/>
  <c r="DY9" i="7"/>
  <c r="AH9" i="7"/>
  <c r="DZ9" i="7"/>
  <c r="AC9" i="7"/>
  <c r="DU9" i="7"/>
  <c r="Z9" i="7"/>
  <c r="DR9" i="7"/>
  <c r="AV9" i="7"/>
  <c r="EI9" i="7"/>
  <c r="AK9" i="7"/>
  <c r="EC9" i="7"/>
  <c r="AA9" i="7"/>
  <c r="EE9" i="7"/>
  <c r="AN9" i="7"/>
  <c r="EF9" i="7"/>
  <c r="AI9" i="7"/>
  <c r="EA9" i="7"/>
  <c r="AF9" i="7"/>
  <c r="DX9" i="7"/>
  <c r="BN9" i="7"/>
  <c r="FA9" i="7"/>
  <c r="BC9" i="7"/>
  <c r="GE9" i="7"/>
  <c r="AG9" i="7"/>
  <c r="EK9" i="7"/>
  <c r="AT9" i="7"/>
  <c r="EL9" i="7"/>
  <c r="AO9" i="7"/>
  <c r="EG9" i="7"/>
  <c r="AL9" i="7"/>
  <c r="ED9" i="7"/>
  <c r="CF9" i="7"/>
  <c r="FS9" i="7"/>
  <c r="BU9" i="7"/>
  <c r="AP9" i="7"/>
  <c r="AM9" i="7"/>
  <c r="EQ9" i="7"/>
  <c r="AZ9" i="7"/>
  <c r="ER9" i="7"/>
  <c r="AU9" i="7"/>
  <c r="EM9" i="7"/>
  <c r="AR9" i="7"/>
  <c r="EJ9" i="7"/>
  <c r="CX9" i="7"/>
  <c r="GK9" i="7"/>
  <c r="CM9" i="7"/>
  <c r="CR9" i="7"/>
  <c r="FN60" i="7"/>
  <c r="DA60" i="7"/>
  <c r="AN60" i="7"/>
  <c r="FJ60" i="7"/>
  <c r="CW60" i="7"/>
  <c r="AJ60" i="7"/>
  <c r="FF60" i="7"/>
  <c r="CS60" i="7"/>
  <c r="AF60" i="7"/>
  <c r="BH60" i="7"/>
  <c r="FC60" i="7"/>
  <c r="BZ60" i="7"/>
  <c r="EX60" i="7"/>
  <c r="CK60" i="7"/>
  <c r="X60" i="7"/>
  <c r="ET60" i="7"/>
  <c r="CG60" i="7"/>
  <c r="T60" i="7"/>
  <c r="EP60" i="7"/>
  <c r="CC60" i="7"/>
  <c r="P60" i="7"/>
  <c r="GE60" i="7"/>
  <c r="CQ60" i="7"/>
  <c r="N60" i="7"/>
  <c r="EH60" i="7"/>
  <c r="BU60" i="7"/>
  <c r="GQ60" i="7"/>
  <c r="ED60" i="7"/>
  <c r="BQ60" i="7"/>
  <c r="GM60" i="7"/>
  <c r="DZ60" i="7"/>
  <c r="BM60" i="7"/>
  <c r="GG60" i="7"/>
  <c r="DS60" i="7"/>
  <c r="AE60" i="7"/>
  <c r="BX60" i="7"/>
  <c r="DR60" i="7"/>
  <c r="BE60" i="7"/>
  <c r="GA60" i="7"/>
  <c r="DN60" i="7"/>
  <c r="BA60" i="7"/>
  <c r="FW60" i="7"/>
  <c r="DJ60" i="7"/>
  <c r="AW60" i="7"/>
  <c r="FQ60" i="7"/>
  <c r="BG60" i="7"/>
  <c r="FB60" i="7"/>
  <c r="BW60" i="7"/>
  <c r="DB60" i="7"/>
  <c r="AO60" i="7"/>
  <c r="FK60" i="7"/>
  <c r="CX60" i="7"/>
  <c r="AK60" i="7"/>
  <c r="FG60" i="7"/>
  <c r="CT60" i="7"/>
  <c r="AG60" i="7"/>
  <c r="FA60" i="7"/>
  <c r="FS60" i="7"/>
  <c r="CP60" i="7"/>
  <c r="BK60" i="7"/>
  <c r="CL60" i="7"/>
  <c r="Y60" i="7"/>
  <c r="EU60" i="7"/>
  <c r="CH60" i="7"/>
  <c r="U60" i="7"/>
  <c r="EQ60" i="7"/>
  <c r="CD60" i="7"/>
  <c r="Q60" i="7"/>
  <c r="EK60" i="7"/>
  <c r="DG60" i="7"/>
  <c r="AD60" i="7"/>
  <c r="BJ60" i="7"/>
  <c r="BV60" i="7"/>
  <c r="GR60" i="7"/>
  <c r="EE60" i="7"/>
  <c r="BR60" i="7"/>
  <c r="GN60" i="7"/>
  <c r="EA60" i="7"/>
  <c r="BN60" i="7"/>
  <c r="GJ60" i="7"/>
  <c r="DU60" i="7"/>
  <c r="AU60" i="7"/>
  <c r="EZ60" i="7"/>
  <c r="GU60" i="7"/>
  <c r="BF60" i="7"/>
  <c r="GB60" i="7"/>
  <c r="DO60" i="7"/>
  <c r="BB60" i="7"/>
  <c r="FX60" i="7"/>
  <c r="DK60" i="7"/>
  <c r="AX60" i="7"/>
  <c r="FT60" i="7"/>
  <c r="DE60" i="7"/>
  <c r="FR60" i="7"/>
  <c r="CN60" i="7"/>
  <c r="GI60" i="7"/>
  <c r="AP60" i="7"/>
  <c r="FL60" i="7"/>
  <c r="CY60" i="7"/>
  <c r="AL60" i="7"/>
  <c r="FH60" i="7"/>
  <c r="CU60" i="7"/>
  <c r="AH60" i="7"/>
  <c r="FD60" i="7"/>
  <c r="CO60" i="7"/>
  <c r="DF60" i="7"/>
  <c r="AB60" i="7"/>
  <c r="GH60" i="7"/>
  <c r="Z60" i="7"/>
  <c r="EV60" i="7"/>
  <c r="CI60" i="7"/>
  <c r="V60" i="7"/>
  <c r="ER60" i="7"/>
  <c r="CE60" i="7"/>
  <c r="R60" i="7"/>
  <c r="EN60" i="7"/>
  <c r="BY60" i="7"/>
  <c r="AT60" i="7"/>
  <c r="EY60" i="7"/>
  <c r="EI60" i="7"/>
  <c r="GS60" i="7"/>
  <c r="EF60" i="7"/>
  <c r="BS60" i="7"/>
  <c r="GO60" i="7"/>
  <c r="EB60" i="7"/>
  <c r="BO60" i="7"/>
  <c r="GK60" i="7"/>
  <c r="DX60" i="7"/>
  <c r="BI60" i="7"/>
  <c r="FP60" i="7"/>
  <c r="CM60" i="7"/>
  <c r="DW60" i="7"/>
  <c r="GC60" i="7"/>
  <c r="DP60" i="7"/>
  <c r="BC60" i="7"/>
  <c r="FY60" i="7"/>
  <c r="DL60" i="7"/>
  <c r="AY60" i="7"/>
  <c r="FU60" i="7"/>
  <c r="DH60" i="7"/>
  <c r="AS60" i="7"/>
  <c r="DD60" i="7"/>
  <c r="AA60" i="7"/>
  <c r="EJ60" i="7"/>
  <c r="FM60" i="7"/>
  <c r="CZ60" i="7"/>
  <c r="AM60" i="7"/>
  <c r="FI60" i="7"/>
  <c r="CV60" i="7"/>
  <c r="AI60" i="7"/>
  <c r="FE60" i="7"/>
  <c r="CR60" i="7"/>
  <c r="AC60" i="7"/>
  <c r="AR60" i="7"/>
  <c r="EM60" i="7"/>
  <c r="DV60" i="7"/>
  <c r="EW60" i="7"/>
  <c r="CJ60" i="7"/>
  <c r="W60" i="7"/>
  <c r="ES60" i="7"/>
  <c r="CF60" i="7"/>
  <c r="S60" i="7"/>
  <c r="EO60" i="7"/>
  <c r="CB60" i="7"/>
  <c r="FO60" i="7"/>
  <c r="CA60" i="7"/>
  <c r="GT60" i="7"/>
  <c r="EG60" i="7"/>
  <c r="BT60" i="7"/>
  <c r="GP60" i="7"/>
  <c r="EC60" i="7"/>
  <c r="BP60" i="7"/>
  <c r="GL60" i="7"/>
  <c r="DY60" i="7"/>
  <c r="BL60" i="7"/>
  <c r="GF60" i="7"/>
  <c r="DC60" i="7"/>
  <c r="O60" i="7"/>
  <c r="GD60" i="7"/>
  <c r="DQ60" i="7"/>
  <c r="BD60" i="7"/>
  <c r="FZ60" i="7"/>
  <c r="DM60" i="7"/>
  <c r="AZ60" i="7"/>
  <c r="FV60" i="7"/>
  <c r="DI60" i="7"/>
  <c r="AV60" i="7"/>
  <c r="DT60" i="7"/>
  <c r="AQ60" i="7"/>
  <c r="EL60" i="7"/>
  <c r="S24" i="7"/>
  <c r="Y24" i="7"/>
  <c r="T24" i="7"/>
  <c r="U24" i="7"/>
  <c r="P24" i="7"/>
  <c r="V24" i="7"/>
  <c r="Q24" i="7"/>
  <c r="W24" i="7"/>
  <c r="R24" i="7"/>
  <c r="X24" i="7"/>
  <c r="BU24" i="7"/>
  <c r="FM24" i="7"/>
  <c r="CH24" i="7"/>
  <c r="FZ24" i="7"/>
  <c r="CU24" i="7"/>
  <c r="GM24" i="7"/>
  <c r="DH24" i="7"/>
  <c r="AC24" i="7"/>
  <c r="DU24" i="7"/>
  <c r="AP24" i="7"/>
  <c r="EH24" i="7"/>
  <c r="CA24" i="7"/>
  <c r="FS24" i="7"/>
  <c r="CN24" i="7"/>
  <c r="GF24" i="7"/>
  <c r="DA24" i="7"/>
  <c r="GS24" i="7"/>
  <c r="DN24" i="7"/>
  <c r="AI24" i="7"/>
  <c r="EA24" i="7"/>
  <c r="AV24" i="7"/>
  <c r="EN24" i="7"/>
  <c r="CG24" i="7"/>
  <c r="FY24" i="7"/>
  <c r="CT24" i="7"/>
  <c r="GL24" i="7"/>
  <c r="DG24" i="7"/>
  <c r="AB24" i="7"/>
  <c r="DT24" i="7"/>
  <c r="AO24" i="7"/>
  <c r="EG24" i="7"/>
  <c r="BB24" i="7"/>
  <c r="ET24" i="7"/>
  <c r="CM24" i="7"/>
  <c r="GE24" i="7"/>
  <c r="CZ24" i="7"/>
  <c r="GR24" i="7"/>
  <c r="DM24" i="7"/>
  <c r="AH24" i="7"/>
  <c r="DZ24" i="7"/>
  <c r="AU24" i="7"/>
  <c r="EM24" i="7"/>
  <c r="BH24" i="7"/>
  <c r="EZ24" i="7"/>
  <c r="CS24" i="7"/>
  <c r="GK24" i="7"/>
  <c r="DF24" i="7"/>
  <c r="AA24" i="7"/>
  <c r="DS24" i="7"/>
  <c r="AN24" i="7"/>
  <c r="EF24" i="7"/>
  <c r="BA24" i="7"/>
  <c r="ES24" i="7"/>
  <c r="BN24" i="7"/>
  <c r="FF24" i="7"/>
  <c r="CY24" i="7"/>
  <c r="GQ24" i="7"/>
  <c r="DL24" i="7"/>
  <c r="AG24" i="7"/>
  <c r="DY24" i="7"/>
  <c r="AT24" i="7"/>
  <c r="EL24" i="7"/>
  <c r="BG24" i="7"/>
  <c r="EY24" i="7"/>
  <c r="BT24" i="7"/>
  <c r="FL24" i="7"/>
  <c r="DE24" i="7"/>
  <c r="Z24" i="7"/>
  <c r="DR24" i="7"/>
  <c r="AM24" i="7"/>
  <c r="EE24" i="7"/>
  <c r="AZ24" i="7"/>
  <c r="ER24" i="7"/>
  <c r="BM24" i="7"/>
  <c r="FE24" i="7"/>
  <c r="BZ24" i="7"/>
  <c r="FR24" i="7"/>
  <c r="DK24" i="7"/>
  <c r="AF24" i="7"/>
  <c r="DX24" i="7"/>
  <c r="AS24" i="7"/>
  <c r="EK24" i="7"/>
  <c r="BF24" i="7"/>
  <c r="EX24" i="7"/>
  <c r="BS24" i="7"/>
  <c r="FK24" i="7"/>
  <c r="CF24" i="7"/>
  <c r="FX24" i="7"/>
  <c r="DQ24" i="7"/>
  <c r="AL24" i="7"/>
  <c r="ED24" i="7"/>
  <c r="AY24" i="7"/>
  <c r="EQ24" i="7"/>
  <c r="BL24" i="7"/>
  <c r="FD24" i="7"/>
  <c r="BY24" i="7"/>
  <c r="FQ24" i="7"/>
  <c r="CL24" i="7"/>
  <c r="GD24" i="7"/>
  <c r="AE24" i="7"/>
  <c r="DW24" i="7"/>
  <c r="AR24" i="7"/>
  <c r="EJ24" i="7"/>
  <c r="BE24" i="7"/>
  <c r="EW24" i="7"/>
  <c r="BR24" i="7"/>
  <c r="FJ24" i="7"/>
  <c r="CE24" i="7"/>
  <c r="FW24" i="7"/>
  <c r="CR24" i="7"/>
  <c r="GJ24" i="7"/>
  <c r="O24" i="7"/>
  <c r="AK24" i="7"/>
  <c r="EC24" i="7"/>
  <c r="AX24" i="7"/>
  <c r="EP24" i="7"/>
  <c r="BK24" i="7"/>
  <c r="FC24" i="7"/>
  <c r="BX24" i="7"/>
  <c r="FP24" i="7"/>
  <c r="CK24" i="7"/>
  <c r="GC24" i="7"/>
  <c r="CX24" i="7"/>
  <c r="GP24" i="7"/>
  <c r="N24" i="7"/>
  <c r="AQ24" i="7"/>
  <c r="EI24" i="7"/>
  <c r="BD24" i="7"/>
  <c r="EV24" i="7"/>
  <c r="BQ24" i="7"/>
  <c r="FI24" i="7"/>
  <c r="CD24" i="7"/>
  <c r="FV24" i="7"/>
  <c r="CQ24" i="7"/>
  <c r="GI24" i="7"/>
  <c r="DD24" i="7"/>
  <c r="AW24" i="7"/>
  <c r="EO24" i="7"/>
  <c r="BJ24" i="7"/>
  <c r="FB24" i="7"/>
  <c r="BW24" i="7"/>
  <c r="FO24" i="7"/>
  <c r="CJ24" i="7"/>
  <c r="GB24" i="7"/>
  <c r="CW24" i="7"/>
  <c r="GO24" i="7"/>
  <c r="DJ24" i="7"/>
  <c r="BC24" i="7"/>
  <c r="EU24" i="7"/>
  <c r="BP24" i="7"/>
  <c r="FH24" i="7"/>
  <c r="CC24" i="7"/>
  <c r="FU24" i="7"/>
  <c r="CP24" i="7"/>
  <c r="GH24" i="7"/>
  <c r="DC24" i="7"/>
  <c r="GU24" i="7"/>
  <c r="DP24" i="7"/>
  <c r="BI24" i="7"/>
  <c r="FA24" i="7"/>
  <c r="BV24" i="7"/>
  <c r="FN24" i="7"/>
  <c r="CI24" i="7"/>
  <c r="GA24" i="7"/>
  <c r="CV24" i="7"/>
  <c r="GN24" i="7"/>
  <c r="DI24" i="7"/>
  <c r="AD24" i="7"/>
  <c r="DV24" i="7"/>
  <c r="BO24" i="7"/>
  <c r="FG24" i="7"/>
  <c r="CB24" i="7"/>
  <c r="FT24" i="7"/>
  <c r="CO24" i="7"/>
  <c r="GG24" i="7"/>
  <c r="DB24" i="7"/>
  <c r="GT24" i="7"/>
  <c r="DO24" i="7"/>
  <c r="AJ24" i="7"/>
  <c r="EB24" i="7"/>
  <c r="AD863" i="1"/>
  <c r="I64" i="7"/>
  <c r="I28" i="7"/>
  <c r="K28" i="7"/>
  <c r="N64" i="7"/>
  <c r="M64" i="7"/>
  <c r="L64" i="7"/>
  <c r="J64" i="7"/>
  <c r="K64" i="7"/>
  <c r="J28" i="7"/>
  <c r="L28" i="7"/>
  <c r="N28" i="7"/>
  <c r="M28" i="7"/>
  <c r="I38" i="7"/>
  <c r="I2" i="7"/>
  <c r="J38" i="7"/>
  <c r="K38" i="7"/>
  <c r="J2" i="7"/>
  <c r="K2" i="7"/>
  <c r="GI40" i="7"/>
  <c r="CC40" i="7"/>
  <c r="GU40" i="7"/>
  <c r="DV40" i="7"/>
  <c r="BI40" i="7"/>
  <c r="GQ40" i="7"/>
  <c r="DB40" i="7"/>
  <c r="Y40" i="7"/>
  <c r="DO40" i="7"/>
  <c r="AL40" i="7"/>
  <c r="EB40" i="7"/>
  <c r="ER40" i="7"/>
  <c r="FS40" i="7"/>
  <c r="BM40" i="7"/>
  <c r="GA40" i="7"/>
  <c r="DF40" i="7"/>
  <c r="AS40" i="7"/>
  <c r="FW40" i="7"/>
  <c r="CL40" i="7"/>
  <c r="GN40" i="7"/>
  <c r="CY40" i="7"/>
  <c r="V40" i="7"/>
  <c r="DL40" i="7"/>
  <c r="EA40" i="7"/>
  <c r="FC40" i="7"/>
  <c r="AW40" i="7"/>
  <c r="FG40" i="7"/>
  <c r="CP40" i="7"/>
  <c r="AC40" i="7"/>
  <c r="FA40" i="7"/>
  <c r="BV40" i="7"/>
  <c r="FQ40" i="7"/>
  <c r="CI40" i="7"/>
  <c r="GJ40" i="7"/>
  <c r="CV40" i="7"/>
  <c r="DK40" i="7"/>
  <c r="GH40" i="7"/>
  <c r="AG40" i="7"/>
  <c r="EN40" i="7"/>
  <c r="BZ40" i="7"/>
  <c r="EI40" i="7"/>
  <c r="BF40" i="7"/>
  <c r="EW40" i="7"/>
  <c r="BS40" i="7"/>
  <c r="FM40" i="7"/>
  <c r="CF40" i="7"/>
  <c r="CU40" i="7"/>
  <c r="FR40" i="7"/>
  <c r="Q40" i="7"/>
  <c r="DW40" i="7"/>
  <c r="BJ40" i="7"/>
  <c r="GR40" i="7"/>
  <c r="DS40" i="7"/>
  <c r="AP40" i="7"/>
  <c r="EF40" i="7"/>
  <c r="BC40" i="7"/>
  <c r="ET40" i="7"/>
  <c r="BP40" i="7"/>
  <c r="CE40" i="7"/>
  <c r="FB40" i="7"/>
  <c r="GB40" i="7"/>
  <c r="DG40" i="7"/>
  <c r="AT40" i="7"/>
  <c r="FX40" i="7"/>
  <c r="DC40" i="7"/>
  <c r="Z40" i="7"/>
  <c r="DP40" i="7"/>
  <c r="AM40" i="7"/>
  <c r="EC40" i="7"/>
  <c r="AZ40" i="7"/>
  <c r="BO40" i="7"/>
  <c r="EL40" i="7"/>
  <c r="FH40" i="7"/>
  <c r="CQ40" i="7"/>
  <c r="AD40" i="7"/>
  <c r="FD40" i="7"/>
  <c r="CM40" i="7"/>
  <c r="GO40" i="7"/>
  <c r="CZ40" i="7"/>
  <c r="W40" i="7"/>
  <c r="DM40" i="7"/>
  <c r="AJ40" i="7"/>
  <c r="AY40" i="7"/>
  <c r="GF40" i="7"/>
  <c r="EO40" i="7"/>
  <c r="CA40" i="7"/>
  <c r="N40" i="7"/>
  <c r="EJ40" i="7"/>
  <c r="BW40" i="7"/>
  <c r="FT40" i="7"/>
  <c r="CJ40" i="7"/>
  <c r="GL40" i="7"/>
  <c r="CW40" i="7"/>
  <c r="T40" i="7"/>
  <c r="AI40" i="7"/>
  <c r="FP40" i="7"/>
  <c r="DX40" i="7"/>
  <c r="BK40" i="7"/>
  <c r="GS40" i="7"/>
  <c r="DT40" i="7"/>
  <c r="BG40" i="7"/>
  <c r="EX40" i="7"/>
  <c r="BT40" i="7"/>
  <c r="FN40" i="7"/>
  <c r="CG40" i="7"/>
  <c r="GD40" i="7"/>
  <c r="S40" i="7"/>
  <c r="EZ40" i="7"/>
  <c r="DH40" i="7"/>
  <c r="AU40" i="7"/>
  <c r="FY40" i="7"/>
  <c r="DD40" i="7"/>
  <c r="AQ40" i="7"/>
  <c r="EG40" i="7"/>
  <c r="BD40" i="7"/>
  <c r="EU40" i="7"/>
  <c r="BQ40" i="7"/>
  <c r="EQ40" i="7"/>
  <c r="FJ40" i="7"/>
  <c r="GC40" i="7"/>
  <c r="CR40" i="7"/>
  <c r="AE40" i="7"/>
  <c r="FE40" i="7"/>
  <c r="CN40" i="7"/>
  <c r="AA40" i="7"/>
  <c r="DQ40" i="7"/>
  <c r="AN40" i="7"/>
  <c r="ED40" i="7"/>
  <c r="BA40" i="7"/>
  <c r="DJ40" i="7"/>
  <c r="DZ40" i="7"/>
  <c r="FI40" i="7"/>
  <c r="CB40" i="7"/>
  <c r="O40" i="7"/>
  <c r="EK40" i="7"/>
  <c r="BX40" i="7"/>
  <c r="GP40" i="7"/>
  <c r="DA40" i="7"/>
  <c r="X40" i="7"/>
  <c r="DN40" i="7"/>
  <c r="AK40" i="7"/>
  <c r="CD40" i="7"/>
  <c r="CT40" i="7"/>
  <c r="EP40" i="7"/>
  <c r="BL40" i="7"/>
  <c r="GT40" i="7"/>
  <c r="DU40" i="7"/>
  <c r="BH40" i="7"/>
  <c r="FV40" i="7"/>
  <c r="CK40" i="7"/>
  <c r="GM40" i="7"/>
  <c r="CX40" i="7"/>
  <c r="U40" i="7"/>
  <c r="AX40" i="7"/>
  <c r="BN40" i="7"/>
  <c r="DY40" i="7"/>
  <c r="AV40" i="7"/>
  <c r="FZ40" i="7"/>
  <c r="DE40" i="7"/>
  <c r="AR40" i="7"/>
  <c r="EY40" i="7"/>
  <c r="BU40" i="7"/>
  <c r="FO40" i="7"/>
  <c r="CH40" i="7"/>
  <c r="GG40" i="7"/>
  <c r="R40" i="7"/>
  <c r="AH40" i="7"/>
  <c r="GK40" i="7"/>
  <c r="DI40" i="7"/>
  <c r="AF40" i="7"/>
  <c r="FF40" i="7"/>
  <c r="CO40" i="7"/>
  <c r="AB40" i="7"/>
  <c r="EH40" i="7"/>
  <c r="BE40" i="7"/>
  <c r="EV40" i="7"/>
  <c r="BR40" i="7"/>
  <c r="FL40" i="7"/>
  <c r="GE40" i="7"/>
  <c r="FU40" i="7"/>
  <c r="CS40" i="7"/>
  <c r="P40" i="7"/>
  <c r="EM40" i="7"/>
  <c r="BY40" i="7"/>
  <c r="DR40" i="7"/>
  <c r="AO40" i="7"/>
  <c r="EE40" i="7"/>
  <c r="BB40" i="7"/>
  <c r="ES40" i="7"/>
  <c r="FK40" i="7"/>
  <c r="AV3" i="7"/>
  <c r="EN3" i="7"/>
  <c r="DC3" i="7"/>
  <c r="V3" i="7"/>
  <c r="EG3" i="7"/>
  <c r="AZ3" i="7"/>
  <c r="FJ3" i="7"/>
  <c r="CD3" i="7"/>
  <c r="GI3" i="7"/>
  <c r="DH3" i="7"/>
  <c r="AA3" i="7"/>
  <c r="EL3" i="7"/>
  <c r="BB3" i="7"/>
  <c r="ET3" i="7"/>
  <c r="DK3" i="7"/>
  <c r="AC3" i="7"/>
  <c r="EO3" i="7"/>
  <c r="BG3" i="7"/>
  <c r="FP3" i="7"/>
  <c r="CK3" i="7"/>
  <c r="GO3" i="7"/>
  <c r="DO3" i="7"/>
  <c r="AH3" i="7"/>
  <c r="ES3" i="7"/>
  <c r="BH3" i="7"/>
  <c r="EZ3" i="7"/>
  <c r="DR3" i="7"/>
  <c r="AK3" i="7"/>
  <c r="EV3" i="7"/>
  <c r="BO3" i="7"/>
  <c r="FV3" i="7"/>
  <c r="CS3" i="7"/>
  <c r="GU3" i="7"/>
  <c r="DW3" i="7"/>
  <c r="AO3" i="7"/>
  <c r="FA3" i="7"/>
  <c r="BN3" i="7"/>
  <c r="N3" i="7"/>
  <c r="DY3" i="7"/>
  <c r="AR3" i="7"/>
  <c r="FC3" i="7"/>
  <c r="BV3" i="7"/>
  <c r="GB3" i="7"/>
  <c r="CZ3" i="7"/>
  <c r="S3" i="7"/>
  <c r="ED3" i="7"/>
  <c r="AW3" i="7"/>
  <c r="FG3" i="7"/>
  <c r="BT3" i="7"/>
  <c r="U3" i="7"/>
  <c r="EF3" i="7"/>
  <c r="AY3" i="7"/>
  <c r="FI3" i="7"/>
  <c r="CC3" i="7"/>
  <c r="GH3" i="7"/>
  <c r="DG3" i="7"/>
  <c r="Z3" i="7"/>
  <c r="EK3" i="7"/>
  <c r="BD3" i="7"/>
  <c r="FM3" i="7"/>
  <c r="BZ3" i="7"/>
  <c r="AB3" i="7"/>
  <c r="EM3" i="7"/>
  <c r="BF3" i="7"/>
  <c r="FO3" i="7"/>
  <c r="CJ3" i="7"/>
  <c r="GN3" i="7"/>
  <c r="DN3" i="7"/>
  <c r="AG3" i="7"/>
  <c r="ER3" i="7"/>
  <c r="BK3" i="7"/>
  <c r="FS3" i="7"/>
  <c r="CF3" i="7"/>
  <c r="AI3" i="7"/>
  <c r="EU3" i="7"/>
  <c r="BM3" i="7"/>
  <c r="FU3" i="7"/>
  <c r="CQ3" i="7"/>
  <c r="GT3" i="7"/>
  <c r="DU3" i="7"/>
  <c r="AN3" i="7"/>
  <c r="EY3" i="7"/>
  <c r="BR3" i="7"/>
  <c r="FY3" i="7"/>
  <c r="CL3" i="7"/>
  <c r="AQ3" i="7"/>
  <c r="FB3" i="7"/>
  <c r="BU3" i="7"/>
  <c r="GA3" i="7"/>
  <c r="CY3" i="7"/>
  <c r="Q3" i="7"/>
  <c r="EC3" i="7"/>
  <c r="AU3" i="7"/>
  <c r="FF3" i="7"/>
  <c r="BY3" i="7"/>
  <c r="GE3" i="7"/>
  <c r="CR3" i="7"/>
  <c r="AX3" i="7"/>
  <c r="FH3" i="7"/>
  <c r="CB3" i="7"/>
  <c r="GG3" i="7"/>
  <c r="DF3" i="7"/>
  <c r="Y3" i="7"/>
  <c r="EJ3" i="7"/>
  <c r="BC3" i="7"/>
  <c r="FL3" i="7"/>
  <c r="CG3" i="7"/>
  <c r="GK3" i="7"/>
  <c r="CX3" i="7"/>
  <c r="BE3" i="7"/>
  <c r="FN3" i="7"/>
  <c r="CI3" i="7"/>
  <c r="GM3" i="7"/>
  <c r="DM3" i="7"/>
  <c r="AF3" i="7"/>
  <c r="EQ3" i="7"/>
  <c r="BJ3" i="7"/>
  <c r="FR3" i="7"/>
  <c r="CN3" i="7"/>
  <c r="GQ3" i="7"/>
  <c r="DD3" i="7"/>
  <c r="BL3" i="7"/>
  <c r="FT3" i="7"/>
  <c r="CP3" i="7"/>
  <c r="GS3" i="7"/>
  <c r="DT3" i="7"/>
  <c r="AM3" i="7"/>
  <c r="EX3" i="7"/>
  <c r="BQ3" i="7"/>
  <c r="FX3" i="7"/>
  <c r="CU3" i="7"/>
  <c r="R3" i="7"/>
  <c r="DJ3" i="7"/>
  <c r="BS3" i="7"/>
  <c r="FZ3" i="7"/>
  <c r="CW3" i="7"/>
  <c r="P3" i="7"/>
  <c r="EA3" i="7"/>
  <c r="AT3" i="7"/>
  <c r="FE3" i="7"/>
  <c r="BX3" i="7"/>
  <c r="GD3" i="7"/>
  <c r="DB3" i="7"/>
  <c r="X3" i="7"/>
  <c r="DP3" i="7"/>
  <c r="CA3" i="7"/>
  <c r="GF3" i="7"/>
  <c r="DE3" i="7"/>
  <c r="W3" i="7"/>
  <c r="EI3" i="7"/>
  <c r="BA3" i="7"/>
  <c r="FK3" i="7"/>
  <c r="CE3" i="7"/>
  <c r="GJ3" i="7"/>
  <c r="DI3" i="7"/>
  <c r="AD3" i="7"/>
  <c r="DV3" i="7"/>
  <c r="CH3" i="7"/>
  <c r="GL3" i="7"/>
  <c r="DL3" i="7"/>
  <c r="AE3" i="7"/>
  <c r="EP3" i="7"/>
  <c r="BI3" i="7"/>
  <c r="FQ3" i="7"/>
  <c r="CM3" i="7"/>
  <c r="GP3" i="7"/>
  <c r="DQ3" i="7"/>
  <c r="AJ3" i="7"/>
  <c r="EB3" i="7"/>
  <c r="CO3" i="7"/>
  <c r="GR3" i="7"/>
  <c r="DS3" i="7"/>
  <c r="AL3" i="7"/>
  <c r="EW3" i="7"/>
  <c r="BP3" i="7"/>
  <c r="FW3" i="7"/>
  <c r="CT3" i="7"/>
  <c r="DX3" i="7"/>
  <c r="AP3" i="7"/>
  <c r="EH3" i="7"/>
  <c r="CV3" i="7"/>
  <c r="O3" i="7"/>
  <c r="DZ3" i="7"/>
  <c r="AS3" i="7"/>
  <c r="FD3" i="7"/>
  <c r="BW3" i="7"/>
  <c r="GC3" i="7"/>
  <c r="DA3" i="7"/>
  <c r="T3" i="7"/>
  <c r="EE3" i="7"/>
  <c r="I65" i="7"/>
  <c r="I29" i="7"/>
  <c r="AB65" i="7"/>
  <c r="GC65" i="7"/>
  <c r="DP65" i="7"/>
  <c r="BC65" i="7"/>
  <c r="FX65" i="7"/>
  <c r="FU65" i="7"/>
  <c r="DH65" i="7"/>
  <c r="AS65" i="7"/>
  <c r="DW65" i="7"/>
  <c r="DK65" i="7"/>
  <c r="EM65" i="7"/>
  <c r="BK65" i="7"/>
  <c r="L65" i="7"/>
  <c r="FM65" i="7"/>
  <c r="CZ65" i="7"/>
  <c r="AM65" i="7"/>
  <c r="FH65" i="7"/>
  <c r="FE65" i="7"/>
  <c r="CR65" i="7"/>
  <c r="AC65" i="7"/>
  <c r="CE65" i="7"/>
  <c r="BW65" i="7"/>
  <c r="CU65" i="7"/>
  <c r="BJ65" i="7"/>
  <c r="GT65" i="7"/>
  <c r="EW65" i="7"/>
  <c r="CJ65" i="7"/>
  <c r="W65" i="7"/>
  <c r="ER65" i="7"/>
  <c r="EO65" i="7"/>
  <c r="CB65" i="7"/>
  <c r="M65" i="7"/>
  <c r="AQ65" i="7"/>
  <c r="AE65" i="7"/>
  <c r="BG65" i="7"/>
  <c r="GU65" i="7"/>
  <c r="GD65" i="7"/>
  <c r="EG65" i="7"/>
  <c r="BT65" i="7"/>
  <c r="GP65" i="7"/>
  <c r="EB65" i="7"/>
  <c r="DY65" i="7"/>
  <c r="BL65" i="7"/>
  <c r="GE65" i="7"/>
  <c r="FR65" i="7"/>
  <c r="FC65" i="7"/>
  <c r="O65" i="7"/>
  <c r="GO65" i="7"/>
  <c r="FN65" i="7"/>
  <c r="DQ65" i="7"/>
  <c r="BD65" i="7"/>
  <c r="FZ65" i="7"/>
  <c r="DL65" i="7"/>
  <c r="DI65" i="7"/>
  <c r="AV65" i="7"/>
  <c r="EC65" i="7"/>
  <c r="DV65" i="7"/>
  <c r="DJ65" i="7"/>
  <c r="GI65" i="7"/>
  <c r="BA65" i="7"/>
  <c r="EX65" i="7"/>
  <c r="DA65" i="7"/>
  <c r="AN65" i="7"/>
  <c r="FJ65" i="7"/>
  <c r="CV65" i="7"/>
  <c r="CS65" i="7"/>
  <c r="AF65" i="7"/>
  <c r="CP65" i="7"/>
  <c r="CD65" i="7"/>
  <c r="BQ65" i="7"/>
  <c r="N65" i="7"/>
  <c r="AY65" i="7"/>
  <c r="GF65" i="7"/>
  <c r="EH65" i="7"/>
  <c r="CK65" i="7"/>
  <c r="X65" i="7"/>
  <c r="ET65" i="7"/>
  <c r="CF65" i="7"/>
  <c r="CC65" i="7"/>
  <c r="P65" i="7"/>
  <c r="AX65" i="7"/>
  <c r="AK65" i="7"/>
  <c r="AD65" i="7"/>
  <c r="GH65" i="7"/>
  <c r="S65" i="7"/>
  <c r="FP65" i="7"/>
  <c r="DR65" i="7"/>
  <c r="BU65" i="7"/>
  <c r="GQ65" i="7"/>
  <c r="ED65" i="7"/>
  <c r="BP65" i="7"/>
  <c r="BM65" i="7"/>
  <c r="GG65" i="7"/>
  <c r="FY65" i="7"/>
  <c r="FO65" i="7"/>
  <c r="FB65" i="7"/>
  <c r="K65" i="7"/>
  <c r="R65" i="7"/>
  <c r="EZ65" i="7"/>
  <c r="DB65" i="7"/>
  <c r="BE65" i="7"/>
  <c r="GA65" i="7"/>
  <c r="DN65" i="7"/>
  <c r="AZ65" i="7"/>
  <c r="AW65" i="7"/>
  <c r="FQ65" i="7"/>
  <c r="EA65" i="7"/>
  <c r="DS65" i="7"/>
  <c r="DG65" i="7"/>
  <c r="ES65" i="7"/>
  <c r="EJ65" i="7"/>
  <c r="CL65" i="7"/>
  <c r="AO65" i="7"/>
  <c r="FK65" i="7"/>
  <c r="CX65" i="7"/>
  <c r="AJ65" i="7"/>
  <c r="AG65" i="7"/>
  <c r="FA65" i="7"/>
  <c r="CM65" i="7"/>
  <c r="CA65" i="7"/>
  <c r="BO65" i="7"/>
  <c r="EQ65" i="7"/>
  <c r="DT65" i="7"/>
  <c r="BV65" i="7"/>
  <c r="Y65" i="7"/>
  <c r="EU65" i="7"/>
  <c r="CH65" i="7"/>
  <c r="T65" i="7"/>
  <c r="Q65" i="7"/>
  <c r="EK65" i="7"/>
  <c r="AU65" i="7"/>
  <c r="AI65" i="7"/>
  <c r="AA65" i="7"/>
  <c r="EL65" i="7"/>
  <c r="DD65" i="7"/>
  <c r="BF65" i="7"/>
  <c r="GR65" i="7"/>
  <c r="EE65" i="7"/>
  <c r="BR65" i="7"/>
  <c r="GL65" i="7"/>
  <c r="GJ65" i="7"/>
  <c r="DU65" i="7"/>
  <c r="FW65" i="7"/>
  <c r="FI65" i="7"/>
  <c r="EY65" i="7"/>
  <c r="EI65" i="7"/>
  <c r="CN65" i="7"/>
  <c r="AP65" i="7"/>
  <c r="GB65" i="7"/>
  <c r="DO65" i="7"/>
  <c r="BB65" i="7"/>
  <c r="FV65" i="7"/>
  <c r="FT65" i="7"/>
  <c r="DE65" i="7"/>
  <c r="DZ65" i="7"/>
  <c r="DM65" i="7"/>
  <c r="DF65" i="7"/>
  <c r="DC65" i="7"/>
  <c r="BX65" i="7"/>
  <c r="Z65" i="7"/>
  <c r="FL65" i="7"/>
  <c r="CY65" i="7"/>
  <c r="AL65" i="7"/>
  <c r="FF65" i="7"/>
  <c r="FD65" i="7"/>
  <c r="CO65" i="7"/>
  <c r="CG65" i="7"/>
  <c r="BZ65" i="7"/>
  <c r="BN65" i="7"/>
  <c r="CW65" i="7"/>
  <c r="BH65" i="7"/>
  <c r="J65" i="7"/>
  <c r="EV65" i="7"/>
  <c r="CI65" i="7"/>
  <c r="V65" i="7"/>
  <c r="EP65" i="7"/>
  <c r="EN65" i="7"/>
  <c r="BY65" i="7"/>
  <c r="AT65" i="7"/>
  <c r="AH65" i="7"/>
  <c r="U65" i="7"/>
  <c r="CT65" i="7"/>
  <c r="AR65" i="7"/>
  <c r="GS65" i="7"/>
  <c r="EF65" i="7"/>
  <c r="BS65" i="7"/>
  <c r="GN65" i="7"/>
  <c r="GK65" i="7"/>
  <c r="DX65" i="7"/>
  <c r="BI65" i="7"/>
  <c r="FS65" i="7"/>
  <c r="FG65" i="7"/>
  <c r="GM65" i="7"/>
  <c r="CQ65" i="7"/>
  <c r="J29" i="7"/>
  <c r="DF29" i="7"/>
  <c r="K29" i="7"/>
  <c r="DG29" i="7"/>
  <c r="L29" i="7"/>
  <c r="DH29" i="7"/>
  <c r="M29" i="7"/>
  <c r="DI29" i="7"/>
  <c r="N29" i="7"/>
  <c r="DJ29" i="7"/>
  <c r="BO29" i="7"/>
  <c r="DQ29" i="7"/>
  <c r="Q29" i="7"/>
  <c r="DL29" i="7"/>
  <c r="R29" i="7"/>
  <c r="DM29" i="7"/>
  <c r="S29" i="7"/>
  <c r="DN29" i="7"/>
  <c r="T29" i="7"/>
  <c r="DO29" i="7"/>
  <c r="V29" i="7"/>
  <c r="DP29" i="7"/>
  <c r="CY29" i="7"/>
  <c r="FA29" i="7"/>
  <c r="X29" i="7"/>
  <c r="DR29" i="7"/>
  <c r="Y29" i="7"/>
  <c r="DS29" i="7"/>
  <c r="Z29" i="7"/>
  <c r="DT29" i="7"/>
  <c r="AB29" i="7"/>
  <c r="DU29" i="7"/>
  <c r="AC29" i="7"/>
  <c r="DV29" i="7"/>
  <c r="EI29" i="7"/>
  <c r="GK29" i="7"/>
  <c r="AE29" i="7"/>
  <c r="DX29" i="7"/>
  <c r="AF29" i="7"/>
  <c r="DY29" i="7"/>
  <c r="AH29" i="7"/>
  <c r="DZ29" i="7"/>
  <c r="AI29" i="7"/>
  <c r="EA29" i="7"/>
  <c r="AJ29" i="7"/>
  <c r="EB29" i="7"/>
  <c r="FS29" i="7"/>
  <c r="P29" i="7"/>
  <c r="AL29" i="7"/>
  <c r="ED29" i="7"/>
  <c r="AM29" i="7"/>
  <c r="EE29" i="7"/>
  <c r="AN29" i="7"/>
  <c r="EF29" i="7"/>
  <c r="AO29" i="7"/>
  <c r="EG29" i="7"/>
  <c r="AP29" i="7"/>
  <c r="EH29" i="7"/>
  <c r="AK29" i="7"/>
  <c r="BC29" i="7"/>
  <c r="AR29" i="7"/>
  <c r="EJ29" i="7"/>
  <c r="AS29" i="7"/>
  <c r="EK29" i="7"/>
  <c r="AT29" i="7"/>
  <c r="EL29" i="7"/>
  <c r="AU29" i="7"/>
  <c r="EM29" i="7"/>
  <c r="AV29" i="7"/>
  <c r="EN29" i="7"/>
  <c r="BU29" i="7"/>
  <c r="CM29" i="7"/>
  <c r="AX29" i="7"/>
  <c r="EP29" i="7"/>
  <c r="AY29" i="7"/>
  <c r="EQ29" i="7"/>
  <c r="AZ29" i="7"/>
  <c r="ER29" i="7"/>
  <c r="BA29" i="7"/>
  <c r="ES29" i="7"/>
  <c r="BB29" i="7"/>
  <c r="ET29" i="7"/>
  <c r="DE29" i="7"/>
  <c r="DW29" i="7"/>
  <c r="BD29" i="7"/>
  <c r="EV29" i="7"/>
  <c r="BE29" i="7"/>
  <c r="EW29" i="7"/>
  <c r="BF29" i="7"/>
  <c r="EX29" i="7"/>
  <c r="BG29" i="7"/>
  <c r="EY29" i="7"/>
  <c r="BH29" i="7"/>
  <c r="EZ29" i="7"/>
  <c r="EO29" i="7"/>
  <c r="FG29" i="7"/>
  <c r="BJ29" i="7"/>
  <c r="FB29" i="7"/>
  <c r="BK29" i="7"/>
  <c r="FC29" i="7"/>
  <c r="BL29" i="7"/>
  <c r="FD29" i="7"/>
  <c r="BM29" i="7"/>
  <c r="FE29" i="7"/>
  <c r="BN29" i="7"/>
  <c r="FF29" i="7"/>
  <c r="FY29" i="7"/>
  <c r="GQ29" i="7"/>
  <c r="BP29" i="7"/>
  <c r="FH29" i="7"/>
  <c r="BQ29" i="7"/>
  <c r="FI29" i="7"/>
  <c r="BR29" i="7"/>
  <c r="FJ29" i="7"/>
  <c r="BS29" i="7"/>
  <c r="FK29" i="7"/>
  <c r="BT29" i="7"/>
  <c r="FL29" i="7"/>
  <c r="AQ29" i="7"/>
  <c r="EC29" i="7"/>
  <c r="BV29" i="7"/>
  <c r="FN29" i="7"/>
  <c r="BW29" i="7"/>
  <c r="FO29" i="7"/>
  <c r="BX29" i="7"/>
  <c r="FP29" i="7"/>
  <c r="BY29" i="7"/>
  <c r="FQ29" i="7"/>
  <c r="BZ29" i="7"/>
  <c r="FR29" i="7"/>
  <c r="CA29" i="7"/>
  <c r="FM29" i="7"/>
  <c r="CB29" i="7"/>
  <c r="FT29" i="7"/>
  <c r="CC29" i="7"/>
  <c r="FU29" i="7"/>
  <c r="CD29" i="7"/>
  <c r="FV29" i="7"/>
  <c r="CE29" i="7"/>
  <c r="FW29" i="7"/>
  <c r="CF29" i="7"/>
  <c r="FX29" i="7"/>
  <c r="DK29" i="7"/>
  <c r="W29" i="7"/>
  <c r="O29" i="7"/>
  <c r="CH29" i="7"/>
  <c r="FZ29" i="7"/>
  <c r="CI29" i="7"/>
  <c r="GA29" i="7"/>
  <c r="CJ29" i="7"/>
  <c r="GB29" i="7"/>
  <c r="CK29" i="7"/>
  <c r="GC29" i="7"/>
  <c r="CL29" i="7"/>
  <c r="GD29" i="7"/>
  <c r="EU29" i="7"/>
  <c r="CS29" i="7"/>
  <c r="U29" i="7"/>
  <c r="CN29" i="7"/>
  <c r="GF29" i="7"/>
  <c r="CO29" i="7"/>
  <c r="GG29" i="7"/>
  <c r="CP29" i="7"/>
  <c r="GH29" i="7"/>
  <c r="CQ29" i="7"/>
  <c r="GI29" i="7"/>
  <c r="CR29" i="7"/>
  <c r="GJ29" i="7"/>
  <c r="GE29" i="7"/>
  <c r="BI29" i="7"/>
  <c r="AA29" i="7"/>
  <c r="CT29" i="7"/>
  <c r="GL29" i="7"/>
  <c r="CU29" i="7"/>
  <c r="GM29" i="7"/>
  <c r="CV29" i="7"/>
  <c r="GN29" i="7"/>
  <c r="CW29" i="7"/>
  <c r="GO29" i="7"/>
  <c r="CX29" i="7"/>
  <c r="GP29" i="7"/>
  <c r="AW29" i="7"/>
  <c r="AG29" i="7"/>
  <c r="CZ29" i="7"/>
  <c r="GR29" i="7"/>
  <c r="DA29" i="7"/>
  <c r="GS29" i="7"/>
  <c r="DB29" i="7"/>
  <c r="GT29" i="7"/>
  <c r="DC29" i="7"/>
  <c r="GU29" i="7"/>
  <c r="DD29" i="7"/>
  <c r="AD29" i="7"/>
  <c r="CG29" i="7"/>
  <c r="J63" i="7"/>
  <c r="I63" i="7"/>
  <c r="I27" i="7"/>
  <c r="J27" i="7"/>
  <c r="FV63" i="7"/>
  <c r="DI63" i="7"/>
  <c r="AV63" i="7"/>
  <c r="FR63" i="7"/>
  <c r="DD63" i="7"/>
  <c r="GB63" i="7"/>
  <c r="DM63" i="7"/>
  <c r="L63" i="7"/>
  <c r="BY63" i="7"/>
  <c r="AI63" i="7"/>
  <c r="DB63" i="7"/>
  <c r="ET63" i="7"/>
  <c r="FF63" i="7"/>
  <c r="CS63" i="7"/>
  <c r="AF63" i="7"/>
  <c r="FB63" i="7"/>
  <c r="CN63" i="7"/>
  <c r="FL63" i="7"/>
  <c r="CW63" i="7"/>
  <c r="FO63" i="7"/>
  <c r="AP63" i="7"/>
  <c r="GP63" i="7"/>
  <c r="CY63" i="7"/>
  <c r="EQ63" i="7"/>
  <c r="EP63" i="7"/>
  <c r="CC63" i="7"/>
  <c r="P63" i="7"/>
  <c r="EL63" i="7"/>
  <c r="BX63" i="7"/>
  <c r="EV63" i="7"/>
  <c r="CG63" i="7"/>
  <c r="EA63" i="7"/>
  <c r="GU63" i="7"/>
  <c r="EX63" i="7"/>
  <c r="CU63" i="7"/>
  <c r="EI63" i="7"/>
  <c r="GN63" i="7"/>
  <c r="DZ63" i="7"/>
  <c r="BM63" i="7"/>
  <c r="GI63" i="7"/>
  <c r="DV63" i="7"/>
  <c r="GS63" i="7"/>
  <c r="EF63" i="7"/>
  <c r="BQ63" i="7"/>
  <c r="CI63" i="7"/>
  <c r="FG63" i="7"/>
  <c r="DE63" i="7"/>
  <c r="CO63" i="7"/>
  <c r="EH63" i="7"/>
  <c r="FX63" i="7"/>
  <c r="DJ63" i="7"/>
  <c r="AW63" i="7"/>
  <c r="FS63" i="7"/>
  <c r="DF63" i="7"/>
  <c r="GC63" i="7"/>
  <c r="DP63" i="7"/>
  <c r="BA63" i="7"/>
  <c r="AS63" i="7"/>
  <c r="DO63" i="7"/>
  <c r="BR63" i="7"/>
  <c r="BI63" i="7"/>
  <c r="FH63" i="7"/>
  <c r="CT63" i="7"/>
  <c r="AG63" i="7"/>
  <c r="FC63" i="7"/>
  <c r="CP63" i="7"/>
  <c r="FM63" i="7"/>
  <c r="CZ63" i="7"/>
  <c r="AK63" i="7"/>
  <c r="K63" i="7"/>
  <c r="BW63" i="7"/>
  <c r="AC63" i="7"/>
  <c r="BH63" i="7"/>
  <c r="ER63" i="7"/>
  <c r="CD63" i="7"/>
  <c r="Q63" i="7"/>
  <c r="EM63" i="7"/>
  <c r="BZ63" i="7"/>
  <c r="EW63" i="7"/>
  <c r="CJ63" i="7"/>
  <c r="U63" i="7"/>
  <c r="FN63" i="7"/>
  <c r="AM63" i="7"/>
  <c r="GM63" i="7"/>
  <c r="BF63" i="7"/>
  <c r="EB63" i="7"/>
  <c r="BN63" i="7"/>
  <c r="GJ63" i="7"/>
  <c r="DW63" i="7"/>
  <c r="BJ63" i="7"/>
  <c r="EG63" i="7"/>
  <c r="BT63" i="7"/>
  <c r="FW63" i="7"/>
  <c r="DU63" i="7"/>
  <c r="GT63" i="7"/>
  <c r="EU63" i="7"/>
  <c r="BC63" i="7"/>
  <c r="DL63" i="7"/>
  <c r="AX63" i="7"/>
  <c r="FT63" i="7"/>
  <c r="DG63" i="7"/>
  <c r="AT63" i="7"/>
  <c r="DQ63" i="7"/>
  <c r="BD63" i="7"/>
  <c r="EE63" i="7"/>
  <c r="CH63" i="7"/>
  <c r="FA63" i="7"/>
  <c r="DC63" i="7"/>
  <c r="GG63" i="7"/>
  <c r="CV63" i="7"/>
  <c r="AH63" i="7"/>
  <c r="FD63" i="7"/>
  <c r="CQ63" i="7"/>
  <c r="AD63" i="7"/>
  <c r="DA63" i="7"/>
  <c r="AN63" i="7"/>
  <c r="CM63" i="7"/>
  <c r="AR63" i="7"/>
  <c r="DN63" i="7"/>
  <c r="BO63" i="7"/>
  <c r="AA63" i="7"/>
  <c r="CF63" i="7"/>
  <c r="R63" i="7"/>
  <c r="EN63" i="7"/>
  <c r="CA63" i="7"/>
  <c r="N63" i="7"/>
  <c r="CK63" i="7"/>
  <c r="X63" i="7"/>
  <c r="BB63" i="7"/>
  <c r="FK63" i="7"/>
  <c r="BV63" i="7"/>
  <c r="AB63" i="7"/>
  <c r="GE63" i="7"/>
  <c r="BP63" i="7"/>
  <c r="GK63" i="7"/>
  <c r="DX63" i="7"/>
  <c r="BK63" i="7"/>
  <c r="GF63" i="7"/>
  <c r="BU63" i="7"/>
  <c r="GO63" i="7"/>
  <c r="M63" i="7"/>
  <c r="DS63" i="7"/>
  <c r="AL63" i="7"/>
  <c r="GD63" i="7"/>
  <c r="Z63" i="7"/>
  <c r="AZ63" i="7"/>
  <c r="FU63" i="7"/>
  <c r="DH63" i="7"/>
  <c r="AU63" i="7"/>
  <c r="FP63" i="7"/>
  <c r="BE63" i="7"/>
  <c r="FY63" i="7"/>
  <c r="FQ63" i="7"/>
  <c r="CE63" i="7"/>
  <c r="GQ63" i="7"/>
  <c r="EK63" i="7"/>
  <c r="GA63" i="7"/>
  <c r="AJ63" i="7"/>
  <c r="FE63" i="7"/>
  <c r="CR63" i="7"/>
  <c r="AE63" i="7"/>
  <c r="EZ63" i="7"/>
  <c r="AO63" i="7"/>
  <c r="FI63" i="7"/>
  <c r="ED63" i="7"/>
  <c r="AQ63" i="7"/>
  <c r="EY63" i="7"/>
  <c r="CX63" i="7"/>
  <c r="V63" i="7"/>
  <c r="GL63" i="7"/>
  <c r="DY63" i="7"/>
  <c r="BL63" i="7"/>
  <c r="GH63" i="7"/>
  <c r="DT63" i="7"/>
  <c r="GR63" i="7"/>
  <c r="EC63" i="7"/>
  <c r="AY63" i="7"/>
  <c r="DR63" i="7"/>
  <c r="BS63" i="7"/>
  <c r="W63" i="7"/>
  <c r="S63" i="7"/>
  <c r="FZ63" i="7"/>
  <c r="T63" i="7"/>
  <c r="EO63" i="7"/>
  <c r="CB63" i="7"/>
  <c r="O63" i="7"/>
  <c r="EJ63" i="7"/>
  <c r="Y63" i="7"/>
  <c r="ES63" i="7"/>
  <c r="CL63" i="7"/>
  <c r="FJ63" i="7"/>
  <c r="DK63" i="7"/>
  <c r="BG63" i="7"/>
  <c r="CQ27" i="7"/>
  <c r="GI27" i="7"/>
  <c r="CL27" i="7"/>
  <c r="GD27" i="7"/>
  <c r="CM27" i="7"/>
  <c r="GE27" i="7"/>
  <c r="CN27" i="7"/>
  <c r="GF27" i="7"/>
  <c r="CO27" i="7"/>
  <c r="GG27" i="7"/>
  <c r="EX27" i="7"/>
  <c r="CV27" i="7"/>
  <c r="CW27" i="7"/>
  <c r="GO27" i="7"/>
  <c r="CR27" i="7"/>
  <c r="GJ27" i="7"/>
  <c r="CS27" i="7"/>
  <c r="GK27" i="7"/>
  <c r="CT27" i="7"/>
  <c r="GL27" i="7"/>
  <c r="CU27" i="7"/>
  <c r="GM27" i="7"/>
  <c r="GH27" i="7"/>
  <c r="EF27" i="7"/>
  <c r="K27" i="7"/>
  <c r="DC27" i="7"/>
  <c r="GU27" i="7"/>
  <c r="CX27" i="7"/>
  <c r="GP27" i="7"/>
  <c r="CY27" i="7"/>
  <c r="GQ27" i="7"/>
  <c r="CZ27" i="7"/>
  <c r="GR27" i="7"/>
  <c r="DA27" i="7"/>
  <c r="GS27" i="7"/>
  <c r="P27" i="7"/>
  <c r="FP27" i="7"/>
  <c r="Q27" i="7"/>
  <c r="DI27" i="7"/>
  <c r="L27" i="7"/>
  <c r="DD27" i="7"/>
  <c r="M27" i="7"/>
  <c r="DE27" i="7"/>
  <c r="N27" i="7"/>
  <c r="DF27" i="7"/>
  <c r="O27" i="7"/>
  <c r="DG27" i="7"/>
  <c r="AH27" i="7"/>
  <c r="AZ27" i="7"/>
  <c r="W27" i="7"/>
  <c r="DO27" i="7"/>
  <c r="R27" i="7"/>
  <c r="DJ27" i="7"/>
  <c r="S27" i="7"/>
  <c r="DK27" i="7"/>
  <c r="T27" i="7"/>
  <c r="DL27" i="7"/>
  <c r="U27" i="7"/>
  <c r="DM27" i="7"/>
  <c r="BR27" i="7"/>
  <c r="CJ27" i="7"/>
  <c r="AC27" i="7"/>
  <c r="DU27" i="7"/>
  <c r="X27" i="7"/>
  <c r="DP27" i="7"/>
  <c r="Y27" i="7"/>
  <c r="DQ27" i="7"/>
  <c r="Z27" i="7"/>
  <c r="DR27" i="7"/>
  <c r="AA27" i="7"/>
  <c r="DS27" i="7"/>
  <c r="DB27" i="7"/>
  <c r="DT27" i="7"/>
  <c r="AI27" i="7"/>
  <c r="EA27" i="7"/>
  <c r="AD27" i="7"/>
  <c r="DV27" i="7"/>
  <c r="AE27" i="7"/>
  <c r="DW27" i="7"/>
  <c r="AF27" i="7"/>
  <c r="DX27" i="7"/>
  <c r="AG27" i="7"/>
  <c r="DY27" i="7"/>
  <c r="EL27" i="7"/>
  <c r="FD27" i="7"/>
  <c r="AO27" i="7"/>
  <c r="EG27" i="7"/>
  <c r="AJ27" i="7"/>
  <c r="EB27" i="7"/>
  <c r="AK27" i="7"/>
  <c r="EC27" i="7"/>
  <c r="AL27" i="7"/>
  <c r="ED27" i="7"/>
  <c r="AM27" i="7"/>
  <c r="EE27" i="7"/>
  <c r="FV27" i="7"/>
  <c r="GN27" i="7"/>
  <c r="AU27" i="7"/>
  <c r="EM27" i="7"/>
  <c r="AP27" i="7"/>
  <c r="EH27" i="7"/>
  <c r="AQ27" i="7"/>
  <c r="EI27" i="7"/>
  <c r="AR27" i="7"/>
  <c r="EJ27" i="7"/>
  <c r="AS27" i="7"/>
  <c r="EK27" i="7"/>
  <c r="AN27" i="7"/>
  <c r="V27" i="7"/>
  <c r="BA27" i="7"/>
  <c r="ES27" i="7"/>
  <c r="AV27" i="7"/>
  <c r="EN27" i="7"/>
  <c r="AW27" i="7"/>
  <c r="EO27" i="7"/>
  <c r="AX27" i="7"/>
  <c r="EP27" i="7"/>
  <c r="AY27" i="7"/>
  <c r="EQ27" i="7"/>
  <c r="BX27" i="7"/>
  <c r="BF27" i="7"/>
  <c r="BG27" i="7"/>
  <c r="EY27" i="7"/>
  <c r="BB27" i="7"/>
  <c r="ET27" i="7"/>
  <c r="BC27" i="7"/>
  <c r="EU27" i="7"/>
  <c r="BD27" i="7"/>
  <c r="EV27" i="7"/>
  <c r="BE27" i="7"/>
  <c r="EW27" i="7"/>
  <c r="DH27" i="7"/>
  <c r="CP27" i="7"/>
  <c r="BM27" i="7"/>
  <c r="FE27" i="7"/>
  <c r="BH27" i="7"/>
  <c r="EZ27" i="7"/>
  <c r="BI27" i="7"/>
  <c r="FA27" i="7"/>
  <c r="BJ27" i="7"/>
  <c r="FB27" i="7"/>
  <c r="BK27" i="7"/>
  <c r="FC27" i="7"/>
  <c r="ER27" i="7"/>
  <c r="DZ27" i="7"/>
  <c r="BS27" i="7"/>
  <c r="FK27" i="7"/>
  <c r="BN27" i="7"/>
  <c r="FF27" i="7"/>
  <c r="BO27" i="7"/>
  <c r="FG27" i="7"/>
  <c r="BP27" i="7"/>
  <c r="FH27" i="7"/>
  <c r="BQ27" i="7"/>
  <c r="FI27" i="7"/>
  <c r="GB27" i="7"/>
  <c r="FJ27" i="7"/>
  <c r="BY27" i="7"/>
  <c r="FQ27" i="7"/>
  <c r="BT27" i="7"/>
  <c r="FL27" i="7"/>
  <c r="BU27" i="7"/>
  <c r="FM27" i="7"/>
  <c r="BV27" i="7"/>
  <c r="FN27" i="7"/>
  <c r="BW27" i="7"/>
  <c r="FO27" i="7"/>
  <c r="AT27" i="7"/>
  <c r="GT27" i="7"/>
  <c r="CE27" i="7"/>
  <c r="FW27" i="7"/>
  <c r="BZ27" i="7"/>
  <c r="FR27" i="7"/>
  <c r="CA27" i="7"/>
  <c r="FS27" i="7"/>
  <c r="CB27" i="7"/>
  <c r="FT27" i="7"/>
  <c r="CC27" i="7"/>
  <c r="FU27" i="7"/>
  <c r="CD27" i="7"/>
  <c r="AB27" i="7"/>
  <c r="CK27" i="7"/>
  <c r="GC27" i="7"/>
  <c r="CF27" i="7"/>
  <c r="FX27" i="7"/>
  <c r="CG27" i="7"/>
  <c r="FY27" i="7"/>
  <c r="CH27" i="7"/>
  <c r="FZ27" i="7"/>
  <c r="CI27" i="7"/>
  <c r="GA27" i="7"/>
  <c r="DN27" i="7"/>
  <c r="BL27" i="7"/>
  <c r="GB43" i="7"/>
  <c r="DO43" i="7"/>
  <c r="BB43" i="7"/>
  <c r="FX43" i="7"/>
  <c r="DK43" i="7"/>
  <c r="AX43" i="7"/>
  <c r="FT43" i="7"/>
  <c r="DG43" i="7"/>
  <c r="AT43" i="7"/>
  <c r="GU43" i="7"/>
  <c r="FA43" i="7"/>
  <c r="FL43" i="7"/>
  <c r="CY43" i="7"/>
  <c r="AL43" i="7"/>
  <c r="FH43" i="7"/>
  <c r="CU43" i="7"/>
  <c r="AH43" i="7"/>
  <c r="FD43" i="7"/>
  <c r="CQ43" i="7"/>
  <c r="AD43" i="7"/>
  <c r="DE43" i="7"/>
  <c r="BX43" i="7"/>
  <c r="EV43" i="7"/>
  <c r="CI43" i="7"/>
  <c r="V43" i="7"/>
  <c r="ER43" i="7"/>
  <c r="CE43" i="7"/>
  <c r="R43" i="7"/>
  <c r="EN43" i="7"/>
  <c r="CA43" i="7"/>
  <c r="GT43" i="7"/>
  <c r="AB43" i="7"/>
  <c r="EZ43" i="7"/>
  <c r="GS43" i="7"/>
  <c r="EF43" i="7"/>
  <c r="BS43" i="7"/>
  <c r="GO43" i="7"/>
  <c r="EB43" i="7"/>
  <c r="BO43" i="7"/>
  <c r="GK43" i="7"/>
  <c r="DX43" i="7"/>
  <c r="BK43" i="7"/>
  <c r="GD43" i="7"/>
  <c r="GG43" i="7"/>
  <c r="BW43" i="7"/>
  <c r="GC43" i="7"/>
  <c r="DP43" i="7"/>
  <c r="BC43" i="7"/>
  <c r="FY43" i="7"/>
  <c r="DL43" i="7"/>
  <c r="AY43" i="7"/>
  <c r="FU43" i="7"/>
  <c r="DH43" i="7"/>
  <c r="AU43" i="7"/>
  <c r="FN43" i="7"/>
  <c r="DD43" i="7"/>
  <c r="EY43" i="7"/>
  <c r="FM43" i="7"/>
  <c r="CZ43" i="7"/>
  <c r="AM43" i="7"/>
  <c r="FI43" i="7"/>
  <c r="CV43" i="7"/>
  <c r="AI43" i="7"/>
  <c r="FE43" i="7"/>
  <c r="CR43" i="7"/>
  <c r="AE43" i="7"/>
  <c r="EX43" i="7"/>
  <c r="AA43" i="7"/>
  <c r="BI43" i="7"/>
  <c r="EW43" i="7"/>
  <c r="CJ43" i="7"/>
  <c r="W43" i="7"/>
  <c r="ES43" i="7"/>
  <c r="CF43" i="7"/>
  <c r="S43" i="7"/>
  <c r="EO43" i="7"/>
  <c r="CB43" i="7"/>
  <c r="O43" i="7"/>
  <c r="EH43" i="7"/>
  <c r="GF43" i="7"/>
  <c r="EK43" i="7"/>
  <c r="EG43" i="7"/>
  <c r="BT43" i="7"/>
  <c r="GP43" i="7"/>
  <c r="EC43" i="7"/>
  <c r="BP43" i="7"/>
  <c r="GL43" i="7"/>
  <c r="DY43" i="7"/>
  <c r="BL43" i="7"/>
  <c r="GH43" i="7"/>
  <c r="DR43" i="7"/>
  <c r="DC43" i="7"/>
  <c r="BH43" i="7"/>
  <c r="DQ43" i="7"/>
  <c r="BD43" i="7"/>
  <c r="FZ43" i="7"/>
  <c r="DM43" i="7"/>
  <c r="AZ43" i="7"/>
  <c r="FV43" i="7"/>
  <c r="DI43" i="7"/>
  <c r="AV43" i="7"/>
  <c r="FR43" i="7"/>
  <c r="DB43" i="7"/>
  <c r="GE43" i="7"/>
  <c r="EJ43" i="7"/>
  <c r="DA43" i="7"/>
  <c r="AN43" i="7"/>
  <c r="FJ43" i="7"/>
  <c r="CW43" i="7"/>
  <c r="AJ43" i="7"/>
  <c r="FF43" i="7"/>
  <c r="CS43" i="7"/>
  <c r="AF43" i="7"/>
  <c r="FB43" i="7"/>
  <c r="CL43" i="7"/>
  <c r="CO43" i="7"/>
  <c r="BG43" i="7"/>
  <c r="CK43" i="7"/>
  <c r="X43" i="7"/>
  <c r="ET43" i="7"/>
  <c r="CG43" i="7"/>
  <c r="T43" i="7"/>
  <c r="EP43" i="7"/>
  <c r="CC43" i="7"/>
  <c r="P43" i="7"/>
  <c r="EL43" i="7"/>
  <c r="BV43" i="7"/>
  <c r="FQ43" i="7"/>
  <c r="EI43" i="7"/>
  <c r="BU43" i="7"/>
  <c r="GQ43" i="7"/>
  <c r="ED43" i="7"/>
  <c r="BQ43" i="7"/>
  <c r="GM43" i="7"/>
  <c r="DZ43" i="7"/>
  <c r="BM43" i="7"/>
  <c r="GI43" i="7"/>
  <c r="DV43" i="7"/>
  <c r="BF43" i="7"/>
  <c r="CN43" i="7"/>
  <c r="AS43" i="7"/>
  <c r="BE43" i="7"/>
  <c r="GA43" i="7"/>
  <c r="DN43" i="7"/>
  <c r="BA43" i="7"/>
  <c r="FW43" i="7"/>
  <c r="DJ43" i="7"/>
  <c r="AW43" i="7"/>
  <c r="FS43" i="7"/>
  <c r="DF43" i="7"/>
  <c r="AP43" i="7"/>
  <c r="FP43" i="7"/>
  <c r="DT43" i="7"/>
  <c r="AO43" i="7"/>
  <c r="FK43" i="7"/>
  <c r="CX43" i="7"/>
  <c r="AK43" i="7"/>
  <c r="FG43" i="7"/>
  <c r="CT43" i="7"/>
  <c r="AG43" i="7"/>
  <c r="FC43" i="7"/>
  <c r="CP43" i="7"/>
  <c r="Z43" i="7"/>
  <c r="CM43" i="7"/>
  <c r="DU43" i="7"/>
  <c r="Y43" i="7"/>
  <c r="EU43" i="7"/>
  <c r="CH43" i="7"/>
  <c r="U43" i="7"/>
  <c r="EQ43" i="7"/>
  <c r="CD43" i="7"/>
  <c r="Q43" i="7"/>
  <c r="EM43" i="7"/>
  <c r="BZ43" i="7"/>
  <c r="DS43" i="7"/>
  <c r="FO43" i="7"/>
  <c r="AR43" i="7"/>
  <c r="GR43" i="7"/>
  <c r="EE43" i="7"/>
  <c r="BR43" i="7"/>
  <c r="GN43" i="7"/>
  <c r="EA43" i="7"/>
  <c r="BN43" i="7"/>
  <c r="GJ43" i="7"/>
  <c r="DW43" i="7"/>
  <c r="BJ43" i="7"/>
  <c r="AC43" i="7"/>
  <c r="BY43" i="7"/>
  <c r="N43" i="7"/>
  <c r="AQ43" i="7"/>
  <c r="N7" i="7"/>
  <c r="CD7" i="7"/>
  <c r="DC7" i="7"/>
  <c r="CX7" i="7"/>
  <c r="CM7" i="7"/>
  <c r="CT7" i="7"/>
  <c r="Q7" i="7"/>
  <c r="DI7" i="7"/>
  <c r="DD7" i="7"/>
  <c r="CS7" i="7"/>
  <c r="DF7" i="7"/>
  <c r="AY7" i="7"/>
  <c r="GL7" i="7"/>
  <c r="W7" i="7"/>
  <c r="R7" i="7"/>
  <c r="DJ7" i="7"/>
  <c r="CY7" i="7"/>
  <c r="DO7" i="7"/>
  <c r="BQ7" i="7"/>
  <c r="GR7" i="7"/>
  <c r="FU7" i="7"/>
  <c r="AI7" i="7"/>
  <c r="AD7" i="7"/>
  <c r="S7" i="7"/>
  <c r="DK7" i="7"/>
  <c r="EE7" i="7"/>
  <c r="CU7" i="7"/>
  <c r="AL7" i="7"/>
  <c r="GG7" i="7"/>
  <c r="FJ7" i="7"/>
  <c r="EK7" i="7"/>
  <c r="P7" i="7"/>
  <c r="AO7" i="7"/>
  <c r="AJ7" i="7"/>
  <c r="Y7" i="7"/>
  <c r="DQ7" i="7"/>
  <c r="EL7" i="7"/>
  <c r="DG7" i="7"/>
  <c r="BD7" i="7"/>
  <c r="GM7" i="7"/>
  <c r="FP7" i="7"/>
  <c r="ER7" i="7"/>
  <c r="AB7" i="7"/>
  <c r="BA7" i="7"/>
  <c r="AV7" i="7"/>
  <c r="AK7" i="7"/>
  <c r="EC7" i="7"/>
  <c r="EZ7" i="7"/>
  <c r="DY7" i="7"/>
  <c r="CJ7" i="7"/>
  <c r="U7" i="7"/>
  <c r="GB7" i="7"/>
  <c r="FF7" i="7"/>
  <c r="AN7" i="7"/>
  <c r="BM7" i="7"/>
  <c r="BH7" i="7"/>
  <c r="AW7" i="7"/>
  <c r="EO7" i="7"/>
  <c r="AT7" i="7"/>
  <c r="BS7" i="7"/>
  <c r="BN7" i="7"/>
  <c r="BC7" i="7"/>
  <c r="EU7" i="7"/>
  <c r="FS7" i="7"/>
  <c r="ET7" i="7"/>
  <c r="DS7" i="7"/>
  <c r="BW7" i="7"/>
  <c r="GT7" i="7"/>
  <c r="AZ7" i="7"/>
  <c r="BY7" i="7"/>
  <c r="BT7" i="7"/>
  <c r="BI7" i="7"/>
  <c r="FA7" i="7"/>
  <c r="FY7" i="7"/>
  <c r="FB7" i="7"/>
  <c r="BF7" i="7"/>
  <c r="CE7" i="7"/>
  <c r="BZ7" i="7"/>
  <c r="BO7" i="7"/>
  <c r="AF7" i="7"/>
  <c r="GE7" i="7"/>
  <c r="BL7" i="7"/>
  <c r="CK7" i="7"/>
  <c r="CF7" i="7"/>
  <c r="BU7" i="7"/>
  <c r="AX7" i="7"/>
  <c r="GK7" i="7"/>
  <c r="FN7" i="7"/>
  <c r="EN7" i="7"/>
  <c r="BX7" i="7"/>
  <c r="CW7" i="7"/>
  <c r="CR7" i="7"/>
  <c r="CG7" i="7"/>
  <c r="CH7" i="7"/>
  <c r="O7" i="7"/>
  <c r="AU7" i="7"/>
  <c r="ES7" i="7"/>
  <c r="DH7" i="7"/>
  <c r="EH7" i="7"/>
  <c r="EY7" i="7"/>
  <c r="FW7" i="7"/>
  <c r="BG7" i="7"/>
  <c r="FG7" i="7"/>
  <c r="DZ7" i="7"/>
  <c r="EP7" i="7"/>
  <c r="FL7" i="7"/>
  <c r="CO7" i="7"/>
  <c r="CQ7" i="7"/>
  <c r="FM7" i="7"/>
  <c r="EG7" i="7"/>
  <c r="EW7" i="7"/>
  <c r="FR7" i="7"/>
  <c r="EQ7" i="7"/>
  <c r="X7" i="7"/>
  <c r="GQ7" i="7"/>
  <c r="EV7" i="7"/>
  <c r="FD7" i="7"/>
  <c r="FX7" i="7"/>
  <c r="GC7" i="7"/>
  <c r="AP7" i="7"/>
  <c r="AG7" i="7"/>
  <c r="FC7" i="7"/>
  <c r="FV7" i="7"/>
  <c r="GD7" i="7"/>
  <c r="DA7" i="7"/>
  <c r="BB7" i="7"/>
  <c r="CI7" i="7"/>
  <c r="FI7" i="7"/>
  <c r="GH7" i="7"/>
  <c r="GJ7" i="7"/>
  <c r="EX7" i="7"/>
  <c r="CL7" i="7"/>
  <c r="DR7" i="7"/>
  <c r="FO7" i="7"/>
  <c r="GN7" i="7"/>
  <c r="GP7" i="7"/>
  <c r="GI7" i="7"/>
  <c r="DP7" i="7"/>
  <c r="EF7" i="7"/>
  <c r="GA7" i="7"/>
  <c r="AA7" i="7"/>
  <c r="AR7" i="7"/>
  <c r="Z7" i="7"/>
  <c r="AE7" i="7"/>
  <c r="EM7" i="7"/>
  <c r="GS7" i="7"/>
  <c r="AS7" i="7"/>
  <c r="DU7" i="7"/>
  <c r="DM7" i="7"/>
  <c r="AQ7" i="7"/>
  <c r="FH7" i="7"/>
  <c r="AM7" i="7"/>
  <c r="BK7" i="7"/>
  <c r="FK7" i="7"/>
  <c r="FE7" i="7"/>
  <c r="CA7" i="7"/>
  <c r="FT7" i="7"/>
  <c r="BE7" i="7"/>
  <c r="CC7" i="7"/>
  <c r="GU7" i="7"/>
  <c r="GO7" i="7"/>
  <c r="DE7" i="7"/>
  <c r="FZ7" i="7"/>
  <c r="CN7" i="7"/>
  <c r="CP7" i="7"/>
  <c r="BJ7" i="7"/>
  <c r="V7" i="7"/>
  <c r="DW7" i="7"/>
  <c r="GF7" i="7"/>
  <c r="CZ7" i="7"/>
  <c r="DB7" i="7"/>
  <c r="EB7" i="7"/>
  <c r="AH7" i="7"/>
  <c r="EI7" i="7"/>
  <c r="T7" i="7"/>
  <c r="DL7" i="7"/>
  <c r="DN7" i="7"/>
  <c r="FQ7" i="7"/>
  <c r="BR7" i="7"/>
  <c r="BP7" i="7"/>
  <c r="BV7" i="7"/>
  <c r="DT7" i="7"/>
  <c r="DV7" i="7"/>
  <c r="CB7" i="7"/>
  <c r="AC7" i="7"/>
  <c r="DX7" i="7"/>
  <c r="CV7" i="7"/>
  <c r="EA7" i="7"/>
  <c r="ED7" i="7"/>
  <c r="EJ7" i="7"/>
  <c r="I6" i="7"/>
  <c r="I42" i="7"/>
  <c r="FU42" i="7"/>
  <c r="DH42" i="7"/>
  <c r="AU42" i="7"/>
  <c r="FQ42" i="7"/>
  <c r="DD42" i="7"/>
  <c r="BG42" i="7"/>
  <c r="GS42" i="7"/>
  <c r="EF42" i="7"/>
  <c r="BS42" i="7"/>
  <c r="GL42" i="7"/>
  <c r="CU42" i="7"/>
  <c r="AZ42" i="7"/>
  <c r="FE42" i="7"/>
  <c r="CR42" i="7"/>
  <c r="AE42" i="7"/>
  <c r="FA42" i="7"/>
  <c r="CN42" i="7"/>
  <c r="EO42" i="7"/>
  <c r="CB42" i="7"/>
  <c r="O42" i="7"/>
  <c r="EK42" i="7"/>
  <c r="BX42" i="7"/>
  <c r="AA42" i="7"/>
  <c r="FM42" i="7"/>
  <c r="CZ42" i="7"/>
  <c r="AM42" i="7"/>
  <c r="FF42" i="7"/>
  <c r="CG42" i="7"/>
  <c r="AY42" i="7"/>
  <c r="DY42" i="7"/>
  <c r="BL42" i="7"/>
  <c r="DI42" i="7"/>
  <c r="AV42" i="7"/>
  <c r="FR42" i="7"/>
  <c r="DE42" i="7"/>
  <c r="AR42" i="7"/>
  <c r="GT42" i="7"/>
  <c r="EG42" i="7"/>
  <c r="BT42" i="7"/>
  <c r="GP42" i="7"/>
  <c r="DZ42" i="7"/>
  <c r="CF42" i="7"/>
  <c r="AK42" i="7"/>
  <c r="CS42" i="7"/>
  <c r="AF42" i="7"/>
  <c r="FB42" i="7"/>
  <c r="CO42" i="7"/>
  <c r="AB42" i="7"/>
  <c r="GD42" i="7"/>
  <c r="DQ42" i="7"/>
  <c r="BD42" i="7"/>
  <c r="FZ42" i="7"/>
  <c r="DJ42" i="7"/>
  <c r="FH42" i="7"/>
  <c r="DM42" i="7"/>
  <c r="CC42" i="7"/>
  <c r="P42" i="7"/>
  <c r="EL42" i="7"/>
  <c r="BY42" i="7"/>
  <c r="BM42" i="7"/>
  <c r="GI42" i="7"/>
  <c r="DV42" i="7"/>
  <c r="BI42" i="7"/>
  <c r="GU42" i="7"/>
  <c r="EX42" i="7"/>
  <c r="CK42" i="7"/>
  <c r="X42" i="7"/>
  <c r="ET42" i="7"/>
  <c r="CD42" i="7"/>
  <c r="FG42" i="7"/>
  <c r="GO42" i="7"/>
  <c r="AW42" i="7"/>
  <c r="FS42" i="7"/>
  <c r="DF42" i="7"/>
  <c r="AS42" i="7"/>
  <c r="GE42" i="7"/>
  <c r="EH42" i="7"/>
  <c r="BU42" i="7"/>
  <c r="GQ42" i="7"/>
  <c r="ED42" i="7"/>
  <c r="BN42" i="7"/>
  <c r="BQ42" i="7"/>
  <c r="DL42" i="7"/>
  <c r="AG42" i="7"/>
  <c r="FC42" i="7"/>
  <c r="CP42" i="7"/>
  <c r="Q42" i="7"/>
  <c r="EM42" i="7"/>
  <c r="BZ42" i="7"/>
  <c r="M42" i="7"/>
  <c r="EY42" i="7"/>
  <c r="DB42" i="7"/>
  <c r="AO42" i="7"/>
  <c r="FK42" i="7"/>
  <c r="CX42" i="7"/>
  <c r="AH42" i="7"/>
  <c r="BP42" i="7"/>
  <c r="GM42" i="7"/>
  <c r="GJ42" i="7"/>
  <c r="DW42" i="7"/>
  <c r="BJ42" i="7"/>
  <c r="GF42" i="7"/>
  <c r="EI42" i="7"/>
  <c r="CL42" i="7"/>
  <c r="Y42" i="7"/>
  <c r="EU42" i="7"/>
  <c r="CH42" i="7"/>
  <c r="R42" i="7"/>
  <c r="ER42" i="7"/>
  <c r="CW42" i="7"/>
  <c r="FT42" i="7"/>
  <c r="DG42" i="7"/>
  <c r="AT42" i="7"/>
  <c r="FP42" i="7"/>
  <c r="DS42" i="7"/>
  <c r="BV42" i="7"/>
  <c r="GR42" i="7"/>
  <c r="EE42" i="7"/>
  <c r="BR42" i="7"/>
  <c r="FY42" i="7"/>
  <c r="BO42" i="7"/>
  <c r="GN42" i="7"/>
  <c r="J6" i="7"/>
  <c r="FD42" i="7"/>
  <c r="CQ42" i="7"/>
  <c r="AD42" i="7"/>
  <c r="EZ42" i="7"/>
  <c r="DC42" i="7"/>
  <c r="BF42" i="7"/>
  <c r="GB42" i="7"/>
  <c r="DO42" i="7"/>
  <c r="BB42" i="7"/>
  <c r="CV42" i="7"/>
  <c r="EQ42" i="7"/>
  <c r="DK42" i="7"/>
  <c r="J42" i="7"/>
  <c r="EN42" i="7"/>
  <c r="CA42" i="7"/>
  <c r="N42" i="7"/>
  <c r="EJ42" i="7"/>
  <c r="CM42" i="7"/>
  <c r="AP42" i="7"/>
  <c r="FL42" i="7"/>
  <c r="CY42" i="7"/>
  <c r="AL42" i="7"/>
  <c r="S42" i="7"/>
  <c r="BA42" i="7"/>
  <c r="U42" i="7"/>
  <c r="GK42" i="7"/>
  <c r="DX42" i="7"/>
  <c r="BK42" i="7"/>
  <c r="GG42" i="7"/>
  <c r="DT42" i="7"/>
  <c r="BW42" i="7"/>
  <c r="Z42" i="7"/>
  <c r="EV42" i="7"/>
  <c r="CI42" i="7"/>
  <c r="V42" i="7"/>
  <c r="FX42" i="7"/>
  <c r="EC42" i="7"/>
  <c r="T42" i="7"/>
  <c r="FN42" i="7"/>
  <c r="CT42" i="7"/>
  <c r="DR42" i="7"/>
  <c r="AX42" i="7"/>
  <c r="GC42" i="7"/>
  <c r="FW42" i="7"/>
  <c r="EW42" i="7"/>
  <c r="FI42" i="7"/>
  <c r="DA42" i="7"/>
  <c r="CE42" i="7"/>
  <c r="BE42" i="7"/>
  <c r="ES42" i="7"/>
  <c r="DP42" i="7"/>
  <c r="EB42" i="7"/>
  <c r="CJ42" i="7"/>
  <c r="EA42" i="7"/>
  <c r="GH42" i="7"/>
  <c r="AN42" i="7"/>
  <c r="AJ42" i="7"/>
  <c r="DU42" i="7"/>
  <c r="GA42" i="7"/>
  <c r="AI42" i="7"/>
  <c r="AC42" i="7"/>
  <c r="BC42" i="7"/>
  <c r="BH42" i="7"/>
  <c r="W42" i="7"/>
  <c r="L42" i="7"/>
  <c r="FJ42" i="7"/>
  <c r="FO42" i="7"/>
  <c r="DN42" i="7"/>
  <c r="K42" i="7"/>
  <c r="EP42" i="7"/>
  <c r="AQ42" i="7"/>
  <c r="FV42" i="7"/>
  <c r="BQ6" i="7"/>
  <c r="FI6" i="7"/>
  <c r="BR6" i="7"/>
  <c r="FJ6" i="7"/>
  <c r="BM6" i="7"/>
  <c r="FE6" i="7"/>
  <c r="BH6" i="7"/>
  <c r="EZ6" i="7"/>
  <c r="BI6" i="7"/>
  <c r="FA6" i="7"/>
  <c r="BJ6" i="7"/>
  <c r="FB6" i="7"/>
  <c r="BW6" i="7"/>
  <c r="FO6" i="7"/>
  <c r="BX6" i="7"/>
  <c r="FP6" i="7"/>
  <c r="BS6" i="7"/>
  <c r="FK6" i="7"/>
  <c r="BN6" i="7"/>
  <c r="FF6" i="7"/>
  <c r="BO6" i="7"/>
  <c r="FG6" i="7"/>
  <c r="BP6" i="7"/>
  <c r="FH6" i="7"/>
  <c r="CC6" i="7"/>
  <c r="FU6" i="7"/>
  <c r="CD6" i="7"/>
  <c r="FV6" i="7"/>
  <c r="BY6" i="7"/>
  <c r="FQ6" i="7"/>
  <c r="BT6" i="7"/>
  <c r="FL6" i="7"/>
  <c r="BU6" i="7"/>
  <c r="FM6" i="7"/>
  <c r="BV6" i="7"/>
  <c r="FN6" i="7"/>
  <c r="CI6" i="7"/>
  <c r="GA6" i="7"/>
  <c r="CJ6" i="7"/>
  <c r="GB6" i="7"/>
  <c r="CE6" i="7"/>
  <c r="FW6" i="7"/>
  <c r="BZ6" i="7"/>
  <c r="FR6" i="7"/>
  <c r="CA6" i="7"/>
  <c r="CO6" i="7"/>
  <c r="GG6" i="7"/>
  <c r="CP6" i="7"/>
  <c r="GH6" i="7"/>
  <c r="CK6" i="7"/>
  <c r="GC6" i="7"/>
  <c r="CF6" i="7"/>
  <c r="FX6" i="7"/>
  <c r="CG6" i="7"/>
  <c r="FY6" i="7"/>
  <c r="CH6" i="7"/>
  <c r="FZ6" i="7"/>
  <c r="CU6" i="7"/>
  <c r="GM6" i="7"/>
  <c r="CV6" i="7"/>
  <c r="GN6" i="7"/>
  <c r="CQ6" i="7"/>
  <c r="GI6" i="7"/>
  <c r="CL6" i="7"/>
  <c r="GD6" i="7"/>
  <c r="CM6" i="7"/>
  <c r="GE6" i="7"/>
  <c r="CN6" i="7"/>
  <c r="GF6" i="7"/>
  <c r="DA6" i="7"/>
  <c r="GS6" i="7"/>
  <c r="DB6" i="7"/>
  <c r="GT6" i="7"/>
  <c r="CW6" i="7"/>
  <c r="GO6" i="7"/>
  <c r="CR6" i="7"/>
  <c r="GJ6" i="7"/>
  <c r="CS6" i="7"/>
  <c r="GK6" i="7"/>
  <c r="CT6" i="7"/>
  <c r="GL6" i="7"/>
  <c r="O6" i="7"/>
  <c r="DG6" i="7"/>
  <c r="P6" i="7"/>
  <c r="DH6" i="7"/>
  <c r="K6" i="7"/>
  <c r="DC6" i="7"/>
  <c r="GU6" i="7"/>
  <c r="CX6" i="7"/>
  <c r="GP6" i="7"/>
  <c r="CY6" i="7"/>
  <c r="GQ6" i="7"/>
  <c r="CZ6" i="7"/>
  <c r="GR6" i="7"/>
  <c r="U6" i="7"/>
  <c r="DM6" i="7"/>
  <c r="V6" i="7"/>
  <c r="DN6" i="7"/>
  <c r="Q6" i="7"/>
  <c r="DI6" i="7"/>
  <c r="L6" i="7"/>
  <c r="AA6" i="7"/>
  <c r="DS6" i="7"/>
  <c r="AB6" i="7"/>
  <c r="DT6" i="7"/>
  <c r="W6" i="7"/>
  <c r="DO6" i="7"/>
  <c r="R6" i="7"/>
  <c r="DJ6" i="7"/>
  <c r="S6" i="7"/>
  <c r="DK6" i="7"/>
  <c r="T6" i="7"/>
  <c r="DL6" i="7"/>
  <c r="AG6" i="7"/>
  <c r="DY6" i="7"/>
  <c r="AH6" i="7"/>
  <c r="DZ6" i="7"/>
  <c r="AC6" i="7"/>
  <c r="DU6" i="7"/>
  <c r="X6" i="7"/>
  <c r="DP6" i="7"/>
  <c r="Y6" i="7"/>
  <c r="DQ6" i="7"/>
  <c r="Z6" i="7"/>
  <c r="DR6" i="7"/>
  <c r="AM6" i="7"/>
  <c r="EE6" i="7"/>
  <c r="AN6" i="7"/>
  <c r="EF6" i="7"/>
  <c r="AI6" i="7"/>
  <c r="EA6" i="7"/>
  <c r="AD6" i="7"/>
  <c r="DV6" i="7"/>
  <c r="AE6" i="7"/>
  <c r="DW6" i="7"/>
  <c r="AF6" i="7"/>
  <c r="DX6" i="7"/>
  <c r="AS6" i="7"/>
  <c r="EK6" i="7"/>
  <c r="AT6" i="7"/>
  <c r="EL6" i="7"/>
  <c r="AO6" i="7"/>
  <c r="EG6" i="7"/>
  <c r="AJ6" i="7"/>
  <c r="EB6" i="7"/>
  <c r="AK6" i="7"/>
  <c r="EC6" i="7"/>
  <c r="AL6" i="7"/>
  <c r="ED6" i="7"/>
  <c r="AY6" i="7"/>
  <c r="EQ6" i="7"/>
  <c r="AZ6" i="7"/>
  <c r="ER6" i="7"/>
  <c r="AU6" i="7"/>
  <c r="EM6" i="7"/>
  <c r="AP6" i="7"/>
  <c r="EH6" i="7"/>
  <c r="AQ6" i="7"/>
  <c r="EI6" i="7"/>
  <c r="AR6" i="7"/>
  <c r="EJ6" i="7"/>
  <c r="BE6" i="7"/>
  <c r="EW6" i="7"/>
  <c r="BF6" i="7"/>
  <c r="EX6" i="7"/>
  <c r="BA6" i="7"/>
  <c r="ES6" i="7"/>
  <c r="AV6" i="7"/>
  <c r="EN6" i="7"/>
  <c r="AW6" i="7"/>
  <c r="EO6" i="7"/>
  <c r="AX6" i="7"/>
  <c r="EP6" i="7"/>
  <c r="BK6" i="7"/>
  <c r="FC6" i="7"/>
  <c r="BL6" i="7"/>
  <c r="FD6" i="7"/>
  <c r="BG6" i="7"/>
  <c r="EY6" i="7"/>
  <c r="BB6" i="7"/>
  <c r="ET6" i="7"/>
  <c r="BC6" i="7"/>
  <c r="EU6" i="7"/>
  <c r="BD6" i="7"/>
  <c r="EV6" i="7"/>
  <c r="DD6" i="7"/>
  <c r="M6" i="7"/>
  <c r="DE6" i="7"/>
  <c r="FS6" i="7"/>
  <c r="N6" i="7"/>
  <c r="CB6" i="7"/>
  <c r="DF6" i="7"/>
  <c r="FT6" i="7"/>
  <c r="H61" i="7"/>
  <c r="H25" i="7"/>
  <c r="DI61" i="7"/>
  <c r="CA61" i="7"/>
  <c r="AS61" i="7"/>
  <c r="K61" i="7"/>
  <c r="CJ61" i="7"/>
  <c r="CV61" i="7"/>
  <c r="BC61" i="7"/>
  <c r="CS61" i="7"/>
  <c r="BK61" i="7"/>
  <c r="AC61" i="7"/>
  <c r="DB61" i="7"/>
  <c r="BT61" i="7"/>
  <c r="AJ61" i="7"/>
  <c r="BB61" i="7"/>
  <c r="CC61" i="7"/>
  <c r="AU61" i="7"/>
  <c r="M61" i="7"/>
  <c r="CL61" i="7"/>
  <c r="BD61" i="7"/>
  <c r="CU61" i="7"/>
  <c r="AZ61" i="7"/>
  <c r="BM61" i="7"/>
  <c r="AE61" i="7"/>
  <c r="DD61" i="7"/>
  <c r="BV61" i="7"/>
  <c r="AN61" i="7"/>
  <c r="AI61" i="7"/>
  <c r="AY61" i="7"/>
  <c r="AW61" i="7"/>
  <c r="O61" i="7"/>
  <c r="CN61" i="7"/>
  <c r="BF61" i="7"/>
  <c r="X61" i="7"/>
  <c r="CI61" i="7"/>
  <c r="DN61" i="7"/>
  <c r="AG61" i="7"/>
  <c r="DF61" i="7"/>
  <c r="BX61" i="7"/>
  <c r="AP61" i="7"/>
  <c r="DM61" i="7"/>
  <c r="W61" i="7"/>
  <c r="DL61" i="7"/>
  <c r="Q61" i="7"/>
  <c r="CP61" i="7"/>
  <c r="BH61" i="7"/>
  <c r="Z61" i="7"/>
  <c r="CW61" i="7"/>
  <c r="CH61" i="7"/>
  <c r="DK61" i="7"/>
  <c r="DH61" i="7"/>
  <c r="BZ61" i="7"/>
  <c r="AR61" i="7"/>
  <c r="J61" i="7"/>
  <c r="CG61" i="7"/>
  <c r="V61" i="7"/>
  <c r="CR61" i="7"/>
  <c r="BJ61" i="7"/>
  <c r="AB61" i="7"/>
  <c r="DA61" i="7"/>
  <c r="BQ61" i="7"/>
  <c r="CF61" i="7"/>
  <c r="DJ61" i="7"/>
  <c r="CB61" i="7"/>
  <c r="AT61" i="7"/>
  <c r="L61" i="7"/>
  <c r="CK61" i="7"/>
  <c r="BA61" i="7"/>
  <c r="T61" i="7"/>
  <c r="CT61" i="7"/>
  <c r="BL61" i="7"/>
  <c r="AD61" i="7"/>
  <c r="DC61" i="7"/>
  <c r="BU61" i="7"/>
  <c r="AK61" i="7"/>
  <c r="CE61" i="7"/>
  <c r="CD61" i="7"/>
  <c r="AV61" i="7"/>
  <c r="N61" i="7"/>
  <c r="CM61" i="7"/>
  <c r="BE61" i="7"/>
  <c r="U61" i="7"/>
  <c r="S61" i="7"/>
  <c r="BN61" i="7"/>
  <c r="AF61" i="7"/>
  <c r="DE61" i="7"/>
  <c r="BW61" i="7"/>
  <c r="AO61" i="7"/>
  <c r="CY61" i="7"/>
  <c r="BS61" i="7"/>
  <c r="AX61" i="7"/>
  <c r="P61" i="7"/>
  <c r="CO61" i="7"/>
  <c r="BG61" i="7"/>
  <c r="Y61" i="7"/>
  <c r="AM61" i="7"/>
  <c r="BR61" i="7"/>
  <c r="AH61" i="7"/>
  <c r="DG61" i="7"/>
  <c r="BY61" i="7"/>
  <c r="AQ61" i="7"/>
  <c r="I61" i="7"/>
  <c r="CX61" i="7"/>
  <c r="BP61" i="7"/>
  <c r="R61" i="7"/>
  <c r="CQ61" i="7"/>
  <c r="BI61" i="7"/>
  <c r="AA61" i="7"/>
  <c r="CZ61" i="7"/>
  <c r="AL61" i="7"/>
  <c r="BO61" i="7"/>
  <c r="GE61" i="7"/>
  <c r="DQ61" i="7"/>
  <c r="ET61" i="7"/>
  <c r="EA61" i="7"/>
  <c r="GI61" i="7"/>
  <c r="FO61" i="7"/>
  <c r="GR61" i="7"/>
  <c r="ED61" i="7"/>
  <c r="GL61" i="7"/>
  <c r="FS61" i="7"/>
  <c r="EY61" i="7"/>
  <c r="GB61" i="7"/>
  <c r="GO61" i="7"/>
  <c r="FV61" i="7"/>
  <c r="FC61" i="7"/>
  <c r="EI61" i="7"/>
  <c r="FL61" i="7"/>
  <c r="FY61" i="7"/>
  <c r="FF61" i="7"/>
  <c r="EM61" i="7"/>
  <c r="DS61" i="7"/>
  <c r="EV61" i="7"/>
  <c r="FI61" i="7"/>
  <c r="EP61" i="7"/>
  <c r="DW61" i="7"/>
  <c r="GG61" i="7"/>
  <c r="GT61" i="7"/>
  <c r="EF61" i="7"/>
  <c r="ES61" i="7"/>
  <c r="DZ61" i="7"/>
  <c r="GH61" i="7"/>
  <c r="FQ61" i="7"/>
  <c r="GD61" i="7"/>
  <c r="DP61" i="7"/>
  <c r="EC61" i="7"/>
  <c r="GK61" i="7"/>
  <c r="FR61" i="7"/>
  <c r="FA61" i="7"/>
  <c r="FN61" i="7"/>
  <c r="GQ61" i="7"/>
  <c r="GN61" i="7"/>
  <c r="FU61" i="7"/>
  <c r="FB61" i="7"/>
  <c r="EK61" i="7"/>
  <c r="EX61" i="7"/>
  <c r="GA61" i="7"/>
  <c r="FX61" i="7"/>
  <c r="FE61" i="7"/>
  <c r="EL61" i="7"/>
  <c r="DU61" i="7"/>
  <c r="EH61" i="7"/>
  <c r="FK61" i="7"/>
  <c r="FH61" i="7"/>
  <c r="EO61" i="7"/>
  <c r="DV61" i="7"/>
  <c r="GF61" i="7"/>
  <c r="DR61" i="7"/>
  <c r="EU61" i="7"/>
  <c r="ER61" i="7"/>
  <c r="DY61" i="7"/>
  <c r="FP61" i="7"/>
  <c r="GS61" i="7"/>
  <c r="EE61" i="7"/>
  <c r="EB61" i="7"/>
  <c r="GJ61" i="7"/>
  <c r="EZ61" i="7"/>
  <c r="GC61" i="7"/>
  <c r="DO61" i="7"/>
  <c r="GM61" i="7"/>
  <c r="FT61" i="7"/>
  <c r="EJ61" i="7"/>
  <c r="FM61" i="7"/>
  <c r="GP61" i="7"/>
  <c r="FW61" i="7"/>
  <c r="FD61" i="7"/>
  <c r="GU61" i="7"/>
  <c r="EG61" i="7"/>
  <c r="FJ61" i="7"/>
  <c r="EQ61" i="7"/>
  <c r="DX61" i="7"/>
  <c r="FG61" i="7"/>
  <c r="EN61" i="7"/>
  <c r="DT61" i="7"/>
  <c r="EW61" i="7"/>
  <c r="FZ61" i="7"/>
  <c r="U25" i="7"/>
  <c r="J25" i="7"/>
  <c r="P25" i="7"/>
  <c r="V25" i="7"/>
  <c r="W25" i="7"/>
  <c r="K25" i="7"/>
  <c r="L25" i="7"/>
  <c r="Q25" i="7"/>
  <c r="R25" i="7"/>
  <c r="X25" i="7"/>
  <c r="M25" i="7"/>
  <c r="S25" i="7"/>
  <c r="Y25" i="7"/>
  <c r="N25" i="7"/>
  <c r="T25" i="7"/>
  <c r="I25" i="7"/>
  <c r="O25" i="7"/>
  <c r="CE25" i="7"/>
  <c r="FW25" i="7"/>
  <c r="CR25" i="7"/>
  <c r="GJ25" i="7"/>
  <c r="DK25" i="7"/>
  <c r="AF25" i="7"/>
  <c r="DX25" i="7"/>
  <c r="AS25" i="7"/>
  <c r="EK25" i="7"/>
  <c r="BF25" i="7"/>
  <c r="EX25" i="7"/>
  <c r="CK25" i="7"/>
  <c r="GC25" i="7"/>
  <c r="CX25" i="7"/>
  <c r="GP25" i="7"/>
  <c r="DQ25" i="7"/>
  <c r="AL25" i="7"/>
  <c r="ED25" i="7"/>
  <c r="AY25" i="7"/>
  <c r="EQ25" i="7"/>
  <c r="BL25" i="7"/>
  <c r="FD25" i="7"/>
  <c r="CQ25" i="7"/>
  <c r="GI25" i="7"/>
  <c r="DD25" i="7"/>
  <c r="AE25" i="7"/>
  <c r="DW25" i="7"/>
  <c r="AR25" i="7"/>
  <c r="EJ25" i="7"/>
  <c r="BE25" i="7"/>
  <c r="EW25" i="7"/>
  <c r="BR25" i="7"/>
  <c r="FJ25" i="7"/>
  <c r="CW25" i="7"/>
  <c r="GO25" i="7"/>
  <c r="DJ25" i="7"/>
  <c r="AK25" i="7"/>
  <c r="EC25" i="7"/>
  <c r="AX25" i="7"/>
  <c r="EP25" i="7"/>
  <c r="BK25" i="7"/>
  <c r="FC25" i="7"/>
  <c r="BX25" i="7"/>
  <c r="FP25" i="7"/>
  <c r="DC25" i="7"/>
  <c r="GU25" i="7"/>
  <c r="DP25" i="7"/>
  <c r="AQ25" i="7"/>
  <c r="EI25" i="7"/>
  <c r="BD25" i="7"/>
  <c r="EV25" i="7"/>
  <c r="BQ25" i="7"/>
  <c r="FI25" i="7"/>
  <c r="CD25" i="7"/>
  <c r="FV25" i="7"/>
  <c r="DI25" i="7"/>
  <c r="AD25" i="7"/>
  <c r="DV25" i="7"/>
  <c r="AW25" i="7"/>
  <c r="EO25" i="7"/>
  <c r="BJ25" i="7"/>
  <c r="FB25" i="7"/>
  <c r="BW25" i="7"/>
  <c r="FO25" i="7"/>
  <c r="CJ25" i="7"/>
  <c r="GB25" i="7"/>
  <c r="DO25" i="7"/>
  <c r="AJ25" i="7"/>
  <c r="EB25" i="7"/>
  <c r="BC25" i="7"/>
  <c r="EU25" i="7"/>
  <c r="BP25" i="7"/>
  <c r="FH25" i="7"/>
  <c r="CC25" i="7"/>
  <c r="FU25" i="7"/>
  <c r="CP25" i="7"/>
  <c r="GH25" i="7"/>
  <c r="AC25" i="7"/>
  <c r="DU25" i="7"/>
  <c r="AP25" i="7"/>
  <c r="EH25" i="7"/>
  <c r="BI25" i="7"/>
  <c r="FA25" i="7"/>
  <c r="BV25" i="7"/>
  <c r="FN25" i="7"/>
  <c r="CI25" i="7"/>
  <c r="GA25" i="7"/>
  <c r="CV25" i="7"/>
  <c r="GN25" i="7"/>
  <c r="AI25" i="7"/>
  <c r="EA25" i="7"/>
  <c r="AV25" i="7"/>
  <c r="EN25" i="7"/>
  <c r="BO25" i="7"/>
  <c r="FG25" i="7"/>
  <c r="CB25" i="7"/>
  <c r="FT25" i="7"/>
  <c r="CO25" i="7"/>
  <c r="GG25" i="7"/>
  <c r="DB25" i="7"/>
  <c r="GT25" i="7"/>
  <c r="AO25" i="7"/>
  <c r="EG25" i="7"/>
  <c r="BB25" i="7"/>
  <c r="ET25" i="7"/>
  <c r="BU25" i="7"/>
  <c r="FM25" i="7"/>
  <c r="CH25" i="7"/>
  <c r="FZ25" i="7"/>
  <c r="CU25" i="7"/>
  <c r="GM25" i="7"/>
  <c r="DH25" i="7"/>
  <c r="AU25" i="7"/>
  <c r="EM25" i="7"/>
  <c r="BH25" i="7"/>
  <c r="EZ25" i="7"/>
  <c r="CA25" i="7"/>
  <c r="FS25" i="7"/>
  <c r="CN25" i="7"/>
  <c r="GF25" i="7"/>
  <c r="DA25" i="7"/>
  <c r="GS25" i="7"/>
  <c r="DN25" i="7"/>
  <c r="BA25" i="7"/>
  <c r="ES25" i="7"/>
  <c r="BN25" i="7"/>
  <c r="FF25" i="7"/>
  <c r="CG25" i="7"/>
  <c r="FY25" i="7"/>
  <c r="CT25" i="7"/>
  <c r="GL25" i="7"/>
  <c r="DG25" i="7"/>
  <c r="AB25" i="7"/>
  <c r="DT25" i="7"/>
  <c r="BG25" i="7"/>
  <c r="EY25" i="7"/>
  <c r="BT25" i="7"/>
  <c r="FL25" i="7"/>
  <c r="CM25" i="7"/>
  <c r="GE25" i="7"/>
  <c r="CZ25" i="7"/>
  <c r="GR25" i="7"/>
  <c r="DM25" i="7"/>
  <c r="AH25" i="7"/>
  <c r="DZ25" i="7"/>
  <c r="BM25" i="7"/>
  <c r="FE25" i="7"/>
  <c r="BZ25" i="7"/>
  <c r="FR25" i="7"/>
  <c r="CS25" i="7"/>
  <c r="GK25" i="7"/>
  <c r="DF25" i="7"/>
  <c r="AA25" i="7"/>
  <c r="DS25" i="7"/>
  <c r="AN25" i="7"/>
  <c r="EF25" i="7"/>
  <c r="BS25" i="7"/>
  <c r="FK25" i="7"/>
  <c r="CF25" i="7"/>
  <c r="FX25" i="7"/>
  <c r="CY25" i="7"/>
  <c r="GQ25" i="7"/>
  <c r="DL25" i="7"/>
  <c r="AG25" i="7"/>
  <c r="DY25" i="7"/>
  <c r="AT25" i="7"/>
  <c r="EL25" i="7"/>
  <c r="BY25" i="7"/>
  <c r="FQ25" i="7"/>
  <c r="CL25" i="7"/>
  <c r="GD25" i="7"/>
  <c r="DE25" i="7"/>
  <c r="Z25" i="7"/>
  <c r="DR25" i="7"/>
  <c r="AM25" i="7"/>
  <c r="EE25" i="7"/>
  <c r="AZ25" i="7"/>
  <c r="ER25" i="7"/>
  <c r="J5" i="7"/>
  <c r="J41" i="7"/>
  <c r="L41" i="7"/>
  <c r="K41" i="7"/>
  <c r="AO41" i="7"/>
  <c r="FK41" i="7"/>
  <c r="CX41" i="7"/>
  <c r="AK41" i="7"/>
  <c r="FG41" i="7"/>
  <c r="AG41" i="7"/>
  <c r="DG41" i="7"/>
  <c r="EX41" i="7"/>
  <c r="CM41" i="7"/>
  <c r="DT41" i="7"/>
  <c r="AI41" i="7"/>
  <c r="DB41" i="7"/>
  <c r="Y41" i="7"/>
  <c r="EU41" i="7"/>
  <c r="CH41" i="7"/>
  <c r="U41" i="7"/>
  <c r="EQ41" i="7"/>
  <c r="Q41" i="7"/>
  <c r="CQ41" i="7"/>
  <c r="EH41" i="7"/>
  <c r="AV41" i="7"/>
  <c r="BY41" i="7"/>
  <c r="FQ41" i="7"/>
  <c r="BH41" i="7"/>
  <c r="GR41" i="7"/>
  <c r="EE41" i="7"/>
  <c r="BR41" i="7"/>
  <c r="GN41" i="7"/>
  <c r="GL41" i="7"/>
  <c r="GJ41" i="7"/>
  <c r="CA41" i="7"/>
  <c r="DR41" i="7"/>
  <c r="S41" i="7"/>
  <c r="AR41" i="7"/>
  <c r="DE41" i="7"/>
  <c r="AD41" i="7"/>
  <c r="GB41" i="7"/>
  <c r="DO41" i="7"/>
  <c r="BB41" i="7"/>
  <c r="FX41" i="7"/>
  <c r="FV41" i="7"/>
  <c r="FT41" i="7"/>
  <c r="BK41" i="7"/>
  <c r="EY41" i="7"/>
  <c r="EA41" i="7"/>
  <c r="N41" i="7"/>
  <c r="BO41" i="7"/>
  <c r="CU41" i="7"/>
  <c r="FL41" i="7"/>
  <c r="CY41" i="7"/>
  <c r="AL41" i="7"/>
  <c r="FH41" i="7"/>
  <c r="FF41" i="7"/>
  <c r="FD41" i="7"/>
  <c r="GH41" i="7"/>
  <c r="CT41" i="7"/>
  <c r="CL41" i="7"/>
  <c r="GG41" i="7"/>
  <c r="AH41" i="7"/>
  <c r="AC41" i="7"/>
  <c r="EV41" i="7"/>
  <c r="CI41" i="7"/>
  <c r="V41" i="7"/>
  <c r="ER41" i="7"/>
  <c r="EP41" i="7"/>
  <c r="EN41" i="7"/>
  <c r="FR41" i="7"/>
  <c r="BF41" i="7"/>
  <c r="AU41" i="7"/>
  <c r="DS41" i="7"/>
  <c r="FP41" i="7"/>
  <c r="GS41" i="7"/>
  <c r="EF41" i="7"/>
  <c r="BS41" i="7"/>
  <c r="GO41" i="7"/>
  <c r="EB41" i="7"/>
  <c r="GK41" i="7"/>
  <c r="DX41" i="7"/>
  <c r="FB41" i="7"/>
  <c r="AB41" i="7"/>
  <c r="R41" i="7"/>
  <c r="BX41" i="7"/>
  <c r="DD41" i="7"/>
  <c r="GC41" i="7"/>
  <c r="DP41" i="7"/>
  <c r="BC41" i="7"/>
  <c r="FY41" i="7"/>
  <c r="DL41" i="7"/>
  <c r="FU41" i="7"/>
  <c r="DH41" i="7"/>
  <c r="EL41" i="7"/>
  <c r="EK41" i="7"/>
  <c r="DZ41" i="7"/>
  <c r="AQ41" i="7"/>
  <c r="BN41" i="7"/>
  <c r="FM41" i="7"/>
  <c r="CZ41" i="7"/>
  <c r="AM41" i="7"/>
  <c r="FI41" i="7"/>
  <c r="CV41" i="7"/>
  <c r="FE41" i="7"/>
  <c r="CR41" i="7"/>
  <c r="DV41" i="7"/>
  <c r="CO41" i="7"/>
  <c r="CE41" i="7"/>
  <c r="M41" i="7"/>
  <c r="AF41" i="7"/>
  <c r="EW41" i="7"/>
  <c r="CJ41" i="7"/>
  <c r="W41" i="7"/>
  <c r="ES41" i="7"/>
  <c r="CF41" i="7"/>
  <c r="EO41" i="7"/>
  <c r="CB41" i="7"/>
  <c r="DF41" i="7"/>
  <c r="AY41" i="7"/>
  <c r="AT41" i="7"/>
  <c r="GF41" i="7"/>
  <c r="FO41" i="7"/>
  <c r="EG41" i="7"/>
  <c r="BT41" i="7"/>
  <c r="GP41" i="7"/>
  <c r="EC41" i="7"/>
  <c r="BP41" i="7"/>
  <c r="DY41" i="7"/>
  <c r="BL41" i="7"/>
  <c r="CP41" i="7"/>
  <c r="AA41" i="7"/>
  <c r="P41" i="7"/>
  <c r="DK41" i="7"/>
  <c r="DC41" i="7"/>
  <c r="K5" i="7"/>
  <c r="DQ41" i="7"/>
  <c r="BD41" i="7"/>
  <c r="FZ41" i="7"/>
  <c r="DM41" i="7"/>
  <c r="AZ41" i="7"/>
  <c r="DI41" i="7"/>
  <c r="GI41" i="7"/>
  <c r="BZ41" i="7"/>
  <c r="EJ41" i="7"/>
  <c r="DU41" i="7"/>
  <c r="BW41" i="7"/>
  <c r="BI41" i="7"/>
  <c r="AS5" i="7"/>
  <c r="DA41" i="7"/>
  <c r="AN41" i="7"/>
  <c r="FJ41" i="7"/>
  <c r="CW41" i="7"/>
  <c r="AJ41" i="7"/>
  <c r="CS41" i="7"/>
  <c r="FS41" i="7"/>
  <c r="BJ41" i="7"/>
  <c r="CN41" i="7"/>
  <c r="CD41" i="7"/>
  <c r="AP41" i="7"/>
  <c r="AE41" i="7"/>
  <c r="L5" i="7"/>
  <c r="CK41" i="7"/>
  <c r="X41" i="7"/>
  <c r="ET41" i="7"/>
  <c r="CG41" i="7"/>
  <c r="T41" i="7"/>
  <c r="CC41" i="7"/>
  <c r="FC41" i="7"/>
  <c r="GT41" i="7"/>
  <c r="AX41" i="7"/>
  <c r="AS41" i="7"/>
  <c r="GE41" i="7"/>
  <c r="EZ41" i="7"/>
  <c r="BE41" i="7"/>
  <c r="GA41" i="7"/>
  <c r="DN41" i="7"/>
  <c r="BA41" i="7"/>
  <c r="FW41" i="7"/>
  <c r="AW41" i="7"/>
  <c r="DW41" i="7"/>
  <c r="FN41" i="7"/>
  <c r="EI41" i="7"/>
  <c r="GU41" i="7"/>
  <c r="BV41" i="7"/>
  <c r="FA41" i="7"/>
  <c r="BU41" i="7"/>
  <c r="GQ41" i="7"/>
  <c r="ED41" i="7"/>
  <c r="BQ41" i="7"/>
  <c r="GM41" i="7"/>
  <c r="BM41" i="7"/>
  <c r="EM41" i="7"/>
  <c r="GD41" i="7"/>
  <c r="Z41" i="7"/>
  <c r="O41" i="7"/>
  <c r="DJ41" i="7"/>
  <c r="BG41" i="7"/>
  <c r="T5" i="7"/>
  <c r="AQ5" i="7"/>
  <c r="DD5" i="7"/>
  <c r="AD5" i="7"/>
  <c r="DG5" i="7"/>
  <c r="GJ5" i="7"/>
  <c r="CT5" i="7"/>
  <c r="FW5" i="7"/>
  <c r="CG5" i="7"/>
  <c r="FJ5" i="7"/>
  <c r="BT5" i="7"/>
  <c r="EW5" i="7"/>
  <c r="EZ5" i="7"/>
  <c r="P5" i="7"/>
  <c r="BG5" i="7"/>
  <c r="DT5" i="7"/>
  <c r="AT5" i="7"/>
  <c r="DW5" i="7"/>
  <c r="AG5" i="7"/>
  <c r="DJ5" i="7"/>
  <c r="GM5" i="7"/>
  <c r="CW5" i="7"/>
  <c r="FZ5" i="7"/>
  <c r="CJ5" i="7"/>
  <c r="FM5" i="7"/>
  <c r="BM5" i="7"/>
  <c r="V5" i="7"/>
  <c r="BW5" i="7"/>
  <c r="EJ5" i="7"/>
  <c r="BJ5" i="7"/>
  <c r="EM5" i="7"/>
  <c r="AW5" i="7"/>
  <c r="DZ5" i="7"/>
  <c r="AJ5" i="7"/>
  <c r="DM5" i="7"/>
  <c r="GP5" i="7"/>
  <c r="CZ5" i="7"/>
  <c r="GC5" i="7"/>
  <c r="BZ5" i="7"/>
  <c r="O5" i="7"/>
  <c r="CM5" i="7"/>
  <c r="EC5" i="7"/>
  <c r="AM5" i="7"/>
  <c r="DP5" i="7"/>
  <c r="GS5" i="7"/>
  <c r="Q5" i="7"/>
  <c r="DC5" i="7"/>
  <c r="FP5" i="7"/>
  <c r="CP5" i="7"/>
  <c r="FS5" i="7"/>
  <c r="CC5" i="7"/>
  <c r="FF5" i="7"/>
  <c r="BP5" i="7"/>
  <c r="ES5" i="7"/>
  <c r="BC5" i="7"/>
  <c r="EF5" i="7"/>
  <c r="Z5" i="7"/>
  <c r="U5" i="7"/>
  <c r="DS5" i="7"/>
  <c r="GF5" i="7"/>
  <c r="DF5" i="7"/>
  <c r="GI5" i="7"/>
  <c r="CS5" i="7"/>
  <c r="FV5" i="7"/>
  <c r="CF5" i="7"/>
  <c r="FI5" i="7"/>
  <c r="BS5" i="7"/>
  <c r="EV5" i="7"/>
  <c r="AP5" i="7"/>
  <c r="W5" i="7"/>
  <c r="EI5" i="7"/>
  <c r="AC5" i="7"/>
  <c r="DV5" i="7"/>
  <c r="AF5" i="7"/>
  <c r="DI5" i="7"/>
  <c r="GL5" i="7"/>
  <c r="CV5" i="7"/>
  <c r="FY5" i="7"/>
  <c r="CI5" i="7"/>
  <c r="FL5" i="7"/>
  <c r="BF5" i="7"/>
  <c r="EY5" i="7"/>
  <c r="BI5" i="7"/>
  <c r="EL5" i="7"/>
  <c r="AV5" i="7"/>
  <c r="DY5" i="7"/>
  <c r="AI5" i="7"/>
  <c r="DL5" i="7"/>
  <c r="GO5" i="7"/>
  <c r="CY5" i="7"/>
  <c r="GB5" i="7"/>
  <c r="BV5" i="7"/>
  <c r="FO5" i="7"/>
  <c r="BY5" i="7"/>
  <c r="FB5" i="7"/>
  <c r="BL5" i="7"/>
  <c r="EO5" i="7"/>
  <c r="AY5" i="7"/>
  <c r="EB5" i="7"/>
  <c r="AL5" i="7"/>
  <c r="DO5" i="7"/>
  <c r="GR5" i="7"/>
  <c r="CL5" i="7"/>
  <c r="GE5" i="7"/>
  <c r="CO5" i="7"/>
  <c r="FR5" i="7"/>
  <c r="CB5" i="7"/>
  <c r="FE5" i="7"/>
  <c r="BO5" i="7"/>
  <c r="ER5" i="7"/>
  <c r="BB5" i="7"/>
  <c r="EE5" i="7"/>
  <c r="AO5" i="7"/>
  <c r="DB5" i="7"/>
  <c r="R5" i="7"/>
  <c r="GU5" i="7"/>
  <c r="DE5" i="7"/>
  <c r="GH5" i="7"/>
  <c r="CR5" i="7"/>
  <c r="FU5" i="7"/>
  <c r="CE5" i="7"/>
  <c r="FH5" i="7"/>
  <c r="BR5" i="7"/>
  <c r="EU5" i="7"/>
  <c r="BE5" i="7"/>
  <c r="DR5" i="7"/>
  <c r="X5" i="7"/>
  <c r="AB5" i="7"/>
  <c r="DU5" i="7"/>
  <c r="AE5" i="7"/>
  <c r="DH5" i="7"/>
  <c r="GK5" i="7"/>
  <c r="CU5" i="7"/>
  <c r="FX5" i="7"/>
  <c r="CH5" i="7"/>
  <c r="FK5" i="7"/>
  <c r="BU5" i="7"/>
  <c r="EH5" i="7"/>
  <c r="M5" i="7"/>
  <c r="AR5" i="7"/>
  <c r="EK5" i="7"/>
  <c r="AU5" i="7"/>
  <c r="DX5" i="7"/>
  <c r="AH5" i="7"/>
  <c r="DK5" i="7"/>
  <c r="GN5" i="7"/>
  <c r="CX5" i="7"/>
  <c r="GA5" i="7"/>
  <c r="CK5" i="7"/>
  <c r="EX5" i="7"/>
  <c r="S5" i="7"/>
  <c r="BH5" i="7"/>
  <c r="FA5" i="7"/>
  <c r="BK5" i="7"/>
  <c r="EN5" i="7"/>
  <c r="AX5" i="7"/>
  <c r="EA5" i="7"/>
  <c r="AK5" i="7"/>
  <c r="DN5" i="7"/>
  <c r="GQ5" i="7"/>
  <c r="DA5" i="7"/>
  <c r="FN5" i="7"/>
  <c r="FC5" i="7"/>
  <c r="Y5" i="7"/>
  <c r="BX5" i="7"/>
  <c r="FQ5" i="7"/>
  <c r="CA5" i="7"/>
  <c r="FD5" i="7"/>
  <c r="BN5" i="7"/>
  <c r="EQ5" i="7"/>
  <c r="BA5" i="7"/>
  <c r="ED5" i="7"/>
  <c r="AN5" i="7"/>
  <c r="DQ5" i="7"/>
  <c r="GD5" i="7"/>
  <c r="AZ5" i="7"/>
  <c r="N5" i="7"/>
  <c r="AA5" i="7"/>
  <c r="CN5" i="7"/>
  <c r="GG5" i="7"/>
  <c r="CQ5" i="7"/>
  <c r="FT5" i="7"/>
  <c r="CD5" i="7"/>
  <c r="FG5" i="7"/>
  <c r="BQ5" i="7"/>
  <c r="ET5" i="7"/>
  <c r="BD5" i="7"/>
  <c r="EG5" i="7"/>
  <c r="GT5" i="7"/>
  <c r="EP5" i="7"/>
  <c r="I52" i="7"/>
  <c r="H52" i="7"/>
  <c r="H16" i="7"/>
  <c r="I16" i="7"/>
  <c r="FR52" i="7"/>
  <c r="EJ52" i="7"/>
  <c r="GT52" i="7"/>
  <c r="DQ52" i="7"/>
  <c r="EU52" i="7"/>
  <c r="BR52" i="7"/>
  <c r="GN52" i="7"/>
  <c r="DJ52" i="7"/>
  <c r="BJ52" i="7"/>
  <c r="AE52" i="7"/>
  <c r="EN52" i="7"/>
  <c r="EA52" i="7"/>
  <c r="FB52" i="7"/>
  <c r="DT52" i="7"/>
  <c r="GD52" i="7"/>
  <c r="DA52" i="7"/>
  <c r="EE52" i="7"/>
  <c r="BB52" i="7"/>
  <c r="FX52" i="7"/>
  <c r="BM52" i="7"/>
  <c r="AH52" i="7"/>
  <c r="M52" i="7"/>
  <c r="CB52" i="7"/>
  <c r="DX52" i="7"/>
  <c r="EL52" i="7"/>
  <c r="DD52" i="7"/>
  <c r="FN52" i="7"/>
  <c r="CK52" i="7"/>
  <c r="DO52" i="7"/>
  <c r="AL52" i="7"/>
  <c r="FH52" i="7"/>
  <c r="AN52" i="7"/>
  <c r="P52" i="7"/>
  <c r="EQ52" i="7"/>
  <c r="AU52" i="7"/>
  <c r="BZ52" i="7"/>
  <c r="DV52" i="7"/>
  <c r="CN52" i="7"/>
  <c r="EX52" i="7"/>
  <c r="GR52" i="7"/>
  <c r="CY52" i="7"/>
  <c r="V52" i="7"/>
  <c r="ER52" i="7"/>
  <c r="S52" i="7"/>
  <c r="FF52" i="7"/>
  <c r="CE52" i="7"/>
  <c r="AA52" i="7"/>
  <c r="BO52" i="7"/>
  <c r="DF52" i="7"/>
  <c r="BX52" i="7"/>
  <c r="EH52" i="7"/>
  <c r="GB52" i="7"/>
  <c r="CI52" i="7"/>
  <c r="GO52" i="7"/>
  <c r="EB52" i="7"/>
  <c r="FU52" i="7"/>
  <c r="CT52" i="7"/>
  <c r="AX52" i="7"/>
  <c r="GL52" i="7"/>
  <c r="W52" i="7"/>
  <c r="CP52" i="7"/>
  <c r="BH52" i="7"/>
  <c r="DR52" i="7"/>
  <c r="FL52" i="7"/>
  <c r="BS52" i="7"/>
  <c r="FY52" i="7"/>
  <c r="DL52" i="7"/>
  <c r="DI52" i="7"/>
  <c r="BI52" i="7"/>
  <c r="AD52" i="7"/>
  <c r="DZ52" i="7"/>
  <c r="AT52" i="7"/>
  <c r="GG52" i="7"/>
  <c r="GU52" i="7"/>
  <c r="DB52" i="7"/>
  <c r="EV52" i="7"/>
  <c r="BC52" i="7"/>
  <c r="FI52" i="7"/>
  <c r="CV52" i="7"/>
  <c r="BL52" i="7"/>
  <c r="AG52" i="7"/>
  <c r="L52" i="7"/>
  <c r="BY52" i="7"/>
  <c r="AQ52" i="7"/>
  <c r="GI52" i="7"/>
  <c r="FQ52" i="7"/>
  <c r="GE52" i="7"/>
  <c r="CL52" i="7"/>
  <c r="EF52" i="7"/>
  <c r="AM52" i="7"/>
  <c r="ES52" i="7"/>
  <c r="CF52" i="7"/>
  <c r="AJ52" i="7"/>
  <c r="O52" i="7"/>
  <c r="EP52" i="7"/>
  <c r="AS52" i="7"/>
  <c r="Z52" i="7"/>
  <c r="FS52" i="7"/>
  <c r="FA52" i="7"/>
  <c r="FO52" i="7"/>
  <c r="BV52" i="7"/>
  <c r="DP52" i="7"/>
  <c r="GP52" i="7"/>
  <c r="EC52" i="7"/>
  <c r="BP52" i="7"/>
  <c r="R52" i="7"/>
  <c r="FE52" i="7"/>
  <c r="CD52" i="7"/>
  <c r="Y52" i="7"/>
  <c r="FC52" i="7"/>
  <c r="EK52" i="7"/>
  <c r="EY52" i="7"/>
  <c r="BF52" i="7"/>
  <c r="CZ52" i="7"/>
  <c r="FZ52" i="7"/>
  <c r="DM52" i="7"/>
  <c r="AZ52" i="7"/>
  <c r="FT52" i="7"/>
  <c r="CS52" i="7"/>
  <c r="AW52" i="7"/>
  <c r="GK52" i="7"/>
  <c r="EM52" i="7"/>
  <c r="DU52" i="7"/>
  <c r="EI52" i="7"/>
  <c r="AP52" i="7"/>
  <c r="CJ52" i="7"/>
  <c r="FJ52" i="7"/>
  <c r="CW52" i="7"/>
  <c r="FW52" i="7"/>
  <c r="DH52" i="7"/>
  <c r="BE52" i="7"/>
  <c r="AC52" i="7"/>
  <c r="DY52" i="7"/>
  <c r="DW52" i="7"/>
  <c r="DE52" i="7"/>
  <c r="DS52" i="7"/>
  <c r="GS52" i="7"/>
  <c r="BT52" i="7"/>
  <c r="ET52" i="7"/>
  <c r="CG52" i="7"/>
  <c r="DK52" i="7"/>
  <c r="BK52" i="7"/>
  <c r="AF52" i="7"/>
  <c r="K52" i="7"/>
  <c r="BU52" i="7"/>
  <c r="DG52" i="7"/>
  <c r="CO52" i="7"/>
  <c r="DC52" i="7"/>
  <c r="GC52" i="7"/>
  <c r="BD52" i="7"/>
  <c r="ED52" i="7"/>
  <c r="BQ52" i="7"/>
  <c r="BN52" i="7"/>
  <c r="AI52" i="7"/>
  <c r="N52" i="7"/>
  <c r="EO52" i="7"/>
  <c r="AR52" i="7"/>
  <c r="CQ52" i="7"/>
  <c r="GF52" i="7"/>
  <c r="CM52" i="7"/>
  <c r="FM52" i="7"/>
  <c r="GQ52" i="7"/>
  <c r="DN52" i="7"/>
  <c r="BA52" i="7"/>
  <c r="AO52" i="7"/>
  <c r="Q52" i="7"/>
  <c r="FD52" i="7"/>
  <c r="CC52" i="7"/>
  <c r="X52" i="7"/>
  <c r="CA52" i="7"/>
  <c r="FP52" i="7"/>
  <c r="BW52" i="7"/>
  <c r="EW52" i="7"/>
  <c r="GA52" i="7"/>
  <c r="CX52" i="7"/>
  <c r="AK52" i="7"/>
  <c r="T52" i="7"/>
  <c r="FG52" i="7"/>
  <c r="CR52" i="7"/>
  <c r="AV52" i="7"/>
  <c r="GM52" i="7"/>
  <c r="GH52" i="7"/>
  <c r="EZ52" i="7"/>
  <c r="BG52" i="7"/>
  <c r="EG52" i="7"/>
  <c r="FK52" i="7"/>
  <c r="CH52" i="7"/>
  <c r="U52" i="7"/>
  <c r="FV52" i="7"/>
  <c r="CU52" i="7"/>
  <c r="AY52" i="7"/>
  <c r="AB52" i="7"/>
  <c r="GJ52" i="7"/>
  <c r="J16" i="7"/>
  <c r="J52" i="7"/>
  <c r="AE16" i="7"/>
  <c r="DW16" i="7"/>
  <c r="AH16" i="7"/>
  <c r="DZ16" i="7"/>
  <c r="CI16" i="7"/>
  <c r="AI16" i="7"/>
  <c r="FV16" i="7"/>
  <c r="DV16" i="7"/>
  <c r="BM16" i="7"/>
  <c r="GT16" i="7"/>
  <c r="ES16" i="7"/>
  <c r="DY16" i="7"/>
  <c r="AK16" i="7"/>
  <c r="EC16" i="7"/>
  <c r="AN16" i="7"/>
  <c r="EF16" i="7"/>
  <c r="CR16" i="7"/>
  <c r="AR16" i="7"/>
  <c r="GC16" i="7"/>
  <c r="EE16" i="7"/>
  <c r="BV16" i="7"/>
  <c r="N16" i="7"/>
  <c r="FB16" i="7"/>
  <c r="FZ16" i="7"/>
  <c r="AQ16" i="7"/>
  <c r="EI16" i="7"/>
  <c r="AT16" i="7"/>
  <c r="EL16" i="7"/>
  <c r="DA16" i="7"/>
  <c r="BA16" i="7"/>
  <c r="GJ16" i="7"/>
  <c r="EN16" i="7"/>
  <c r="CE16" i="7"/>
  <c r="W16" i="7"/>
  <c r="FK16" i="7"/>
  <c r="AD16" i="7"/>
  <c r="AW16" i="7"/>
  <c r="EO16" i="7"/>
  <c r="AZ16" i="7"/>
  <c r="ER16" i="7"/>
  <c r="DJ16" i="7"/>
  <c r="BJ16" i="7"/>
  <c r="GR16" i="7"/>
  <c r="EW16" i="7"/>
  <c r="CN16" i="7"/>
  <c r="AF16" i="7"/>
  <c r="FT16" i="7"/>
  <c r="CF16" i="7"/>
  <c r="BC16" i="7"/>
  <c r="EU16" i="7"/>
  <c r="BF16" i="7"/>
  <c r="EX16" i="7"/>
  <c r="DS16" i="7"/>
  <c r="BS16" i="7"/>
  <c r="R16" i="7"/>
  <c r="FF16" i="7"/>
  <c r="CW16" i="7"/>
  <c r="AO16" i="7"/>
  <c r="GA16" i="7"/>
  <c r="EH16" i="7"/>
  <c r="BI16" i="7"/>
  <c r="FA16" i="7"/>
  <c r="BL16" i="7"/>
  <c r="FD16" i="7"/>
  <c r="EB16" i="7"/>
  <c r="CB16" i="7"/>
  <c r="AA16" i="7"/>
  <c r="FO16" i="7"/>
  <c r="DF16" i="7"/>
  <c r="AX16" i="7"/>
  <c r="GH16" i="7"/>
  <c r="GG16" i="7"/>
  <c r="BO16" i="7"/>
  <c r="FG16" i="7"/>
  <c r="BR16" i="7"/>
  <c r="FJ16" i="7"/>
  <c r="EK16" i="7"/>
  <c r="CK16" i="7"/>
  <c r="AJ16" i="7"/>
  <c r="FW16" i="7"/>
  <c r="DO16" i="7"/>
  <c r="BG16" i="7"/>
  <c r="GO16" i="7"/>
  <c r="AM16" i="7"/>
  <c r="BU16" i="7"/>
  <c r="FM16" i="7"/>
  <c r="BX16" i="7"/>
  <c r="FP16" i="7"/>
  <c r="ET16" i="7"/>
  <c r="CT16" i="7"/>
  <c r="AS16" i="7"/>
  <c r="GD16" i="7"/>
  <c r="DX16" i="7"/>
  <c r="BP16" i="7"/>
  <c r="BE16" i="7"/>
  <c r="CO16" i="7"/>
  <c r="CA16" i="7"/>
  <c r="FS16" i="7"/>
  <c r="CD16" i="7"/>
  <c r="O16" i="7"/>
  <c r="FC16" i="7"/>
  <c r="DC16" i="7"/>
  <c r="BB16" i="7"/>
  <c r="GL16" i="7"/>
  <c r="EG16" i="7"/>
  <c r="BY16" i="7"/>
  <c r="DG16" i="7"/>
  <c r="EQ16" i="7"/>
  <c r="CG16" i="7"/>
  <c r="FY16" i="7"/>
  <c r="CJ16" i="7"/>
  <c r="X16" i="7"/>
  <c r="FL16" i="7"/>
  <c r="DL16" i="7"/>
  <c r="BK16" i="7"/>
  <c r="GS16" i="7"/>
  <c r="EP16" i="7"/>
  <c r="CH16" i="7"/>
  <c r="FI16" i="7"/>
  <c r="GN16" i="7"/>
  <c r="CM16" i="7"/>
  <c r="GE16" i="7"/>
  <c r="CP16" i="7"/>
  <c r="AG16" i="7"/>
  <c r="FU16" i="7"/>
  <c r="DU16" i="7"/>
  <c r="BT16" i="7"/>
  <c r="K16" i="7"/>
  <c r="EY16" i="7"/>
  <c r="CQ16" i="7"/>
  <c r="L16" i="7"/>
  <c r="AV16" i="7"/>
  <c r="CS16" i="7"/>
  <c r="GK16" i="7"/>
  <c r="CV16" i="7"/>
  <c r="AP16" i="7"/>
  <c r="GB16" i="7"/>
  <c r="ED16" i="7"/>
  <c r="CC16" i="7"/>
  <c r="T16" i="7"/>
  <c r="FH16" i="7"/>
  <c r="CZ16" i="7"/>
  <c r="BN16" i="7"/>
  <c r="CX16" i="7"/>
  <c r="CY16" i="7"/>
  <c r="GQ16" i="7"/>
  <c r="DB16" i="7"/>
  <c r="AY16" i="7"/>
  <c r="GI16" i="7"/>
  <c r="EM16" i="7"/>
  <c r="CL16" i="7"/>
  <c r="AC16" i="7"/>
  <c r="FQ16" i="7"/>
  <c r="DI16" i="7"/>
  <c r="DP16" i="7"/>
  <c r="EZ16" i="7"/>
  <c r="M16" i="7"/>
  <c r="DE16" i="7"/>
  <c r="P16" i="7"/>
  <c r="DH16" i="7"/>
  <c r="BH16" i="7"/>
  <c r="GP16" i="7"/>
  <c r="EV16" i="7"/>
  <c r="CU16" i="7"/>
  <c r="AL16" i="7"/>
  <c r="FX16" i="7"/>
  <c r="DR16" i="7"/>
  <c r="FR16" i="7"/>
  <c r="GU16" i="7"/>
  <c r="S16" i="7"/>
  <c r="Y16" i="7"/>
  <c r="DQ16" i="7"/>
  <c r="AB16" i="7"/>
  <c r="DT16" i="7"/>
  <c r="BZ16" i="7"/>
  <c r="Z16" i="7"/>
  <c r="FN16" i="7"/>
  <c r="DM16" i="7"/>
  <c r="BD16" i="7"/>
  <c r="GM16" i="7"/>
  <c r="EJ16" i="7"/>
  <c r="BW16" i="7"/>
  <c r="Q16" i="7"/>
  <c r="FE16" i="7"/>
  <c r="DD16" i="7"/>
  <c r="AU16" i="7"/>
  <c r="GF16" i="7"/>
  <c r="EA16" i="7"/>
  <c r="U16" i="7"/>
  <c r="DK16" i="7"/>
  <c r="V16" i="7"/>
  <c r="DN16" i="7"/>
  <c r="BQ16" i="7"/>
  <c r="AC1252" i="1"/>
  <c r="K46" i="7"/>
  <c r="J46" i="7"/>
  <c r="I46" i="7"/>
  <c r="I10" i="7"/>
  <c r="J10" i="7"/>
  <c r="K10" i="7"/>
  <c r="I62" i="7"/>
  <c r="I26" i="7"/>
  <c r="J62" i="7"/>
  <c r="J26" i="7"/>
  <c r="K40" i="7"/>
  <c r="J40" i="7"/>
  <c r="J3" i="7"/>
  <c r="K3" i="7"/>
  <c r="M40" i="7"/>
  <c r="L40" i="7"/>
  <c r="L3" i="7"/>
  <c r="M3" i="7"/>
  <c r="BM9" i="1"/>
  <c r="BM8" i="1"/>
  <c r="BD21" i="1"/>
  <c r="EE54" i="7"/>
  <c r="BR54" i="7"/>
  <c r="GN54" i="7"/>
  <c r="EA54" i="7"/>
  <c r="BN54" i="7"/>
  <c r="GJ54" i="7"/>
  <c r="DW54" i="7"/>
  <c r="BJ54" i="7"/>
  <c r="GF54" i="7"/>
  <c r="CL54" i="7"/>
  <c r="GS54" i="7"/>
  <c r="DP54" i="7"/>
  <c r="DO54" i="7"/>
  <c r="BB54" i="7"/>
  <c r="FX54" i="7"/>
  <c r="DK54" i="7"/>
  <c r="AX54" i="7"/>
  <c r="FT54" i="7"/>
  <c r="DG54" i="7"/>
  <c r="AT54" i="7"/>
  <c r="FP54" i="7"/>
  <c r="Z54" i="7"/>
  <c r="EG54" i="7"/>
  <c r="BD54" i="7"/>
  <c r="CY54" i="7"/>
  <c r="AL54" i="7"/>
  <c r="FH54" i="7"/>
  <c r="CU54" i="7"/>
  <c r="AH54" i="7"/>
  <c r="FD54" i="7"/>
  <c r="CQ54" i="7"/>
  <c r="AD54" i="7"/>
  <c r="EZ54" i="7"/>
  <c r="EW54" i="7"/>
  <c r="BU54" i="7"/>
  <c r="FN54" i="7"/>
  <c r="CI54" i="7"/>
  <c r="V54" i="7"/>
  <c r="ER54" i="7"/>
  <c r="CE54" i="7"/>
  <c r="R54" i="7"/>
  <c r="EN54" i="7"/>
  <c r="CA54" i="7"/>
  <c r="N54" i="7"/>
  <c r="EJ54" i="7"/>
  <c r="CK54" i="7"/>
  <c r="GR54" i="7"/>
  <c r="DB54" i="7"/>
  <c r="BS54" i="7"/>
  <c r="GO54" i="7"/>
  <c r="EB54" i="7"/>
  <c r="BO54" i="7"/>
  <c r="GK54" i="7"/>
  <c r="DX54" i="7"/>
  <c r="BK54" i="7"/>
  <c r="GG54" i="7"/>
  <c r="DT54" i="7"/>
  <c r="Y54" i="7"/>
  <c r="EF54" i="7"/>
  <c r="AP54" i="7"/>
  <c r="BC54" i="7"/>
  <c r="FY54" i="7"/>
  <c r="DL54" i="7"/>
  <c r="AY54" i="7"/>
  <c r="FU54" i="7"/>
  <c r="DH54" i="7"/>
  <c r="AU54" i="7"/>
  <c r="FQ54" i="7"/>
  <c r="DD54" i="7"/>
  <c r="EV54" i="7"/>
  <c r="BT54" i="7"/>
  <c r="FM54" i="7"/>
  <c r="AM54" i="7"/>
  <c r="FI54" i="7"/>
  <c r="CV54" i="7"/>
  <c r="AI54" i="7"/>
  <c r="FE54" i="7"/>
  <c r="CR54" i="7"/>
  <c r="AE54" i="7"/>
  <c r="FA54" i="7"/>
  <c r="CN54" i="7"/>
  <c r="CJ54" i="7"/>
  <c r="GE54" i="7"/>
  <c r="DA54" i="7"/>
  <c r="W54" i="7"/>
  <c r="ES54" i="7"/>
  <c r="CF54" i="7"/>
  <c r="S54" i="7"/>
  <c r="EO54" i="7"/>
  <c r="CB54" i="7"/>
  <c r="O54" i="7"/>
  <c r="EK54" i="7"/>
  <c r="BX54" i="7"/>
  <c r="X54" i="7"/>
  <c r="DS54" i="7"/>
  <c r="AO54" i="7"/>
  <c r="GP54" i="7"/>
  <c r="EC54" i="7"/>
  <c r="BP54" i="7"/>
  <c r="GL54" i="7"/>
  <c r="DY54" i="7"/>
  <c r="BL54" i="7"/>
  <c r="GH54" i="7"/>
  <c r="DU54" i="7"/>
  <c r="BH54" i="7"/>
  <c r="GU54" i="7"/>
  <c r="BG54" i="7"/>
  <c r="FO54" i="7"/>
  <c r="FZ54" i="7"/>
  <c r="DM54" i="7"/>
  <c r="AZ54" i="7"/>
  <c r="FV54" i="7"/>
  <c r="DI54" i="7"/>
  <c r="AV54" i="7"/>
  <c r="FR54" i="7"/>
  <c r="DE54" i="7"/>
  <c r="AR54" i="7"/>
  <c r="EI54" i="7"/>
  <c r="GD54" i="7"/>
  <c r="FL54" i="7"/>
  <c r="FJ54" i="7"/>
  <c r="CW54" i="7"/>
  <c r="AJ54" i="7"/>
  <c r="FF54" i="7"/>
  <c r="CS54" i="7"/>
  <c r="AF54" i="7"/>
  <c r="FB54" i="7"/>
  <c r="CO54" i="7"/>
  <c r="AB54" i="7"/>
  <c r="BW54" i="7"/>
  <c r="DR54" i="7"/>
  <c r="AN54" i="7"/>
  <c r="ET54" i="7"/>
  <c r="CG54" i="7"/>
  <c r="T54" i="7"/>
  <c r="EP54" i="7"/>
  <c r="CC54" i="7"/>
  <c r="P54" i="7"/>
  <c r="EL54" i="7"/>
  <c r="BY54" i="7"/>
  <c r="BF54" i="7"/>
  <c r="DC54" i="7"/>
  <c r="GQ54" i="7"/>
  <c r="ED54" i="7"/>
  <c r="BQ54" i="7"/>
  <c r="GM54" i="7"/>
  <c r="DZ54" i="7"/>
  <c r="BM54" i="7"/>
  <c r="GI54" i="7"/>
  <c r="DV54" i="7"/>
  <c r="BI54" i="7"/>
  <c r="EY54" i="7"/>
  <c r="GT54" i="7"/>
  <c r="GC54" i="7"/>
  <c r="CZ54" i="7"/>
  <c r="EU54" i="7"/>
  <c r="CH54" i="7"/>
  <c r="U54" i="7"/>
  <c r="EQ54" i="7"/>
  <c r="CD54" i="7"/>
  <c r="Q54" i="7"/>
  <c r="EM54" i="7"/>
  <c r="BZ54" i="7"/>
  <c r="EX54" i="7"/>
  <c r="GB54" i="7"/>
  <c r="FS54" i="7"/>
  <c r="FC54" i="7"/>
  <c r="DF54" i="7"/>
  <c r="CP54" i="7"/>
  <c r="GA54" i="7"/>
  <c r="AS54" i="7"/>
  <c r="FK54" i="7"/>
  <c r="AC54" i="7"/>
  <c r="DN54" i="7"/>
  <c r="CM54" i="7"/>
  <c r="CX54" i="7"/>
  <c r="AA54" i="7"/>
  <c r="BA54" i="7"/>
  <c r="EH54" i="7"/>
  <c r="AK54" i="7"/>
  <c r="BV54" i="7"/>
  <c r="FW54" i="7"/>
  <c r="FG54" i="7"/>
  <c r="DQ54" i="7"/>
  <c r="DJ54" i="7"/>
  <c r="BE54" i="7"/>
  <c r="CT54" i="7"/>
  <c r="AQ54" i="7"/>
  <c r="AW54" i="7"/>
  <c r="AG54" i="7"/>
  <c r="BI18" i="7"/>
  <c r="FA18" i="7"/>
  <c r="BJ18" i="7"/>
  <c r="FB18" i="7"/>
  <c r="BK18" i="7"/>
  <c r="FC18" i="7"/>
  <c r="BL18" i="7"/>
  <c r="FD18" i="7"/>
  <c r="BM18" i="7"/>
  <c r="FE18" i="7"/>
  <c r="BN18" i="7"/>
  <c r="FF18" i="7"/>
  <c r="BO18" i="7"/>
  <c r="FG18" i="7"/>
  <c r="BP18" i="7"/>
  <c r="FH18" i="7"/>
  <c r="BQ18" i="7"/>
  <c r="FI18" i="7"/>
  <c r="BR18" i="7"/>
  <c r="FJ18" i="7"/>
  <c r="BS18" i="7"/>
  <c r="FK18" i="7"/>
  <c r="BT18" i="7"/>
  <c r="FL18" i="7"/>
  <c r="BU18" i="7"/>
  <c r="FM18" i="7"/>
  <c r="BV18" i="7"/>
  <c r="FN18" i="7"/>
  <c r="BW18" i="7"/>
  <c r="FO18" i="7"/>
  <c r="BX18" i="7"/>
  <c r="FP18" i="7"/>
  <c r="BY18" i="7"/>
  <c r="FQ18" i="7"/>
  <c r="BZ18" i="7"/>
  <c r="FR18" i="7"/>
  <c r="CA18" i="7"/>
  <c r="FS18" i="7"/>
  <c r="CB18" i="7"/>
  <c r="FT18" i="7"/>
  <c r="CC18" i="7"/>
  <c r="FU18" i="7"/>
  <c r="CD18" i="7"/>
  <c r="FV18" i="7"/>
  <c r="CE18" i="7"/>
  <c r="FW18" i="7"/>
  <c r="CF18" i="7"/>
  <c r="FX18" i="7"/>
  <c r="CG18" i="7"/>
  <c r="FY18" i="7"/>
  <c r="CH18" i="7"/>
  <c r="FZ18" i="7"/>
  <c r="CI18" i="7"/>
  <c r="GA18" i="7"/>
  <c r="CJ18" i="7"/>
  <c r="GB18" i="7"/>
  <c r="CK18" i="7"/>
  <c r="GC18" i="7"/>
  <c r="CL18" i="7"/>
  <c r="GD18" i="7"/>
  <c r="CM18" i="7"/>
  <c r="GE18" i="7"/>
  <c r="CN18" i="7"/>
  <c r="GF18" i="7"/>
  <c r="CO18" i="7"/>
  <c r="GG18" i="7"/>
  <c r="CP18" i="7"/>
  <c r="GH18" i="7"/>
  <c r="CQ18" i="7"/>
  <c r="GI18" i="7"/>
  <c r="CR18" i="7"/>
  <c r="GJ18" i="7"/>
  <c r="S18" i="7"/>
  <c r="CS18" i="7"/>
  <c r="GK18" i="7"/>
  <c r="CT18" i="7"/>
  <c r="GL18" i="7"/>
  <c r="CU18" i="7"/>
  <c r="GM18" i="7"/>
  <c r="CV18" i="7"/>
  <c r="GN18" i="7"/>
  <c r="CW18" i="7"/>
  <c r="GO18" i="7"/>
  <c r="CX18" i="7"/>
  <c r="GP18" i="7"/>
  <c r="Y18" i="7"/>
  <c r="CY18" i="7"/>
  <c r="GQ18" i="7"/>
  <c r="CZ18" i="7"/>
  <c r="GR18" i="7"/>
  <c r="DA18" i="7"/>
  <c r="GS18" i="7"/>
  <c r="DB18" i="7"/>
  <c r="GT18" i="7"/>
  <c r="DC18" i="7"/>
  <c r="GU18" i="7"/>
  <c r="DD18" i="7"/>
  <c r="AE18" i="7"/>
  <c r="DE18" i="7"/>
  <c r="DF18" i="7"/>
  <c r="DG18" i="7"/>
  <c r="DH18" i="7"/>
  <c r="N18" i="7"/>
  <c r="DI18" i="7"/>
  <c r="O18" i="7"/>
  <c r="DJ18" i="7"/>
  <c r="P18" i="7"/>
  <c r="DK18" i="7"/>
  <c r="Q18" i="7"/>
  <c r="DL18" i="7"/>
  <c r="R18" i="7"/>
  <c r="DM18" i="7"/>
  <c r="T18" i="7"/>
  <c r="DN18" i="7"/>
  <c r="U18" i="7"/>
  <c r="DO18" i="7"/>
  <c r="V18" i="7"/>
  <c r="DP18" i="7"/>
  <c r="W18" i="7"/>
  <c r="DQ18" i="7"/>
  <c r="X18" i="7"/>
  <c r="DR18" i="7"/>
  <c r="Z18" i="7"/>
  <c r="DS18" i="7"/>
  <c r="AA18" i="7"/>
  <c r="DT18" i="7"/>
  <c r="AB18" i="7"/>
  <c r="DU18" i="7"/>
  <c r="AC18" i="7"/>
  <c r="DV18" i="7"/>
  <c r="AD18" i="7"/>
  <c r="DW18" i="7"/>
  <c r="AF18" i="7"/>
  <c r="DX18" i="7"/>
  <c r="AG18" i="7"/>
  <c r="DY18" i="7"/>
  <c r="AH18" i="7"/>
  <c r="DZ18" i="7"/>
  <c r="AI18" i="7"/>
  <c r="EA18" i="7"/>
  <c r="AJ18" i="7"/>
  <c r="EB18" i="7"/>
  <c r="AK18" i="7"/>
  <c r="EC18" i="7"/>
  <c r="AL18" i="7"/>
  <c r="ED18" i="7"/>
  <c r="AM18" i="7"/>
  <c r="EE18" i="7"/>
  <c r="AN18" i="7"/>
  <c r="EF18" i="7"/>
  <c r="AO18" i="7"/>
  <c r="EG18" i="7"/>
  <c r="AP18" i="7"/>
  <c r="EH18" i="7"/>
  <c r="AQ18" i="7"/>
  <c r="EI18" i="7"/>
  <c r="AR18" i="7"/>
  <c r="EJ18" i="7"/>
  <c r="AS18" i="7"/>
  <c r="EK18" i="7"/>
  <c r="AT18" i="7"/>
  <c r="EL18" i="7"/>
  <c r="AU18" i="7"/>
  <c r="EM18" i="7"/>
  <c r="AV18" i="7"/>
  <c r="EN18" i="7"/>
  <c r="AW18" i="7"/>
  <c r="EO18" i="7"/>
  <c r="AX18" i="7"/>
  <c r="EP18" i="7"/>
  <c r="AY18" i="7"/>
  <c r="EQ18" i="7"/>
  <c r="AZ18" i="7"/>
  <c r="ER18" i="7"/>
  <c r="BA18" i="7"/>
  <c r="ES18" i="7"/>
  <c r="BB18" i="7"/>
  <c r="ET18" i="7"/>
  <c r="BC18" i="7"/>
  <c r="EU18" i="7"/>
  <c r="BD18" i="7"/>
  <c r="EV18" i="7"/>
  <c r="BE18" i="7"/>
  <c r="EW18" i="7"/>
  <c r="BF18" i="7"/>
  <c r="EX18" i="7"/>
  <c r="BG18" i="7"/>
  <c r="EY18" i="7"/>
  <c r="BH18" i="7"/>
  <c r="EZ18" i="7"/>
  <c r="H63" i="7"/>
  <c r="H27" i="7"/>
  <c r="J43" i="7"/>
  <c r="J7" i="7"/>
  <c r="M43" i="7"/>
  <c r="L43" i="7"/>
  <c r="K43" i="7"/>
  <c r="M7" i="7"/>
  <c r="L7" i="7"/>
  <c r="K7" i="7"/>
  <c r="L54" i="7"/>
  <c r="K54" i="7"/>
  <c r="M54" i="7"/>
  <c r="M18" i="7"/>
  <c r="K18" i="7"/>
  <c r="L18" i="7"/>
  <c r="K53" i="7"/>
  <c r="J53" i="7"/>
  <c r="J17" i="7"/>
  <c r="K17" i="7"/>
  <c r="BV53" i="7"/>
  <c r="GR53" i="7"/>
  <c r="EE53" i="7"/>
  <c r="BR53" i="7"/>
  <c r="GN53" i="7"/>
  <c r="EA53" i="7"/>
  <c r="BN53" i="7"/>
  <c r="GJ53" i="7"/>
  <c r="DW53" i="7"/>
  <c r="BI53" i="7"/>
  <c r="CP53" i="7"/>
  <c r="AA53" i="7"/>
  <c r="BF53" i="7"/>
  <c r="GB53" i="7"/>
  <c r="DO53" i="7"/>
  <c r="BB53" i="7"/>
  <c r="FX53" i="7"/>
  <c r="DK53" i="7"/>
  <c r="AX53" i="7"/>
  <c r="FT53" i="7"/>
  <c r="DG53" i="7"/>
  <c r="AS53" i="7"/>
  <c r="CM53" i="7"/>
  <c r="EL53" i="7"/>
  <c r="AP53" i="7"/>
  <c r="FL53" i="7"/>
  <c r="CY53" i="7"/>
  <c r="AL53" i="7"/>
  <c r="FH53" i="7"/>
  <c r="CU53" i="7"/>
  <c r="AH53" i="7"/>
  <c r="FD53" i="7"/>
  <c r="CQ53" i="7"/>
  <c r="AC53" i="7"/>
  <c r="BZ53" i="7"/>
  <c r="N53" i="7"/>
  <c r="Z53" i="7"/>
  <c r="EV53" i="7"/>
  <c r="CI53" i="7"/>
  <c r="V53" i="7"/>
  <c r="ER53" i="7"/>
  <c r="CE53" i="7"/>
  <c r="R53" i="7"/>
  <c r="EN53" i="7"/>
  <c r="CA53" i="7"/>
  <c r="M53" i="7"/>
  <c r="GU53" i="7"/>
  <c r="EI53" i="7"/>
  <c r="GS53" i="7"/>
  <c r="EF53" i="7"/>
  <c r="BS53" i="7"/>
  <c r="GO53" i="7"/>
  <c r="EB53" i="7"/>
  <c r="BO53" i="7"/>
  <c r="GK53" i="7"/>
  <c r="DX53" i="7"/>
  <c r="BK53" i="7"/>
  <c r="GF53" i="7"/>
  <c r="BW53" i="7"/>
  <c r="DC53" i="7"/>
  <c r="GC53" i="7"/>
  <c r="DP53" i="7"/>
  <c r="BC53" i="7"/>
  <c r="FY53" i="7"/>
  <c r="DL53" i="7"/>
  <c r="AY53" i="7"/>
  <c r="FU53" i="7"/>
  <c r="DH53" i="7"/>
  <c r="AU53" i="7"/>
  <c r="FP53" i="7"/>
  <c r="GH53" i="7"/>
  <c r="DF53" i="7"/>
  <c r="FM53" i="7"/>
  <c r="CZ53" i="7"/>
  <c r="AM53" i="7"/>
  <c r="FI53" i="7"/>
  <c r="CV53" i="7"/>
  <c r="AI53" i="7"/>
  <c r="FE53" i="7"/>
  <c r="CR53" i="7"/>
  <c r="AE53" i="7"/>
  <c r="EZ53" i="7"/>
  <c r="BJ53" i="7"/>
  <c r="DS53" i="7"/>
  <c r="EW53" i="7"/>
  <c r="CJ53" i="7"/>
  <c r="W53" i="7"/>
  <c r="ES53" i="7"/>
  <c r="CF53" i="7"/>
  <c r="S53" i="7"/>
  <c r="EO53" i="7"/>
  <c r="CB53" i="7"/>
  <c r="O53" i="7"/>
  <c r="EJ53" i="7"/>
  <c r="GE53" i="7"/>
  <c r="DV53" i="7"/>
  <c r="GT53" i="7"/>
  <c r="EG53" i="7"/>
  <c r="BT53" i="7"/>
  <c r="GP53" i="7"/>
  <c r="EC53" i="7"/>
  <c r="BP53" i="7"/>
  <c r="GL53" i="7"/>
  <c r="DY53" i="7"/>
  <c r="BL53" i="7"/>
  <c r="GG53" i="7"/>
  <c r="DT53" i="7"/>
  <c r="BG53" i="7"/>
  <c r="GD53" i="7"/>
  <c r="DQ53" i="7"/>
  <c r="BD53" i="7"/>
  <c r="FZ53" i="7"/>
  <c r="DM53" i="7"/>
  <c r="AZ53" i="7"/>
  <c r="FV53" i="7"/>
  <c r="DI53" i="7"/>
  <c r="AV53" i="7"/>
  <c r="FQ53" i="7"/>
  <c r="DD53" i="7"/>
  <c r="FR53" i="7"/>
  <c r="FN53" i="7"/>
  <c r="DA53" i="7"/>
  <c r="AN53" i="7"/>
  <c r="FJ53" i="7"/>
  <c r="CW53" i="7"/>
  <c r="AJ53" i="7"/>
  <c r="FF53" i="7"/>
  <c r="CS53" i="7"/>
  <c r="AF53" i="7"/>
  <c r="FA53" i="7"/>
  <c r="CN53" i="7"/>
  <c r="AT53" i="7"/>
  <c r="EX53" i="7"/>
  <c r="CK53" i="7"/>
  <c r="X53" i="7"/>
  <c r="ET53" i="7"/>
  <c r="CG53" i="7"/>
  <c r="T53" i="7"/>
  <c r="EP53" i="7"/>
  <c r="CC53" i="7"/>
  <c r="P53" i="7"/>
  <c r="EK53" i="7"/>
  <c r="BX53" i="7"/>
  <c r="FO53" i="7"/>
  <c r="EH53" i="7"/>
  <c r="BU53" i="7"/>
  <c r="GQ53" i="7"/>
  <c r="ED53" i="7"/>
  <c r="BQ53" i="7"/>
  <c r="GM53" i="7"/>
  <c r="DZ53" i="7"/>
  <c r="BM53" i="7"/>
  <c r="GI53" i="7"/>
  <c r="DU53" i="7"/>
  <c r="BH53" i="7"/>
  <c r="AQ53" i="7"/>
  <c r="DR53" i="7"/>
  <c r="BE53" i="7"/>
  <c r="GA53" i="7"/>
  <c r="DN53" i="7"/>
  <c r="BA53" i="7"/>
  <c r="FW53" i="7"/>
  <c r="DJ53" i="7"/>
  <c r="AW53" i="7"/>
  <c r="FS53" i="7"/>
  <c r="DE53" i="7"/>
  <c r="AR53" i="7"/>
  <c r="FB53" i="7"/>
  <c r="DB53" i="7"/>
  <c r="AO53" i="7"/>
  <c r="FK53" i="7"/>
  <c r="CX53" i="7"/>
  <c r="AK53" i="7"/>
  <c r="FG53" i="7"/>
  <c r="CT53" i="7"/>
  <c r="AG53" i="7"/>
  <c r="FC53" i="7"/>
  <c r="CO53" i="7"/>
  <c r="AB53" i="7"/>
  <c r="AD53" i="7"/>
  <c r="CL53" i="7"/>
  <c r="Y53" i="7"/>
  <c r="EU53" i="7"/>
  <c r="CH53" i="7"/>
  <c r="U53" i="7"/>
  <c r="EQ53" i="7"/>
  <c r="CD53" i="7"/>
  <c r="Q53" i="7"/>
  <c r="EM53" i="7"/>
  <c r="BY53" i="7"/>
  <c r="L53" i="7"/>
  <c r="EY53" i="7"/>
  <c r="Z17" i="7"/>
  <c r="DR17" i="7"/>
  <c r="AA17" i="7"/>
  <c r="DS17" i="7"/>
  <c r="AB17" i="7"/>
  <c r="AR17" i="7"/>
  <c r="AX17" i="7"/>
  <c r="EP17" i="7"/>
  <c r="BP17" i="7"/>
  <c r="BV17" i="7"/>
  <c r="FN17" i="7"/>
  <c r="BW17" i="7"/>
  <c r="FO17" i="7"/>
  <c r="BB17" i="7"/>
  <c r="N17" i="7"/>
  <c r="EV17" i="7"/>
  <c r="BQ17" i="7"/>
  <c r="GA17" i="7"/>
  <c r="BZ17" i="7"/>
  <c r="FR17" i="7"/>
  <c r="EU17" i="7"/>
  <c r="EX17" i="7"/>
  <c r="EY17" i="7"/>
  <c r="FA17" i="7"/>
  <c r="FQ17" i="7"/>
  <c r="DH17" i="7"/>
  <c r="T17" i="7"/>
  <c r="FB17" i="7"/>
  <c r="CC17" i="7"/>
  <c r="GG17" i="7"/>
  <c r="CF17" i="7"/>
  <c r="FX17" i="7"/>
  <c r="FG17" i="7"/>
  <c r="FJ17" i="7"/>
  <c r="FK17" i="7"/>
  <c r="FM17" i="7"/>
  <c r="GC17" i="7"/>
  <c r="GB17" i="7"/>
  <c r="AF17" i="7"/>
  <c r="FH17" i="7"/>
  <c r="CI17" i="7"/>
  <c r="GM17" i="7"/>
  <c r="CL17" i="7"/>
  <c r="GD17" i="7"/>
  <c r="FS17" i="7"/>
  <c r="FV17" i="7"/>
  <c r="FW17" i="7"/>
  <c r="FY17" i="7"/>
  <c r="GO17" i="7"/>
  <c r="AL17" i="7"/>
  <c r="FT17" i="7"/>
  <c r="CO17" i="7"/>
  <c r="GS17" i="7"/>
  <c r="CR17" i="7"/>
  <c r="GJ17" i="7"/>
  <c r="GE17" i="7"/>
  <c r="GH17" i="7"/>
  <c r="GI17" i="7"/>
  <c r="GK17" i="7"/>
  <c r="AZ17" i="7"/>
  <c r="BD17" i="7"/>
  <c r="FZ17" i="7"/>
  <c r="CU17" i="7"/>
  <c r="P17" i="7"/>
  <c r="CX17" i="7"/>
  <c r="GP17" i="7"/>
  <c r="GQ17" i="7"/>
  <c r="GT17" i="7"/>
  <c r="GU17" i="7"/>
  <c r="AC17" i="7"/>
  <c r="DT17" i="7"/>
  <c r="BJ17" i="7"/>
  <c r="GF17" i="7"/>
  <c r="DA17" i="7"/>
  <c r="V17" i="7"/>
  <c r="DD17" i="7"/>
  <c r="M17" i="7"/>
  <c r="Q17" i="7"/>
  <c r="S17" i="7"/>
  <c r="W17" i="7"/>
  <c r="AO17" i="7"/>
  <c r="GN17" i="7"/>
  <c r="CB17" i="7"/>
  <c r="GL17" i="7"/>
  <c r="DG17" i="7"/>
  <c r="L17" i="7"/>
  <c r="DJ17" i="7"/>
  <c r="AE17" i="7"/>
  <c r="AH17" i="7"/>
  <c r="AI17" i="7"/>
  <c r="AK17" i="7"/>
  <c r="BA17" i="7"/>
  <c r="BL17" i="7"/>
  <c r="CH17" i="7"/>
  <c r="GR17" i="7"/>
  <c r="DM17" i="7"/>
  <c r="R17" i="7"/>
  <c r="DP17" i="7"/>
  <c r="AQ17" i="7"/>
  <c r="AT17" i="7"/>
  <c r="AU17" i="7"/>
  <c r="AW17" i="7"/>
  <c r="BM17" i="7"/>
  <c r="EF17" i="7"/>
  <c r="CN17" i="7"/>
  <c r="O17" i="7"/>
  <c r="DY17" i="7"/>
  <c r="X17" i="7"/>
  <c r="DV17" i="7"/>
  <c r="BC17" i="7"/>
  <c r="BF17" i="7"/>
  <c r="BG17" i="7"/>
  <c r="BI17" i="7"/>
  <c r="BY17" i="7"/>
  <c r="BX17" i="7"/>
  <c r="CT17" i="7"/>
  <c r="U17" i="7"/>
  <c r="EE17" i="7"/>
  <c r="AD17" i="7"/>
  <c r="EB17" i="7"/>
  <c r="BO17" i="7"/>
  <c r="BR17" i="7"/>
  <c r="BS17" i="7"/>
  <c r="BU17" i="7"/>
  <c r="CK17" i="7"/>
  <c r="ER17" i="7"/>
  <c r="CZ17" i="7"/>
  <c r="AG17" i="7"/>
  <c r="EK17" i="7"/>
  <c r="AJ17" i="7"/>
  <c r="EH17" i="7"/>
  <c r="CA17" i="7"/>
  <c r="CD17" i="7"/>
  <c r="CE17" i="7"/>
  <c r="CG17" i="7"/>
  <c r="CW17" i="7"/>
  <c r="CJ17" i="7"/>
  <c r="DF17" i="7"/>
  <c r="AM17" i="7"/>
  <c r="EQ17" i="7"/>
  <c r="AP17" i="7"/>
  <c r="EN17" i="7"/>
  <c r="CM17" i="7"/>
  <c r="CP17" i="7"/>
  <c r="CQ17" i="7"/>
  <c r="CS17" i="7"/>
  <c r="DI17" i="7"/>
  <c r="FD17" i="7"/>
  <c r="DL17" i="7"/>
  <c r="AS17" i="7"/>
  <c r="EW17" i="7"/>
  <c r="AV17" i="7"/>
  <c r="ET17" i="7"/>
  <c r="CY17" i="7"/>
  <c r="DB17" i="7"/>
  <c r="DC17" i="7"/>
  <c r="DE17" i="7"/>
  <c r="DU17" i="7"/>
  <c r="Y17" i="7"/>
  <c r="DX17" i="7"/>
  <c r="AY17" i="7"/>
  <c r="FC17" i="7"/>
  <c r="BH17" i="7"/>
  <c r="EZ17" i="7"/>
  <c r="DK17" i="7"/>
  <c r="DN17" i="7"/>
  <c r="DO17" i="7"/>
  <c r="DQ17" i="7"/>
  <c r="EG17" i="7"/>
  <c r="CV17" i="7"/>
  <c r="ED17" i="7"/>
  <c r="BE17" i="7"/>
  <c r="FI17" i="7"/>
  <c r="BN17" i="7"/>
  <c r="FF17" i="7"/>
  <c r="DW17" i="7"/>
  <c r="DZ17" i="7"/>
  <c r="EA17" i="7"/>
  <c r="EC17" i="7"/>
  <c r="ES17" i="7"/>
  <c r="FP17" i="7"/>
  <c r="EJ17" i="7"/>
  <c r="BK17" i="7"/>
  <c r="FU17" i="7"/>
  <c r="BT17" i="7"/>
  <c r="FL17" i="7"/>
  <c r="EI17" i="7"/>
  <c r="EL17" i="7"/>
  <c r="EM17" i="7"/>
  <c r="EO17" i="7"/>
  <c r="FE17" i="7"/>
  <c r="AN17" i="7"/>
  <c r="I56" i="7"/>
  <c r="H20" i="7"/>
  <c r="I20" i="7"/>
  <c r="H56" i="7"/>
  <c r="EB56" i="7"/>
  <c r="BO56" i="7"/>
  <c r="GQ56" i="7"/>
  <c r="DX56" i="7"/>
  <c r="BK56" i="7"/>
  <c r="GM56" i="7"/>
  <c r="DT56" i="7"/>
  <c r="BG56" i="7"/>
  <c r="GI56" i="7"/>
  <c r="AL56" i="7"/>
  <c r="EF56" i="7"/>
  <c r="BA56" i="7"/>
  <c r="DL56" i="7"/>
  <c r="AY56" i="7"/>
  <c r="FY56" i="7"/>
  <c r="DH56" i="7"/>
  <c r="AU56" i="7"/>
  <c r="FU56" i="7"/>
  <c r="DD56" i="7"/>
  <c r="AQ56" i="7"/>
  <c r="FQ56" i="7"/>
  <c r="FK56" i="7"/>
  <c r="BT56" i="7"/>
  <c r="GG56" i="7"/>
  <c r="CV56" i="7"/>
  <c r="AI56" i="7"/>
  <c r="FG56" i="7"/>
  <c r="CR56" i="7"/>
  <c r="AE56" i="7"/>
  <c r="FC56" i="7"/>
  <c r="CN56" i="7"/>
  <c r="AA56" i="7"/>
  <c r="EY56" i="7"/>
  <c r="CW56" i="7"/>
  <c r="EE56" i="7"/>
  <c r="FP56" i="7"/>
  <c r="CF56" i="7"/>
  <c r="S56" i="7"/>
  <c r="EO56" i="7"/>
  <c r="CB56" i="7"/>
  <c r="O56" i="7"/>
  <c r="EK56" i="7"/>
  <c r="BX56" i="7"/>
  <c r="K56" i="7"/>
  <c r="EG56" i="7"/>
  <c r="AK56" i="7"/>
  <c r="BS56" i="7"/>
  <c r="DO56" i="7"/>
  <c r="BP56" i="7"/>
  <c r="GT56" i="7"/>
  <c r="DY56" i="7"/>
  <c r="BL56" i="7"/>
  <c r="GN56" i="7"/>
  <c r="DU56" i="7"/>
  <c r="BH56" i="7"/>
  <c r="GJ56" i="7"/>
  <c r="DQ56" i="7"/>
  <c r="EX56" i="7"/>
  <c r="ED56" i="7"/>
  <c r="CZ56" i="7"/>
  <c r="GS56" i="7"/>
  <c r="AZ56" i="7"/>
  <c r="FZ56" i="7"/>
  <c r="DI56" i="7"/>
  <c r="AV56" i="7"/>
  <c r="FV56" i="7"/>
  <c r="DE56" i="7"/>
  <c r="AR56" i="7"/>
  <c r="FR56" i="7"/>
  <c r="DA56" i="7"/>
  <c r="CJ56" i="7"/>
  <c r="BR56" i="7"/>
  <c r="BC56" i="7"/>
  <c r="GC56" i="7"/>
  <c r="AJ56" i="7"/>
  <c r="FH56" i="7"/>
  <c r="CS56" i="7"/>
  <c r="AF56" i="7"/>
  <c r="FD56" i="7"/>
  <c r="CO56" i="7"/>
  <c r="AB56" i="7"/>
  <c r="EZ56" i="7"/>
  <c r="CK56" i="7"/>
  <c r="X56" i="7"/>
  <c r="EC56" i="7"/>
  <c r="AN56" i="7"/>
  <c r="FM56" i="7"/>
  <c r="T56" i="7"/>
  <c r="EP56" i="7"/>
  <c r="CC56" i="7"/>
  <c r="P56" i="7"/>
  <c r="EL56" i="7"/>
  <c r="BY56" i="7"/>
  <c r="L56" i="7"/>
  <c r="EH56" i="7"/>
  <c r="BU56" i="7"/>
  <c r="EU56" i="7"/>
  <c r="BQ56" i="7"/>
  <c r="EW56" i="7"/>
  <c r="GU56" i="7"/>
  <c r="DZ56" i="7"/>
  <c r="BM56" i="7"/>
  <c r="GO56" i="7"/>
  <c r="DV56" i="7"/>
  <c r="BI56" i="7"/>
  <c r="GK56" i="7"/>
  <c r="DR56" i="7"/>
  <c r="BE56" i="7"/>
  <c r="CI56" i="7"/>
  <c r="GH56" i="7"/>
  <c r="GR56" i="7"/>
  <c r="GA56" i="7"/>
  <c r="DJ56" i="7"/>
  <c r="AW56" i="7"/>
  <c r="FW56" i="7"/>
  <c r="DF56" i="7"/>
  <c r="AS56" i="7"/>
  <c r="FS56" i="7"/>
  <c r="DB56" i="7"/>
  <c r="AO56" i="7"/>
  <c r="W56" i="7"/>
  <c r="DP56" i="7"/>
  <c r="GB56" i="7"/>
  <c r="FI56" i="7"/>
  <c r="CT56" i="7"/>
  <c r="AG56" i="7"/>
  <c r="FE56" i="7"/>
  <c r="CP56" i="7"/>
  <c r="AC56" i="7"/>
  <c r="FA56" i="7"/>
  <c r="CL56" i="7"/>
  <c r="Y56" i="7"/>
  <c r="ET56" i="7"/>
  <c r="BD56" i="7"/>
  <c r="FL56" i="7"/>
  <c r="EQ56" i="7"/>
  <c r="CD56" i="7"/>
  <c r="Q56" i="7"/>
  <c r="EM56" i="7"/>
  <c r="BZ56" i="7"/>
  <c r="M56" i="7"/>
  <c r="EI56" i="7"/>
  <c r="BV56" i="7"/>
  <c r="FO56" i="7"/>
  <c r="CH56" i="7"/>
  <c r="GF56" i="7"/>
  <c r="EV56" i="7"/>
  <c r="EA56" i="7"/>
  <c r="BN56" i="7"/>
  <c r="GP56" i="7"/>
  <c r="DW56" i="7"/>
  <c r="BJ56" i="7"/>
  <c r="GL56" i="7"/>
  <c r="DS56" i="7"/>
  <c r="BF56" i="7"/>
  <c r="CY56" i="7"/>
  <c r="V56" i="7"/>
  <c r="DN56" i="7"/>
  <c r="GD56" i="7"/>
  <c r="DK56" i="7"/>
  <c r="AX56" i="7"/>
  <c r="ER56" i="7"/>
  <c r="CE56" i="7"/>
  <c r="R56" i="7"/>
  <c r="EN56" i="7"/>
  <c r="CA56" i="7"/>
  <c r="N56" i="7"/>
  <c r="EJ56" i="7"/>
  <c r="BW56" i="7"/>
  <c r="J56" i="7"/>
  <c r="CX56" i="7"/>
  <c r="U56" i="7"/>
  <c r="DM56" i="7"/>
  <c r="CU56" i="7"/>
  <c r="ES56" i="7"/>
  <c r="AH56" i="7"/>
  <c r="CG56" i="7"/>
  <c r="FX56" i="7"/>
  <c r="BB56" i="7"/>
  <c r="FF56" i="7"/>
  <c r="GE56" i="7"/>
  <c r="DG56" i="7"/>
  <c r="CQ56" i="7"/>
  <c r="AT56" i="7"/>
  <c r="AD56" i="7"/>
  <c r="FT56" i="7"/>
  <c r="FB56" i="7"/>
  <c r="DC56" i="7"/>
  <c r="CM56" i="7"/>
  <c r="AP56" i="7"/>
  <c r="Z56" i="7"/>
  <c r="AM56" i="7"/>
  <c r="FJ56" i="7"/>
  <c r="FN56" i="7"/>
  <c r="AR20" i="7"/>
  <c r="EJ20" i="7"/>
  <c r="AO20" i="7"/>
  <c r="R20" i="7"/>
  <c r="EZ20" i="7"/>
  <c r="CM20" i="7"/>
  <c r="U20" i="7"/>
  <c r="FC20" i="7"/>
  <c r="CP20" i="7"/>
  <c r="X20" i="7"/>
  <c r="FE20" i="7"/>
  <c r="FM20" i="7"/>
  <c r="AX20" i="7"/>
  <c r="EP20" i="7"/>
  <c r="AU20" i="7"/>
  <c r="AA20" i="7"/>
  <c r="FG20" i="7"/>
  <c r="CV20" i="7"/>
  <c r="AD20" i="7"/>
  <c r="FJ20" i="7"/>
  <c r="CY20" i="7"/>
  <c r="AG20" i="7"/>
  <c r="FL20" i="7"/>
  <c r="Y20" i="7"/>
  <c r="BD20" i="7"/>
  <c r="EV20" i="7"/>
  <c r="BA20" i="7"/>
  <c r="AJ20" i="7"/>
  <c r="FO20" i="7"/>
  <c r="DE20" i="7"/>
  <c r="AM20" i="7"/>
  <c r="FQ20" i="7"/>
  <c r="DH20" i="7"/>
  <c r="AP20" i="7"/>
  <c r="FS20" i="7"/>
  <c r="CA20" i="7"/>
  <c r="BJ20" i="7"/>
  <c r="FB20" i="7"/>
  <c r="BG20" i="7"/>
  <c r="AS20" i="7"/>
  <c r="FV20" i="7"/>
  <c r="DN20" i="7"/>
  <c r="AV20" i="7"/>
  <c r="FX20" i="7"/>
  <c r="DQ20" i="7"/>
  <c r="AY20" i="7"/>
  <c r="GA20" i="7"/>
  <c r="EC20" i="7"/>
  <c r="BP20" i="7"/>
  <c r="FH20" i="7"/>
  <c r="BM20" i="7"/>
  <c r="BB20" i="7"/>
  <c r="GC20" i="7"/>
  <c r="DW20" i="7"/>
  <c r="BE20" i="7"/>
  <c r="GE20" i="7"/>
  <c r="DZ20" i="7"/>
  <c r="BH20" i="7"/>
  <c r="GH20" i="7"/>
  <c r="FU20" i="7"/>
  <c r="BV20" i="7"/>
  <c r="FN20" i="7"/>
  <c r="BS20" i="7"/>
  <c r="BK20" i="7"/>
  <c r="GJ20" i="7"/>
  <c r="EF20" i="7"/>
  <c r="BN20" i="7"/>
  <c r="GM20" i="7"/>
  <c r="EH20" i="7"/>
  <c r="BQ20" i="7"/>
  <c r="GO20" i="7"/>
  <c r="AQ20" i="7"/>
  <c r="CB20" i="7"/>
  <c r="FT20" i="7"/>
  <c r="BY20" i="7"/>
  <c r="BT20" i="7"/>
  <c r="GQ20" i="7"/>
  <c r="EM20" i="7"/>
  <c r="BW20" i="7"/>
  <c r="GT20" i="7"/>
  <c r="EO20" i="7"/>
  <c r="BZ20" i="7"/>
  <c r="AZ20" i="7"/>
  <c r="CS20" i="7"/>
  <c r="CH20" i="7"/>
  <c r="FZ20" i="7"/>
  <c r="CE20" i="7"/>
  <c r="CC20" i="7"/>
  <c r="J20" i="7"/>
  <c r="ET20" i="7"/>
  <c r="CF20" i="7"/>
  <c r="M20" i="7"/>
  <c r="EW20" i="7"/>
  <c r="CI20" i="7"/>
  <c r="DB20" i="7"/>
  <c r="ER20" i="7"/>
  <c r="CN20" i="7"/>
  <c r="GF20" i="7"/>
  <c r="CK20" i="7"/>
  <c r="CL20" i="7"/>
  <c r="S20" i="7"/>
  <c r="FA20" i="7"/>
  <c r="CO20" i="7"/>
  <c r="V20" i="7"/>
  <c r="FD20" i="7"/>
  <c r="CR20" i="7"/>
  <c r="EY20" i="7"/>
  <c r="GI20" i="7"/>
  <c r="CT20" i="7"/>
  <c r="GL20" i="7"/>
  <c r="CQ20" i="7"/>
  <c r="CU20" i="7"/>
  <c r="AB20" i="7"/>
  <c r="FI20" i="7"/>
  <c r="CX20" i="7"/>
  <c r="AE20" i="7"/>
  <c r="FK20" i="7"/>
  <c r="DA20" i="7"/>
  <c r="GP20" i="7"/>
  <c r="CJ20" i="7"/>
  <c r="CZ20" i="7"/>
  <c r="GR20" i="7"/>
  <c r="CW20" i="7"/>
  <c r="DD20" i="7"/>
  <c r="AK20" i="7"/>
  <c r="FP20" i="7"/>
  <c r="DG20" i="7"/>
  <c r="AN20" i="7"/>
  <c r="FR20" i="7"/>
  <c r="DJ20" i="7"/>
  <c r="BI20" i="7"/>
  <c r="EK20" i="7"/>
  <c r="N20" i="7"/>
  <c r="DF20" i="7"/>
  <c r="K20" i="7"/>
  <c r="DC20" i="7"/>
  <c r="DM20" i="7"/>
  <c r="AT20" i="7"/>
  <c r="FW20" i="7"/>
  <c r="DP20" i="7"/>
  <c r="AW20" i="7"/>
  <c r="FY20" i="7"/>
  <c r="DS20" i="7"/>
  <c r="DK20" i="7"/>
  <c r="GB20" i="7"/>
  <c r="T20" i="7"/>
  <c r="DL20" i="7"/>
  <c r="Q20" i="7"/>
  <c r="DI20" i="7"/>
  <c r="DV20" i="7"/>
  <c r="BC20" i="7"/>
  <c r="GD20" i="7"/>
  <c r="DY20" i="7"/>
  <c r="BF20" i="7"/>
  <c r="GG20" i="7"/>
  <c r="EB20" i="7"/>
  <c r="FF20" i="7"/>
  <c r="AH20" i="7"/>
  <c r="Z20" i="7"/>
  <c r="DR20" i="7"/>
  <c r="W20" i="7"/>
  <c r="DO20" i="7"/>
  <c r="EE20" i="7"/>
  <c r="BL20" i="7"/>
  <c r="GK20" i="7"/>
  <c r="EG20" i="7"/>
  <c r="BO20" i="7"/>
  <c r="GN20" i="7"/>
  <c r="EI20" i="7"/>
  <c r="P20" i="7"/>
  <c r="AF20" i="7"/>
  <c r="DX20" i="7"/>
  <c r="AC20" i="7"/>
  <c r="DU20" i="7"/>
  <c r="EL20" i="7"/>
  <c r="BU20" i="7"/>
  <c r="GS20" i="7"/>
  <c r="EN20" i="7"/>
  <c r="BX20" i="7"/>
  <c r="GU20" i="7"/>
  <c r="EQ20" i="7"/>
  <c r="BR20" i="7"/>
  <c r="AL20" i="7"/>
  <c r="ED20" i="7"/>
  <c r="AI20" i="7"/>
  <c r="EA20" i="7"/>
  <c r="ES20" i="7"/>
  <c r="CD20" i="7"/>
  <c r="L20" i="7"/>
  <c r="EU20" i="7"/>
  <c r="CG20" i="7"/>
  <c r="O20" i="7"/>
  <c r="EX20" i="7"/>
  <c r="DT20" i="7"/>
  <c r="FB55" i="7"/>
  <c r="CO55" i="7"/>
  <c r="AB55" i="7"/>
  <c r="GD55" i="7"/>
  <c r="DQ55" i="7"/>
  <c r="BD55" i="7"/>
  <c r="FZ55" i="7"/>
  <c r="DM55" i="7"/>
  <c r="AZ55" i="7"/>
  <c r="DH55" i="7"/>
  <c r="S55" i="7"/>
  <c r="DY55" i="7"/>
  <c r="AD19" i="7"/>
  <c r="DV19" i="7"/>
  <c r="AE19" i="7"/>
  <c r="DW19" i="7"/>
  <c r="AF19" i="7"/>
  <c r="DX19" i="7"/>
  <c r="AG19" i="7"/>
  <c r="DY19" i="7"/>
  <c r="AH19" i="7"/>
  <c r="DZ19" i="7"/>
  <c r="EM19" i="7"/>
  <c r="DU19" i="7"/>
  <c r="EL55" i="7"/>
  <c r="BY55" i="7"/>
  <c r="L55" i="7"/>
  <c r="FN55" i="7"/>
  <c r="DA55" i="7"/>
  <c r="AN55" i="7"/>
  <c r="FJ55" i="7"/>
  <c r="CW55" i="7"/>
  <c r="AJ55" i="7"/>
  <c r="AV55" i="7"/>
  <c r="EP55" i="7"/>
  <c r="GK55" i="7"/>
  <c r="AJ19" i="7"/>
  <c r="EB19" i="7"/>
  <c r="AK19" i="7"/>
  <c r="GI55" i="7"/>
  <c r="DV55" i="7"/>
  <c r="BI55" i="7"/>
  <c r="GU55" i="7"/>
  <c r="EX55" i="7"/>
  <c r="CK55" i="7"/>
  <c r="X55" i="7"/>
  <c r="ET55" i="7"/>
  <c r="CG55" i="7"/>
  <c r="T55" i="7"/>
  <c r="FG55" i="7"/>
  <c r="CD55" i="7"/>
  <c r="EN55" i="7"/>
  <c r="AP19" i="7"/>
  <c r="EH19" i="7"/>
  <c r="AQ19" i="7"/>
  <c r="EI19" i="7"/>
  <c r="AR19" i="7"/>
  <c r="EJ19" i="7"/>
  <c r="AS19" i="7"/>
  <c r="EK19" i="7"/>
  <c r="AT19" i="7"/>
  <c r="EL19" i="7"/>
  <c r="AO19" i="7"/>
  <c r="FS55" i="7"/>
  <c r="DF55" i="7"/>
  <c r="AS55" i="7"/>
  <c r="GE55" i="7"/>
  <c r="EH55" i="7"/>
  <c r="BU55" i="7"/>
  <c r="GQ55" i="7"/>
  <c r="ED55" i="7"/>
  <c r="BQ55" i="7"/>
  <c r="GJ55" i="7"/>
  <c r="CU55" i="7"/>
  <c r="R55" i="7"/>
  <c r="FC55" i="7"/>
  <c r="CP55" i="7"/>
  <c r="AC55" i="7"/>
  <c r="FO55" i="7"/>
  <c r="DR55" i="7"/>
  <c r="BE55" i="7"/>
  <c r="GA55" i="7"/>
  <c r="DN55" i="7"/>
  <c r="BA55" i="7"/>
  <c r="DX55" i="7"/>
  <c r="AI55" i="7"/>
  <c r="EO55" i="7"/>
  <c r="BB19" i="7"/>
  <c r="ET19" i="7"/>
  <c r="BC19" i="7"/>
  <c r="EU19" i="7"/>
  <c r="BD19" i="7"/>
  <c r="EV19" i="7"/>
  <c r="BE19" i="7"/>
  <c r="EW19" i="7"/>
  <c r="BF19" i="7"/>
  <c r="EM55" i="7"/>
  <c r="BZ55" i="7"/>
  <c r="M55" i="7"/>
  <c r="EY55" i="7"/>
  <c r="DB55" i="7"/>
  <c r="AO55" i="7"/>
  <c r="FK55" i="7"/>
  <c r="CX55" i="7"/>
  <c r="AK55" i="7"/>
  <c r="BL55" i="7"/>
  <c r="FF55" i="7"/>
  <c r="CC55" i="7"/>
  <c r="BH19" i="7"/>
  <c r="EZ19" i="7"/>
  <c r="BI19" i="7"/>
  <c r="FA19" i="7"/>
  <c r="BJ19" i="7"/>
  <c r="FB19" i="7"/>
  <c r="BK19" i="7"/>
  <c r="FC19" i="7"/>
  <c r="BL19" i="7"/>
  <c r="DW55" i="7"/>
  <c r="BJ55" i="7"/>
  <c r="GF55" i="7"/>
  <c r="EI55" i="7"/>
  <c r="CL55" i="7"/>
  <c r="Y55" i="7"/>
  <c r="EU55" i="7"/>
  <c r="CH55" i="7"/>
  <c r="U55" i="7"/>
  <c r="FW55" i="7"/>
  <c r="CT55" i="7"/>
  <c r="Q55" i="7"/>
  <c r="BN19" i="7"/>
  <c r="DG55" i="7"/>
  <c r="AT55" i="7"/>
  <c r="FP55" i="7"/>
  <c r="DS55" i="7"/>
  <c r="BV55" i="7"/>
  <c r="GR55" i="7"/>
  <c r="EE55" i="7"/>
  <c r="BR55" i="7"/>
  <c r="GN55" i="7"/>
  <c r="DK55" i="7"/>
  <c r="AH55" i="7"/>
  <c r="GM55" i="7"/>
  <c r="BT19" i="7"/>
  <c r="FL19" i="7"/>
  <c r="BU19" i="7"/>
  <c r="FM19" i="7"/>
  <c r="BV19" i="7"/>
  <c r="FN19" i="7"/>
  <c r="BW19" i="7"/>
  <c r="FO19" i="7"/>
  <c r="BX19" i="7"/>
  <c r="FP19" i="7"/>
  <c r="K19" i="7"/>
  <c r="FQ19" i="7"/>
  <c r="CQ55" i="7"/>
  <c r="AD55" i="7"/>
  <c r="EZ55" i="7"/>
  <c r="DC55" i="7"/>
  <c r="BF55" i="7"/>
  <c r="GB55" i="7"/>
  <c r="DO55" i="7"/>
  <c r="BB55" i="7"/>
  <c r="FX55" i="7"/>
  <c r="AY55" i="7"/>
  <c r="FE55" i="7"/>
  <c r="EA55" i="7"/>
  <c r="CA55" i="7"/>
  <c r="N55" i="7"/>
  <c r="EJ55" i="7"/>
  <c r="CM55" i="7"/>
  <c r="AP55" i="7"/>
  <c r="FL55" i="7"/>
  <c r="CY55" i="7"/>
  <c r="AL55" i="7"/>
  <c r="FH55" i="7"/>
  <c r="FV55" i="7"/>
  <c r="CS55" i="7"/>
  <c r="BO55" i="7"/>
  <c r="CF19" i="7"/>
  <c r="FX19" i="7"/>
  <c r="CG19" i="7"/>
  <c r="FY19" i="7"/>
  <c r="CH19" i="7"/>
  <c r="FZ19" i="7"/>
  <c r="CI19" i="7"/>
  <c r="GA19" i="7"/>
  <c r="CJ19" i="7"/>
  <c r="GB19" i="7"/>
  <c r="CE19" i="7"/>
  <c r="EA19" i="7"/>
  <c r="BK55" i="7"/>
  <c r="GG55" i="7"/>
  <c r="DT55" i="7"/>
  <c r="BW55" i="7"/>
  <c r="Z55" i="7"/>
  <c r="EV55" i="7"/>
  <c r="CI55" i="7"/>
  <c r="V55" i="7"/>
  <c r="ER55" i="7"/>
  <c r="DJ55" i="7"/>
  <c r="AG55" i="7"/>
  <c r="GL55" i="7"/>
  <c r="CL19" i="7"/>
  <c r="GD19" i="7"/>
  <c r="CM19" i="7"/>
  <c r="GE19" i="7"/>
  <c r="CN19" i="7"/>
  <c r="GF19" i="7"/>
  <c r="CO19" i="7"/>
  <c r="GG19" i="7"/>
  <c r="CP19" i="7"/>
  <c r="AU55" i="7"/>
  <c r="FQ55" i="7"/>
  <c r="DD55" i="7"/>
  <c r="BG55" i="7"/>
  <c r="GS55" i="7"/>
  <c r="EF55" i="7"/>
  <c r="BS55" i="7"/>
  <c r="GO55" i="7"/>
  <c r="EB55" i="7"/>
  <c r="AX55" i="7"/>
  <c r="FD55" i="7"/>
  <c r="DZ55" i="7"/>
  <c r="CR19" i="7"/>
  <c r="GJ19" i="7"/>
  <c r="CS19" i="7"/>
  <c r="GK19" i="7"/>
  <c r="CT19" i="7"/>
  <c r="GL19" i="7"/>
  <c r="CU19" i="7"/>
  <c r="GM19" i="7"/>
  <c r="CV19" i="7"/>
  <c r="AE55" i="7"/>
  <c r="FA55" i="7"/>
  <c r="CN55" i="7"/>
  <c r="AQ55" i="7"/>
  <c r="GC55" i="7"/>
  <c r="DP55" i="7"/>
  <c r="BC55" i="7"/>
  <c r="FY55" i="7"/>
  <c r="DL55" i="7"/>
  <c r="FU55" i="7"/>
  <c r="CR55" i="7"/>
  <c r="BN55" i="7"/>
  <c r="CX19" i="7"/>
  <c r="GP19" i="7"/>
  <c r="CY19" i="7"/>
  <c r="GQ19" i="7"/>
  <c r="CZ19" i="7"/>
  <c r="GR19" i="7"/>
  <c r="DA19" i="7"/>
  <c r="GS19" i="7"/>
  <c r="DB19" i="7"/>
  <c r="O55" i="7"/>
  <c r="EK55" i="7"/>
  <c r="BX55" i="7"/>
  <c r="AA55" i="7"/>
  <c r="FM55" i="7"/>
  <c r="CZ55" i="7"/>
  <c r="AM55" i="7"/>
  <c r="FI55" i="7"/>
  <c r="CV55" i="7"/>
  <c r="DI55" i="7"/>
  <c r="AF55" i="7"/>
  <c r="CB55" i="7"/>
  <c r="L19" i="7"/>
  <c r="FR55" i="7"/>
  <c r="DE55" i="7"/>
  <c r="AR55" i="7"/>
  <c r="GT55" i="7"/>
  <c r="EG55" i="7"/>
  <c r="BT55" i="7"/>
  <c r="GP55" i="7"/>
  <c r="EC55" i="7"/>
  <c r="BP55" i="7"/>
  <c r="FT55" i="7"/>
  <c r="CE55" i="7"/>
  <c r="P55" i="7"/>
  <c r="X19" i="7"/>
  <c r="DP19" i="7"/>
  <c r="Y19" i="7"/>
  <c r="DQ19" i="7"/>
  <c r="Z19" i="7"/>
  <c r="DR19" i="7"/>
  <c r="AA19" i="7"/>
  <c r="DS19" i="7"/>
  <c r="AB19" i="7"/>
  <c r="DT19" i="7"/>
  <c r="DC19" i="7"/>
  <c r="CK19" i="7"/>
  <c r="ES55" i="7"/>
  <c r="S19" i="7"/>
  <c r="DF19" i="7"/>
  <c r="FI19" i="7"/>
  <c r="GH19" i="7"/>
  <c r="FE19" i="7"/>
  <c r="CF55" i="7"/>
  <c r="AW19" i="7"/>
  <c r="DL19" i="7"/>
  <c r="FU19" i="7"/>
  <c r="GN19" i="7"/>
  <c r="GO19" i="7"/>
  <c r="AW55" i="7"/>
  <c r="BO19" i="7"/>
  <c r="ED19" i="7"/>
  <c r="P19" i="7"/>
  <c r="GT19" i="7"/>
  <c r="AC19" i="7"/>
  <c r="EQ55" i="7"/>
  <c r="CA19" i="7"/>
  <c r="EP19" i="7"/>
  <c r="V19" i="7"/>
  <c r="AI19" i="7"/>
  <c r="BM19" i="7"/>
  <c r="BM55" i="7"/>
  <c r="DE19" i="7"/>
  <c r="FH19" i="7"/>
  <c r="AN19" i="7"/>
  <c r="BS19" i="7"/>
  <c r="CW19" i="7"/>
  <c r="DK19" i="7"/>
  <c r="FT19" i="7"/>
  <c r="AZ19" i="7"/>
  <c r="FW19" i="7"/>
  <c r="EG19" i="7"/>
  <c r="EC19" i="7"/>
  <c r="O19" i="7"/>
  <c r="BR19" i="7"/>
  <c r="BY19" i="7"/>
  <c r="CQ19" i="7"/>
  <c r="R19" i="7"/>
  <c r="EO19" i="7"/>
  <c r="U19" i="7"/>
  <c r="CD19" i="7"/>
  <c r="DI19" i="7"/>
  <c r="FK19" i="7"/>
  <c r="AV19" i="7"/>
  <c r="FG19" i="7"/>
  <c r="AM19" i="7"/>
  <c r="DH19" i="7"/>
  <c r="ES19" i="7"/>
  <c r="GU19" i="7"/>
  <c r="GH55" i="7"/>
  <c r="BZ19" i="7"/>
  <c r="FS19" i="7"/>
  <c r="AY19" i="7"/>
  <c r="DN19" i="7"/>
  <c r="GC19" i="7"/>
  <c r="W19" i="7"/>
  <c r="DU55" i="7"/>
  <c r="DD19" i="7"/>
  <c r="N19" i="7"/>
  <c r="BQ19" i="7"/>
  <c r="EF19" i="7"/>
  <c r="AU19" i="7"/>
  <c r="BG19" i="7"/>
  <c r="BH55" i="7"/>
  <c r="DJ19" i="7"/>
  <c r="T19" i="7"/>
  <c r="CC19" i="7"/>
  <c r="ER19" i="7"/>
  <c r="DO19" i="7"/>
  <c r="K55" i="7"/>
  <c r="EN19" i="7"/>
  <c r="AL19" i="7"/>
  <c r="DG19" i="7"/>
  <c r="EX19" i="7"/>
  <c r="EY19" i="7"/>
  <c r="EW55" i="7"/>
  <c r="FF19" i="7"/>
  <c r="AX19" i="7"/>
  <c r="DM19" i="7"/>
  <c r="FD19" i="7"/>
  <c r="GI19" i="7"/>
  <c r="CJ55" i="7"/>
  <c r="FR19" i="7"/>
  <c r="BP19" i="7"/>
  <c r="EE19" i="7"/>
  <c r="FJ19" i="7"/>
  <c r="Q19" i="7"/>
  <c r="W55" i="7"/>
  <c r="M19" i="7"/>
  <c r="CB19" i="7"/>
  <c r="EQ19" i="7"/>
  <c r="FV19" i="7"/>
  <c r="BA19" i="7"/>
  <c r="BM39" i="7"/>
  <c r="GI39" i="7"/>
  <c r="EL39" i="7"/>
  <c r="BY39" i="7"/>
  <c r="GD39" i="7"/>
  <c r="EG39" i="7"/>
  <c r="CJ39" i="7"/>
  <c r="W39" i="7"/>
  <c r="FI39" i="7"/>
  <c r="T39" i="7"/>
  <c r="AH39" i="7"/>
  <c r="AW39" i="7"/>
  <c r="FS39" i="7"/>
  <c r="DV39" i="7"/>
  <c r="BI39" i="7"/>
  <c r="AK39" i="7"/>
  <c r="FN39" i="7"/>
  <c r="DQ39" i="7"/>
  <c r="BT39" i="7"/>
  <c r="GP39" i="7"/>
  <c r="ES39" i="7"/>
  <c r="DZ39" i="7"/>
  <c r="FF39" i="7"/>
  <c r="AG39" i="7"/>
  <c r="FC39" i="7"/>
  <c r="DF39" i="7"/>
  <c r="AS39" i="7"/>
  <c r="GU39" i="7"/>
  <c r="EX39" i="7"/>
  <c r="DA39" i="7"/>
  <c r="BD39" i="7"/>
  <c r="FZ39" i="7"/>
  <c r="DM39" i="7"/>
  <c r="GM39" i="7"/>
  <c r="EP39" i="7"/>
  <c r="Q39" i="7"/>
  <c r="EM39" i="7"/>
  <c r="CP39" i="7"/>
  <c r="AC39" i="7"/>
  <c r="GE39" i="7"/>
  <c r="EH39" i="7"/>
  <c r="CK39" i="7"/>
  <c r="AN39" i="7"/>
  <c r="FJ39" i="7"/>
  <c r="CW39" i="7"/>
  <c r="FW39" i="7"/>
  <c r="DJ39" i="7"/>
  <c r="GJ39" i="7"/>
  <c r="DW39" i="7"/>
  <c r="BZ39" i="7"/>
  <c r="FO39" i="7"/>
  <c r="DR39" i="7"/>
  <c r="BU39" i="7"/>
  <c r="X39" i="7"/>
  <c r="ET39" i="7"/>
  <c r="CG39" i="7"/>
  <c r="FG39" i="7"/>
  <c r="CT39" i="7"/>
  <c r="FT39" i="7"/>
  <c r="DG39" i="7"/>
  <c r="BJ39" i="7"/>
  <c r="GF39" i="7"/>
  <c r="EY39" i="7"/>
  <c r="DB39" i="7"/>
  <c r="BE39" i="7"/>
  <c r="GQ39" i="7"/>
  <c r="ED39" i="7"/>
  <c r="GN39" i="7"/>
  <c r="EQ39" i="7"/>
  <c r="CD39" i="7"/>
  <c r="FD39" i="7"/>
  <c r="CQ39" i="7"/>
  <c r="AT39" i="7"/>
  <c r="FP39" i="7"/>
  <c r="EI39" i="7"/>
  <c r="CL39" i="7"/>
  <c r="AO39" i="7"/>
  <c r="GA39" i="7"/>
  <c r="DN39" i="7"/>
  <c r="FX39" i="7"/>
  <c r="EA39" i="7"/>
  <c r="BN39" i="7"/>
  <c r="EN39" i="7"/>
  <c r="CA39" i="7"/>
  <c r="AD39" i="7"/>
  <c r="EZ39" i="7"/>
  <c r="DS39" i="7"/>
  <c r="BV39" i="7"/>
  <c r="Y39" i="7"/>
  <c r="FK39" i="7"/>
  <c r="CX39" i="7"/>
  <c r="FH39" i="7"/>
  <c r="DK39" i="7"/>
  <c r="AX39" i="7"/>
  <c r="GK39" i="7"/>
  <c r="DX39" i="7"/>
  <c r="BK39" i="7"/>
  <c r="N39" i="7"/>
  <c r="EJ39" i="7"/>
  <c r="DC39" i="7"/>
  <c r="BF39" i="7"/>
  <c r="BQ39" i="7"/>
  <c r="EU39" i="7"/>
  <c r="CH39" i="7"/>
  <c r="ER39" i="7"/>
  <c r="CU39" i="7"/>
  <c r="R39" i="7"/>
  <c r="FU39" i="7"/>
  <c r="DH39" i="7"/>
  <c r="AU39" i="7"/>
  <c r="GG39" i="7"/>
  <c r="DT39" i="7"/>
  <c r="CM39" i="7"/>
  <c r="AP39" i="7"/>
  <c r="GR39" i="7"/>
  <c r="EE39" i="7"/>
  <c r="BR39" i="7"/>
  <c r="EB39" i="7"/>
  <c r="CE39" i="7"/>
  <c r="FE39" i="7"/>
  <c r="CR39" i="7"/>
  <c r="AE39" i="7"/>
  <c r="FQ39" i="7"/>
  <c r="DD39" i="7"/>
  <c r="BW39" i="7"/>
  <c r="Z39" i="7"/>
  <c r="GB39" i="7"/>
  <c r="DO39" i="7"/>
  <c r="BB39" i="7"/>
  <c r="DL39" i="7"/>
  <c r="BO39" i="7"/>
  <c r="EO39" i="7"/>
  <c r="CB39" i="7"/>
  <c r="O39" i="7"/>
  <c r="FA39" i="7"/>
  <c r="CN39" i="7"/>
  <c r="BG39" i="7"/>
  <c r="BA39" i="7"/>
  <c r="FL39" i="7"/>
  <c r="CY39" i="7"/>
  <c r="AL39" i="7"/>
  <c r="CV39" i="7"/>
  <c r="AY39" i="7"/>
  <c r="DY39" i="7"/>
  <c r="BL39" i="7"/>
  <c r="U39" i="7"/>
  <c r="EK39" i="7"/>
  <c r="BX39" i="7"/>
  <c r="AQ39" i="7"/>
  <c r="GS39" i="7"/>
  <c r="EV39" i="7"/>
  <c r="CI39" i="7"/>
  <c r="V39" i="7"/>
  <c r="CF39" i="7"/>
  <c r="AI39" i="7"/>
  <c r="DI39" i="7"/>
  <c r="AV39" i="7"/>
  <c r="GH39" i="7"/>
  <c r="DU39" i="7"/>
  <c r="BH39" i="7"/>
  <c r="AA39" i="7"/>
  <c r="GC39" i="7"/>
  <c r="EF39" i="7"/>
  <c r="BS39" i="7"/>
  <c r="EC39" i="7"/>
  <c r="BP39" i="7"/>
  <c r="S39" i="7"/>
  <c r="CS39" i="7"/>
  <c r="AF39" i="7"/>
  <c r="FR39" i="7"/>
  <c r="DE39" i="7"/>
  <c r="AR39" i="7"/>
  <c r="FM39" i="7"/>
  <c r="DP39" i="7"/>
  <c r="BC39" i="7"/>
  <c r="GO39" i="7"/>
  <c r="AZ39" i="7"/>
  <c r="GL39" i="7"/>
  <c r="AJ39" i="7"/>
  <c r="FV39" i="7"/>
  <c r="CC39" i="7"/>
  <c r="P39" i="7"/>
  <c r="FB39" i="7"/>
  <c r="CO39" i="7"/>
  <c r="AB39" i="7"/>
  <c r="GT39" i="7"/>
  <c r="EW39" i="7"/>
  <c r="CZ39" i="7"/>
  <c r="FY39" i="7"/>
  <c r="AM39" i="7"/>
  <c r="AA4" i="7"/>
  <c r="DS4" i="7"/>
  <c r="BL4" i="7"/>
  <c r="BT4" i="7"/>
  <c r="FL4" i="7"/>
  <c r="BV4" i="7"/>
  <c r="CQ4" i="7"/>
  <c r="CS4" i="7"/>
  <c r="CE4" i="7"/>
  <c r="BO4" i="7"/>
  <c r="BA4" i="7"/>
  <c r="EL4" i="7"/>
  <c r="AG4" i="7"/>
  <c r="DY4" i="7"/>
  <c r="BR4" i="7"/>
  <c r="BZ4" i="7"/>
  <c r="FR4" i="7"/>
  <c r="CB4" i="7"/>
  <c r="DC4" i="7"/>
  <c r="DE4" i="7"/>
  <c r="CV4" i="7"/>
  <c r="CG4" i="7"/>
  <c r="BS4" i="7"/>
  <c r="GH4" i="7"/>
  <c r="AM4" i="7"/>
  <c r="EE4" i="7"/>
  <c r="BX4" i="7"/>
  <c r="CF4" i="7"/>
  <c r="FX4" i="7"/>
  <c r="CH4" i="7"/>
  <c r="DO4" i="7"/>
  <c r="DQ4" i="7"/>
  <c r="DH4" i="7"/>
  <c r="CW4" i="7"/>
  <c r="CK4" i="7"/>
  <c r="BU4" i="7"/>
  <c r="AS4" i="7"/>
  <c r="EK4" i="7"/>
  <c r="CD4" i="7"/>
  <c r="CL4" i="7"/>
  <c r="GD4" i="7"/>
  <c r="CN4" i="7"/>
  <c r="EA4" i="7"/>
  <c r="EC4" i="7"/>
  <c r="DT4" i="7"/>
  <c r="DI4" i="7"/>
  <c r="CY4" i="7"/>
  <c r="EU4" i="7"/>
  <c r="AY4" i="7"/>
  <c r="EQ4" i="7"/>
  <c r="CJ4" i="7"/>
  <c r="CR4" i="7"/>
  <c r="GJ4" i="7"/>
  <c r="CT4" i="7"/>
  <c r="EM4" i="7"/>
  <c r="EO4" i="7"/>
  <c r="EF4" i="7"/>
  <c r="DU4" i="7"/>
  <c r="DK4" i="7"/>
  <c r="GO4" i="7"/>
  <c r="BE4" i="7"/>
  <c r="EW4" i="7"/>
  <c r="CP4" i="7"/>
  <c r="CX4" i="7"/>
  <c r="GP4" i="7"/>
  <c r="CZ4" i="7"/>
  <c r="EV4" i="7"/>
  <c r="EX4" i="7"/>
  <c r="EP4" i="7"/>
  <c r="EG4" i="7"/>
  <c r="DW4" i="7"/>
  <c r="CM4" i="7"/>
  <c r="BK4" i="7"/>
  <c r="FC4" i="7"/>
  <c r="DD4" i="7"/>
  <c r="N4" i="7"/>
  <c r="DF4" i="7"/>
  <c r="FE4" i="7"/>
  <c r="FG4" i="7"/>
  <c r="EY4" i="7"/>
  <c r="ER4" i="7"/>
  <c r="EI4" i="7"/>
  <c r="FD4" i="7"/>
  <c r="BQ4" i="7"/>
  <c r="FI4" i="7"/>
  <c r="R4" i="7"/>
  <c r="DJ4" i="7"/>
  <c r="T4" i="7"/>
  <c r="DL4" i="7"/>
  <c r="FN4" i="7"/>
  <c r="FO4" i="7"/>
  <c r="FH4" i="7"/>
  <c r="FA4" i="7"/>
  <c r="ES4" i="7"/>
  <c r="DB4" i="7"/>
  <c r="BW4" i="7"/>
  <c r="P4" i="7"/>
  <c r="X4" i="7"/>
  <c r="DP4" i="7"/>
  <c r="Z4" i="7"/>
  <c r="DR4" i="7"/>
  <c r="FU4" i="7"/>
  <c r="FV4" i="7"/>
  <c r="FP4" i="7"/>
  <c r="FJ4" i="7"/>
  <c r="FB4" i="7"/>
  <c r="FM4" i="7"/>
  <c r="CC4" i="7"/>
  <c r="V4" i="7"/>
  <c r="AD4" i="7"/>
  <c r="DV4" i="7"/>
  <c r="AF4" i="7"/>
  <c r="DX4" i="7"/>
  <c r="GB4" i="7"/>
  <c r="GC4" i="7"/>
  <c r="FW4" i="7"/>
  <c r="FQ4" i="7"/>
  <c r="FK4" i="7"/>
  <c r="S4" i="7"/>
  <c r="CI4" i="7"/>
  <c r="AB4" i="7"/>
  <c r="AJ4" i="7"/>
  <c r="EB4" i="7"/>
  <c r="AL4" i="7"/>
  <c r="ED4" i="7"/>
  <c r="GI4" i="7"/>
  <c r="GK4" i="7"/>
  <c r="GE4" i="7"/>
  <c r="FY4" i="7"/>
  <c r="FS4" i="7"/>
  <c r="DN4" i="7"/>
  <c r="CO4" i="7"/>
  <c r="AH4" i="7"/>
  <c r="AP4" i="7"/>
  <c r="EH4" i="7"/>
  <c r="AR4" i="7"/>
  <c r="EJ4" i="7"/>
  <c r="GQ4" i="7"/>
  <c r="GR4" i="7"/>
  <c r="GL4" i="7"/>
  <c r="GF4" i="7"/>
  <c r="FZ4" i="7"/>
  <c r="FT4" i="7"/>
  <c r="CU4" i="7"/>
  <c r="AN4" i="7"/>
  <c r="AV4" i="7"/>
  <c r="EN4" i="7"/>
  <c r="AX4" i="7"/>
  <c r="W4" i="7"/>
  <c r="Y4" i="7"/>
  <c r="GS4" i="7"/>
  <c r="GM4" i="7"/>
  <c r="GG4" i="7"/>
  <c r="AK4" i="7"/>
  <c r="DA4" i="7"/>
  <c r="AT4" i="7"/>
  <c r="BB4" i="7"/>
  <c r="ET4" i="7"/>
  <c r="BD4" i="7"/>
  <c r="AO4" i="7"/>
  <c r="AQ4" i="7"/>
  <c r="AC4" i="7"/>
  <c r="GT4" i="7"/>
  <c r="GN4" i="7"/>
  <c r="DZ4" i="7"/>
  <c r="O4" i="7"/>
  <c r="DG4" i="7"/>
  <c r="AZ4" i="7"/>
  <c r="BH4" i="7"/>
  <c r="EZ4" i="7"/>
  <c r="BJ4" i="7"/>
  <c r="BG4" i="7"/>
  <c r="BI4" i="7"/>
  <c r="AU4" i="7"/>
  <c r="AE4" i="7"/>
  <c r="Q4" i="7"/>
  <c r="GU4" i="7"/>
  <c r="GA4" i="7"/>
  <c r="U4" i="7"/>
  <c r="DM4" i="7"/>
  <c r="BF4" i="7"/>
  <c r="BN4" i="7"/>
  <c r="FF4" i="7"/>
  <c r="BP4" i="7"/>
  <c r="BY4" i="7"/>
  <c r="CA4" i="7"/>
  <c r="BM4" i="7"/>
  <c r="AW4" i="7"/>
  <c r="AI4" i="7"/>
  <c r="BC4" i="7"/>
  <c r="J60" i="7"/>
  <c r="J24" i="7"/>
  <c r="M60" i="7"/>
  <c r="L60" i="7"/>
  <c r="K60" i="7"/>
  <c r="L24" i="7"/>
  <c r="K24" i="7"/>
  <c r="M24" i="7"/>
  <c r="J50" i="7"/>
  <c r="EB50" i="7"/>
  <c r="BM50" i="7"/>
  <c r="J15" i="7"/>
  <c r="EL50" i="7"/>
  <c r="DU50" i="7"/>
  <c r="DI50" i="7"/>
  <c r="AF50" i="7"/>
  <c r="FH50" i="7"/>
  <c r="CO50" i="7"/>
  <c r="AB50" i="7"/>
  <c r="DR50" i="7"/>
  <c r="AO50" i="7"/>
  <c r="EG50" i="7"/>
  <c r="BA50" i="7"/>
  <c r="CH50" i="7"/>
  <c r="DK50" i="7"/>
  <c r="GD50" i="7"/>
  <c r="CS50" i="7"/>
  <c r="P50" i="7"/>
  <c r="EP50" i="7"/>
  <c r="BY50" i="7"/>
  <c r="GO50" i="7"/>
  <c r="DB50" i="7"/>
  <c r="Y50" i="7"/>
  <c r="DO50" i="7"/>
  <c r="AK50" i="7"/>
  <c r="CE50" i="7"/>
  <c r="EF50" i="7"/>
  <c r="FL50" i="7"/>
  <c r="CC50" i="7"/>
  <c r="GS50" i="7"/>
  <c r="DX50" i="7"/>
  <c r="BI50" i="7"/>
  <c r="FW50" i="7"/>
  <c r="CL50" i="7"/>
  <c r="GL50" i="7"/>
  <c r="CY50" i="7"/>
  <c r="U50" i="7"/>
  <c r="BR50" i="7"/>
  <c r="EC50" i="7"/>
  <c r="ET50" i="7"/>
  <c r="AW50" i="7"/>
  <c r="GA50" i="7"/>
  <c r="DF50" i="7"/>
  <c r="AS50" i="7"/>
  <c r="FE50" i="7"/>
  <c r="BV50" i="7"/>
  <c r="FT50" i="7"/>
  <c r="CI50" i="7"/>
  <c r="GF50" i="7"/>
  <c r="BO50" i="7"/>
  <c r="DN50" i="7"/>
  <c r="DJ50" i="7"/>
  <c r="AG50" i="7"/>
  <c r="FI50" i="7"/>
  <c r="CP50" i="7"/>
  <c r="AC50" i="7"/>
  <c r="EM50" i="7"/>
  <c r="BF50" i="7"/>
  <c r="EZ50" i="7"/>
  <c r="BS50" i="7"/>
  <c r="FN50" i="7"/>
  <c r="GJ50" i="7"/>
  <c r="CT50" i="7"/>
  <c r="Q50" i="7"/>
  <c r="EQ50" i="7"/>
  <c r="BZ50" i="7"/>
  <c r="M50" i="7"/>
  <c r="DS50" i="7"/>
  <c r="AP50" i="7"/>
  <c r="EH50" i="7"/>
  <c r="BC50" i="7"/>
  <c r="EV50" i="7"/>
  <c r="BB50" i="7"/>
  <c r="CD50" i="7"/>
  <c r="GT50" i="7"/>
  <c r="DY50" i="7"/>
  <c r="BJ50" i="7"/>
  <c r="GP50" i="7"/>
  <c r="DC50" i="7"/>
  <c r="Z50" i="7"/>
  <c r="DP50" i="7"/>
  <c r="AM50" i="7"/>
  <c r="ED50" i="7"/>
  <c r="GE50" i="7"/>
  <c r="BN50" i="7"/>
  <c r="GB50" i="7"/>
  <c r="DG50" i="7"/>
  <c r="AT50" i="7"/>
  <c r="FX50" i="7"/>
  <c r="CM50" i="7"/>
  <c r="GM50" i="7"/>
  <c r="CZ50" i="7"/>
  <c r="W50" i="7"/>
  <c r="DL50" i="7"/>
  <c r="AY50" i="7"/>
  <c r="GH50" i="7"/>
  <c r="AX50" i="7"/>
  <c r="FJ50" i="7"/>
  <c r="CQ50" i="7"/>
  <c r="AD50" i="7"/>
  <c r="FF50" i="7"/>
  <c r="BW50" i="7"/>
  <c r="FU50" i="7"/>
  <c r="CJ50" i="7"/>
  <c r="GI50" i="7"/>
  <c r="CV50" i="7"/>
  <c r="FP50" i="7"/>
  <c r="FR50" i="7"/>
  <c r="AH50" i="7"/>
  <c r="ER50" i="7"/>
  <c r="CA50" i="7"/>
  <c r="N50" i="7"/>
  <c r="EN50" i="7"/>
  <c r="BG50" i="7"/>
  <c r="FC50" i="7"/>
  <c r="BT50" i="7"/>
  <c r="FO50" i="7"/>
  <c r="CF50" i="7"/>
  <c r="AL50" i="7"/>
  <c r="FB50" i="7"/>
  <c r="R50" i="7"/>
  <c r="DZ50" i="7"/>
  <c r="BK50" i="7"/>
  <c r="GQ50" i="7"/>
  <c r="DT50" i="7"/>
  <c r="AQ50" i="7"/>
  <c r="EI50" i="7"/>
  <c r="BD50" i="7"/>
  <c r="EW50" i="7"/>
  <c r="BP50" i="7"/>
  <c r="FM50" i="7"/>
  <c r="DV50" i="7"/>
  <c r="GU50" i="7"/>
  <c r="DH50" i="7"/>
  <c r="AU50" i="7"/>
  <c r="FY50" i="7"/>
  <c r="DD50" i="7"/>
  <c r="AA50" i="7"/>
  <c r="DQ50" i="7"/>
  <c r="AN50" i="7"/>
  <c r="EE50" i="7"/>
  <c r="AZ50" i="7"/>
  <c r="AI50" i="7"/>
  <c r="GG50" i="7"/>
  <c r="GC50" i="7"/>
  <c r="CR50" i="7"/>
  <c r="AE50" i="7"/>
  <c r="FG50" i="7"/>
  <c r="CN50" i="7"/>
  <c r="GN50" i="7"/>
  <c r="DA50" i="7"/>
  <c r="X50" i="7"/>
  <c r="DM50" i="7"/>
  <c r="AJ50" i="7"/>
  <c r="EX50" i="7"/>
  <c r="FQ50" i="7"/>
  <c r="FK50" i="7"/>
  <c r="CB50" i="7"/>
  <c r="O50" i="7"/>
  <c r="EO50" i="7"/>
  <c r="BX50" i="7"/>
  <c r="FV50" i="7"/>
  <c r="CK50" i="7"/>
  <c r="GK50" i="7"/>
  <c r="CW50" i="7"/>
  <c r="T50" i="7"/>
  <c r="V50" i="7"/>
  <c r="FA50" i="7"/>
  <c r="ES50" i="7"/>
  <c r="BL50" i="7"/>
  <c r="GR50" i="7"/>
  <c r="DW50" i="7"/>
  <c r="BH50" i="7"/>
  <c r="FD50" i="7"/>
  <c r="BU50" i="7"/>
  <c r="FS50" i="7"/>
  <c r="CG50" i="7"/>
  <c r="CX50" i="7"/>
  <c r="EU50" i="7"/>
  <c r="BQ50" i="7"/>
  <c r="CU50" i="7"/>
  <c r="S50" i="7"/>
  <c r="EK50" i="7"/>
  <c r="EA50" i="7"/>
  <c r="AV50" i="7"/>
  <c r="FZ50" i="7"/>
  <c r="DE50" i="7"/>
  <c r="AR50" i="7"/>
  <c r="EJ50" i="7"/>
  <c r="BE50" i="7"/>
  <c r="K15" i="7"/>
  <c r="L50" i="7"/>
  <c r="K50" i="7"/>
  <c r="EY50" i="7"/>
  <c r="L15" i="7"/>
  <c r="Q15" i="7"/>
  <c r="W15" i="7"/>
  <c r="R15" i="7"/>
  <c r="X15" i="7"/>
  <c r="M15" i="7"/>
  <c r="S15" i="7"/>
  <c r="Y15" i="7"/>
  <c r="N15" i="7"/>
  <c r="T15" i="7"/>
  <c r="O15" i="7"/>
  <c r="U15" i="7"/>
  <c r="P15" i="7"/>
  <c r="V15" i="7"/>
  <c r="CE15" i="7"/>
  <c r="FH15" i="7"/>
  <c r="BR15" i="7"/>
  <c r="EU15" i="7"/>
  <c r="BE15" i="7"/>
  <c r="DR15" i="7"/>
  <c r="GE15" i="7"/>
  <c r="BY15" i="7"/>
  <c r="FB15" i="7"/>
  <c r="BL15" i="7"/>
  <c r="EO15" i="7"/>
  <c r="CU15" i="7"/>
  <c r="FX15" i="7"/>
  <c r="CH15" i="7"/>
  <c r="FK15" i="7"/>
  <c r="BU15" i="7"/>
  <c r="EH15" i="7"/>
  <c r="GU15" i="7"/>
  <c r="CO15" i="7"/>
  <c r="FR15" i="7"/>
  <c r="CB15" i="7"/>
  <c r="FE15" i="7"/>
  <c r="DK15" i="7"/>
  <c r="GN15" i="7"/>
  <c r="CX15" i="7"/>
  <c r="GA15" i="7"/>
  <c r="CK15" i="7"/>
  <c r="EX15" i="7"/>
  <c r="AB15" i="7"/>
  <c r="DE15" i="7"/>
  <c r="GH15" i="7"/>
  <c r="CR15" i="7"/>
  <c r="FU15" i="7"/>
  <c r="EA15" i="7"/>
  <c r="AK15" i="7"/>
  <c r="DN15" i="7"/>
  <c r="GQ15" i="7"/>
  <c r="DA15" i="7"/>
  <c r="FN15" i="7"/>
  <c r="AR15" i="7"/>
  <c r="DU15" i="7"/>
  <c r="AE15" i="7"/>
  <c r="DH15" i="7"/>
  <c r="GK15" i="7"/>
  <c r="EQ15" i="7"/>
  <c r="BA15" i="7"/>
  <c r="ED15" i="7"/>
  <c r="AN15" i="7"/>
  <c r="DQ15" i="7"/>
  <c r="GD15" i="7"/>
  <c r="BH15" i="7"/>
  <c r="EK15" i="7"/>
  <c r="AU15" i="7"/>
  <c r="DX15" i="7"/>
  <c r="AH15" i="7"/>
  <c r="FG15" i="7"/>
  <c r="BQ15" i="7"/>
  <c r="ET15" i="7"/>
  <c r="BD15" i="7"/>
  <c r="EG15" i="7"/>
  <c r="GT15" i="7"/>
  <c r="BX15" i="7"/>
  <c r="FA15" i="7"/>
  <c r="BK15" i="7"/>
  <c r="EN15" i="7"/>
  <c r="AX15" i="7"/>
  <c r="FW15" i="7"/>
  <c r="CG15" i="7"/>
  <c r="FJ15" i="7"/>
  <c r="BT15" i="7"/>
  <c r="EW15" i="7"/>
  <c r="AA15" i="7"/>
  <c r="CN15" i="7"/>
  <c r="FQ15" i="7"/>
  <c r="CA15" i="7"/>
  <c r="FD15" i="7"/>
  <c r="BN15" i="7"/>
  <c r="GM15" i="7"/>
  <c r="CW15" i="7"/>
  <c r="FZ15" i="7"/>
  <c r="CJ15" i="7"/>
  <c r="FM15" i="7"/>
  <c r="AQ15" i="7"/>
  <c r="DD15" i="7"/>
  <c r="GG15" i="7"/>
  <c r="CQ15" i="7"/>
  <c r="FT15" i="7"/>
  <c r="CD15" i="7"/>
  <c r="AJ15" i="7"/>
  <c r="DM15" i="7"/>
  <c r="GP15" i="7"/>
  <c r="CZ15" i="7"/>
  <c r="GC15" i="7"/>
  <c r="BG15" i="7"/>
  <c r="DT15" i="7"/>
  <c r="AD15" i="7"/>
  <c r="DG15" i="7"/>
  <c r="GJ15" i="7"/>
  <c r="CT15" i="7"/>
  <c r="AZ15" i="7"/>
  <c r="EC15" i="7"/>
  <c r="AM15" i="7"/>
  <c r="DP15" i="7"/>
  <c r="GS15" i="7"/>
  <c r="BW15" i="7"/>
  <c r="EJ15" i="7"/>
  <c r="AT15" i="7"/>
  <c r="DW15" i="7"/>
  <c r="AG15" i="7"/>
  <c r="DJ15" i="7"/>
  <c r="BP15" i="7"/>
  <c r="ES15" i="7"/>
  <c r="BC15" i="7"/>
  <c r="EF15" i="7"/>
  <c r="Z15" i="7"/>
  <c r="CM15" i="7"/>
  <c r="EZ15" i="7"/>
  <c r="BJ15" i="7"/>
  <c r="EM15" i="7"/>
  <c r="AW15" i="7"/>
  <c r="DZ15" i="7"/>
  <c r="CF15" i="7"/>
  <c r="FI15" i="7"/>
  <c r="BS15" i="7"/>
  <c r="EV15" i="7"/>
  <c r="AP15" i="7"/>
  <c r="DC15" i="7"/>
  <c r="FP15" i="7"/>
  <c r="BZ15" i="7"/>
  <c r="FC15" i="7"/>
  <c r="BM15" i="7"/>
  <c r="EP15" i="7"/>
  <c r="CV15" i="7"/>
  <c r="FY15" i="7"/>
  <c r="CI15" i="7"/>
  <c r="FL15" i="7"/>
  <c r="BF15" i="7"/>
  <c r="DS15" i="7"/>
  <c r="GF15" i="7"/>
  <c r="CP15" i="7"/>
  <c r="FS15" i="7"/>
  <c r="CC15" i="7"/>
  <c r="FF15" i="7"/>
  <c r="AI15" i="7"/>
  <c r="DL15" i="7"/>
  <c r="GO15" i="7"/>
  <c r="CY15" i="7"/>
  <c r="GB15" i="7"/>
  <c r="BV15" i="7"/>
  <c r="EI15" i="7"/>
  <c r="AC15" i="7"/>
  <c r="DF15" i="7"/>
  <c r="GI15" i="7"/>
  <c r="CS15" i="7"/>
  <c r="FV15" i="7"/>
  <c r="AY15" i="7"/>
  <c r="EB15" i="7"/>
  <c r="AL15" i="7"/>
  <c r="DO15" i="7"/>
  <c r="GR15" i="7"/>
  <c r="CL15" i="7"/>
  <c r="EY15" i="7"/>
  <c r="AS15" i="7"/>
  <c r="DV15" i="7"/>
  <c r="AF15" i="7"/>
  <c r="DI15" i="7"/>
  <c r="GL15" i="7"/>
  <c r="BO15" i="7"/>
  <c r="ER15" i="7"/>
  <c r="BB15" i="7"/>
  <c r="EE15" i="7"/>
  <c r="AO15" i="7"/>
  <c r="DB15" i="7"/>
  <c r="FO15" i="7"/>
  <c r="BI15" i="7"/>
  <c r="EL15" i="7"/>
  <c r="AV15" i="7"/>
  <c r="DY15" i="7"/>
  <c r="L66" i="7"/>
  <c r="K66" i="7"/>
  <c r="K30" i="7"/>
  <c r="L30" i="7"/>
  <c r="GK47" i="7"/>
  <c r="CC47" i="7"/>
  <c r="GE47" i="7"/>
  <c r="CP47" i="7"/>
  <c r="DC47" i="7"/>
  <c r="Z47" i="7"/>
  <c r="DQ47" i="7"/>
  <c r="AM47" i="7"/>
  <c r="EB47" i="7"/>
  <c r="DL47" i="7"/>
  <c r="BQ47" i="7"/>
  <c r="FU47" i="7"/>
  <c r="BM47" i="7"/>
  <c r="FK47" i="7"/>
  <c r="BZ47" i="7"/>
  <c r="GB47" i="7"/>
  <c r="CM47" i="7"/>
  <c r="GS47" i="7"/>
  <c r="CZ47" i="7"/>
  <c r="W47" i="7"/>
  <c r="DJ47" i="7"/>
  <c r="U47" i="7"/>
  <c r="EW47" i="7"/>
  <c r="FE47" i="7"/>
  <c r="AW47" i="7"/>
  <c r="EP47" i="7"/>
  <c r="BJ47" i="7"/>
  <c r="FH47" i="7"/>
  <c r="BW47" i="7"/>
  <c r="FY47" i="7"/>
  <c r="CJ47" i="7"/>
  <c r="GP47" i="7"/>
  <c r="CT47" i="7"/>
  <c r="CW47" i="7"/>
  <c r="BP47" i="7"/>
  <c r="GJ47" i="7"/>
  <c r="AG47" i="7"/>
  <c r="DX47" i="7"/>
  <c r="AT47" i="7"/>
  <c r="EL47" i="7"/>
  <c r="BG47" i="7"/>
  <c r="FA47" i="7"/>
  <c r="BT47" i="7"/>
  <c r="FR47" i="7"/>
  <c r="CD47" i="7"/>
  <c r="T47" i="7"/>
  <c r="EV47" i="7"/>
  <c r="FT47" i="7"/>
  <c r="Q47" i="7"/>
  <c r="DG47" i="7"/>
  <c r="AD47" i="7"/>
  <c r="DU47" i="7"/>
  <c r="AQ47" i="7"/>
  <c r="EI47" i="7"/>
  <c r="BD47" i="7"/>
  <c r="EX47" i="7"/>
  <c r="BN47" i="7"/>
  <c r="GO47" i="7"/>
  <c r="BO47" i="7"/>
  <c r="FD47" i="7"/>
  <c r="GF47" i="7"/>
  <c r="CQ47" i="7"/>
  <c r="DD47" i="7"/>
  <c r="AA47" i="7"/>
  <c r="DR47" i="7"/>
  <c r="AN47" i="7"/>
  <c r="EF47" i="7"/>
  <c r="AX47" i="7"/>
  <c r="CV47" i="7"/>
  <c r="AZ47" i="7"/>
  <c r="EN47" i="7"/>
  <c r="FL47" i="7"/>
  <c r="CA47" i="7"/>
  <c r="GC47" i="7"/>
  <c r="CN47" i="7"/>
  <c r="GT47" i="7"/>
  <c r="DA47" i="7"/>
  <c r="X47" i="7"/>
  <c r="DO47" i="7"/>
  <c r="AH47" i="7"/>
  <c r="S47" i="7"/>
  <c r="EU47" i="7"/>
  <c r="GI47" i="7"/>
  <c r="ER47" i="7"/>
  <c r="BK47" i="7"/>
  <c r="FI47" i="7"/>
  <c r="BX47" i="7"/>
  <c r="FZ47" i="7"/>
  <c r="CK47" i="7"/>
  <c r="GQ47" i="7"/>
  <c r="CX47" i="7"/>
  <c r="R47" i="7"/>
  <c r="GN47" i="7"/>
  <c r="BA47" i="7"/>
  <c r="FS47" i="7"/>
  <c r="DY47" i="7"/>
  <c r="AU47" i="7"/>
  <c r="EM47" i="7"/>
  <c r="BH47" i="7"/>
  <c r="FB47" i="7"/>
  <c r="BU47" i="7"/>
  <c r="FV47" i="7"/>
  <c r="CH47" i="7"/>
  <c r="ED47" i="7"/>
  <c r="CU47" i="7"/>
  <c r="EE47" i="7"/>
  <c r="FC47" i="7"/>
  <c r="DH47" i="7"/>
  <c r="AE47" i="7"/>
  <c r="DV47" i="7"/>
  <c r="AR47" i="7"/>
  <c r="EJ47" i="7"/>
  <c r="BE47" i="7"/>
  <c r="EY47" i="7"/>
  <c r="BR47" i="7"/>
  <c r="AY47" i="7"/>
  <c r="GL47" i="7"/>
  <c r="GM47" i="7"/>
  <c r="GG47" i="7"/>
  <c r="CR47" i="7"/>
  <c r="DE47" i="7"/>
  <c r="AB47" i="7"/>
  <c r="DS47" i="7"/>
  <c r="AO47" i="7"/>
  <c r="EG47" i="7"/>
  <c r="BB47" i="7"/>
  <c r="EC47" i="7"/>
  <c r="CG47" i="7"/>
  <c r="FW47" i="7"/>
  <c r="FM47" i="7"/>
  <c r="CB47" i="7"/>
  <c r="GD47" i="7"/>
  <c r="CO47" i="7"/>
  <c r="GU47" i="7"/>
  <c r="DB47" i="7"/>
  <c r="Y47" i="7"/>
  <c r="DP47" i="7"/>
  <c r="AL47" i="7"/>
  <c r="AK47" i="7"/>
  <c r="FQ47" i="7"/>
  <c r="FG47" i="7"/>
  <c r="ES47" i="7"/>
  <c r="BL47" i="7"/>
  <c r="FJ47" i="7"/>
  <c r="BY47" i="7"/>
  <c r="GA47" i="7"/>
  <c r="CL47" i="7"/>
  <c r="GR47" i="7"/>
  <c r="CY47" i="7"/>
  <c r="V47" i="7"/>
  <c r="DN47" i="7"/>
  <c r="CF47" i="7"/>
  <c r="EQ47" i="7"/>
  <c r="DZ47" i="7"/>
  <c r="AV47" i="7"/>
  <c r="EO47" i="7"/>
  <c r="BI47" i="7"/>
  <c r="FF47" i="7"/>
  <c r="BV47" i="7"/>
  <c r="FX47" i="7"/>
  <c r="CI47" i="7"/>
  <c r="GH47" i="7"/>
  <c r="AJ47" i="7"/>
  <c r="FP47" i="7"/>
  <c r="DK47" i="7"/>
  <c r="CS47" i="7"/>
  <c r="P47" i="7"/>
  <c r="DF47" i="7"/>
  <c r="AC47" i="7"/>
  <c r="DT47" i="7"/>
  <c r="AP47" i="7"/>
  <c r="EH47" i="7"/>
  <c r="BC47" i="7"/>
  <c r="ET47" i="7"/>
  <c r="AI47" i="7"/>
  <c r="FO47" i="7"/>
  <c r="CE47" i="7"/>
  <c r="EA47" i="7"/>
  <c r="DI47" i="7"/>
  <c r="AF47" i="7"/>
  <c r="DW47" i="7"/>
  <c r="AS47" i="7"/>
  <c r="EK47" i="7"/>
  <c r="BF47" i="7"/>
  <c r="EZ47" i="7"/>
  <c r="BS47" i="7"/>
  <c r="FN47" i="7"/>
  <c r="DM47" i="7"/>
  <c r="CQ11" i="7"/>
  <c r="BU11" i="7"/>
  <c r="DV11" i="7"/>
  <c r="AT11" i="7"/>
  <c r="FG11" i="7"/>
  <c r="CU11" i="7"/>
  <c r="GR11" i="7"/>
  <c r="EE11" i="7"/>
  <c r="DS11" i="7"/>
  <c r="CI11" i="7"/>
  <c r="FQ11" i="7"/>
  <c r="CW11" i="7"/>
  <c r="CA11" i="7"/>
  <c r="EB11" i="7"/>
  <c r="BD11" i="7"/>
  <c r="FM11" i="7"/>
  <c r="DB11" i="7"/>
  <c r="EK11" i="7"/>
  <c r="EL11" i="7"/>
  <c r="DE11" i="7"/>
  <c r="AP11" i="7"/>
  <c r="AR11" i="7"/>
  <c r="DC11" i="7"/>
  <c r="CG11" i="7"/>
  <c r="EH11" i="7"/>
  <c r="BL11" i="7"/>
  <c r="FS11" i="7"/>
  <c r="DJ11" i="7"/>
  <c r="V11" i="7"/>
  <c r="EQ11" i="7"/>
  <c r="FD11" i="7"/>
  <c r="DZ11" i="7"/>
  <c r="BQ11" i="7"/>
  <c r="Q11" i="7"/>
  <c r="DI11" i="7"/>
  <c r="R11" i="7"/>
  <c r="EN11" i="7"/>
  <c r="BV11" i="7"/>
  <c r="FY11" i="7"/>
  <c r="DQ11" i="7"/>
  <c r="AF11" i="7"/>
  <c r="EW11" i="7"/>
  <c r="FV11" i="7"/>
  <c r="ER11" i="7"/>
  <c r="CP11" i="7"/>
  <c r="W11" i="7"/>
  <c r="DO11" i="7"/>
  <c r="AA11" i="7"/>
  <c r="ET11" i="7"/>
  <c r="CD11" i="7"/>
  <c r="GE11" i="7"/>
  <c r="DX11" i="7"/>
  <c r="AN11" i="7"/>
  <c r="FC11" i="7"/>
  <c r="GN11" i="7"/>
  <c r="FJ11" i="7"/>
  <c r="DL11" i="7"/>
  <c r="AC11" i="7"/>
  <c r="DU11" i="7"/>
  <c r="AJ11" i="7"/>
  <c r="EZ11" i="7"/>
  <c r="CM11" i="7"/>
  <c r="GK11" i="7"/>
  <c r="ED11" i="7"/>
  <c r="AX11" i="7"/>
  <c r="FI11" i="7"/>
  <c r="Z11" i="7"/>
  <c r="GB11" i="7"/>
  <c r="EF11" i="7"/>
  <c r="AI11" i="7"/>
  <c r="AS11" i="7"/>
  <c r="FF11" i="7"/>
  <c r="CT11" i="7"/>
  <c r="GQ11" i="7"/>
  <c r="EJ11" i="7"/>
  <c r="BF11" i="7"/>
  <c r="FO11" i="7"/>
  <c r="AZ11" i="7"/>
  <c r="GT11" i="7"/>
  <c r="EX11" i="7"/>
  <c r="AO11" i="7"/>
  <c r="S11" i="7"/>
  <c r="BB11" i="7"/>
  <c r="FL11" i="7"/>
  <c r="DA11" i="7"/>
  <c r="U11" i="7"/>
  <c r="EP11" i="7"/>
  <c r="BP11" i="7"/>
  <c r="FU11" i="7"/>
  <c r="CB11" i="7"/>
  <c r="AH11" i="7"/>
  <c r="FP11" i="7"/>
  <c r="AU11" i="7"/>
  <c r="Y11" i="7"/>
  <c r="BK11" i="7"/>
  <c r="FR11" i="7"/>
  <c r="DH11" i="7"/>
  <c r="AD11" i="7"/>
  <c r="EV11" i="7"/>
  <c r="BX11" i="7"/>
  <c r="GA11" i="7"/>
  <c r="CY11" i="7"/>
  <c r="BJ11" i="7"/>
  <c r="GH11" i="7"/>
  <c r="BA11" i="7"/>
  <c r="AE11" i="7"/>
  <c r="BT11" i="7"/>
  <c r="FX11" i="7"/>
  <c r="DP11" i="7"/>
  <c r="AM11" i="7"/>
  <c r="FB11" i="7"/>
  <c r="CH11" i="7"/>
  <c r="GG11" i="7"/>
  <c r="DT11" i="7"/>
  <c r="CJ11" i="7"/>
  <c r="BR11" i="7"/>
  <c r="BG11" i="7"/>
  <c r="AK11" i="7"/>
  <c r="CC11" i="7"/>
  <c r="GD11" i="7"/>
  <c r="DW11" i="7"/>
  <c r="AV11" i="7"/>
  <c r="FH11" i="7"/>
  <c r="CO11" i="7"/>
  <c r="GM11" i="7"/>
  <c r="EM11" i="7"/>
  <c r="DF11" i="7"/>
  <c r="GI11" i="7"/>
  <c r="BM11" i="7"/>
  <c r="AQ11" i="7"/>
  <c r="CL11" i="7"/>
  <c r="GJ11" i="7"/>
  <c r="EC11" i="7"/>
  <c r="BE11" i="7"/>
  <c r="FN11" i="7"/>
  <c r="CV11" i="7"/>
  <c r="GS11" i="7"/>
  <c r="FE11" i="7"/>
  <c r="EA11" i="7"/>
  <c r="CR11" i="7"/>
  <c r="BS11" i="7"/>
  <c r="AW11" i="7"/>
  <c r="CS11" i="7"/>
  <c r="GP11" i="7"/>
  <c r="EI11" i="7"/>
  <c r="BN11" i="7"/>
  <c r="FT11" i="7"/>
  <c r="DD11" i="7"/>
  <c r="X11" i="7"/>
  <c r="FW11" i="7"/>
  <c r="ES11" i="7"/>
  <c r="DM11" i="7"/>
  <c r="BY11" i="7"/>
  <c r="BC11" i="7"/>
  <c r="CZ11" i="7"/>
  <c r="T11" i="7"/>
  <c r="EO11" i="7"/>
  <c r="BW11" i="7"/>
  <c r="FZ11" i="7"/>
  <c r="DK11" i="7"/>
  <c r="AY11" i="7"/>
  <c r="GO11" i="7"/>
  <c r="FK11" i="7"/>
  <c r="EG11" i="7"/>
  <c r="CE11" i="7"/>
  <c r="BI11" i="7"/>
  <c r="DG11" i="7"/>
  <c r="AB11" i="7"/>
  <c r="EU11" i="7"/>
  <c r="CF11" i="7"/>
  <c r="GF11" i="7"/>
  <c r="DR11" i="7"/>
  <c r="BZ11" i="7"/>
  <c r="AG11" i="7"/>
  <c r="GC11" i="7"/>
  <c r="P11" i="7"/>
  <c r="CK11" i="7"/>
  <c r="BO11" i="7"/>
  <c r="DN11" i="7"/>
  <c r="AL11" i="7"/>
  <c r="FA11" i="7"/>
  <c r="CN11" i="7"/>
  <c r="GL11" i="7"/>
  <c r="DY11" i="7"/>
  <c r="CX11" i="7"/>
  <c r="BH11" i="7"/>
  <c r="GU11" i="7"/>
  <c r="EY11" i="7"/>
  <c r="J45" i="7"/>
  <c r="K45" i="7"/>
  <c r="J8" i="7"/>
  <c r="K8" i="7"/>
  <c r="DT69" i="7"/>
  <c r="BG69" i="7"/>
  <c r="GC69" i="7"/>
  <c r="DP69" i="7"/>
  <c r="BC69" i="7"/>
  <c r="FY69" i="7"/>
  <c r="DL69" i="7"/>
  <c r="AY69" i="7"/>
  <c r="FU69" i="7"/>
  <c r="DH69" i="7"/>
  <c r="AU69" i="7"/>
  <c r="EL69" i="7"/>
  <c r="DD69" i="7"/>
  <c r="AQ69" i="7"/>
  <c r="FM69" i="7"/>
  <c r="CZ69" i="7"/>
  <c r="AM69" i="7"/>
  <c r="FI69" i="7"/>
  <c r="CV69" i="7"/>
  <c r="AI69" i="7"/>
  <c r="FE69" i="7"/>
  <c r="CR69" i="7"/>
  <c r="AE69" i="7"/>
  <c r="DV69" i="7"/>
  <c r="CN69" i="7"/>
  <c r="AA69" i="7"/>
  <c r="EW69" i="7"/>
  <c r="CJ69" i="7"/>
  <c r="W69" i="7"/>
  <c r="ES69" i="7"/>
  <c r="CF69" i="7"/>
  <c r="S69" i="7"/>
  <c r="EO69" i="7"/>
  <c r="CB69" i="7"/>
  <c r="GG69" i="7"/>
  <c r="DF69" i="7"/>
  <c r="BX69" i="7"/>
  <c r="GT69" i="7"/>
  <c r="EG69" i="7"/>
  <c r="BT69" i="7"/>
  <c r="GP69" i="7"/>
  <c r="EC69" i="7"/>
  <c r="BP69" i="7"/>
  <c r="GL69" i="7"/>
  <c r="DY69" i="7"/>
  <c r="BL69" i="7"/>
  <c r="FQ69" i="7"/>
  <c r="CP69" i="7"/>
  <c r="BH69" i="7"/>
  <c r="GD69" i="7"/>
  <c r="DQ69" i="7"/>
  <c r="BD69" i="7"/>
  <c r="FZ69" i="7"/>
  <c r="DM69" i="7"/>
  <c r="AZ69" i="7"/>
  <c r="FV69" i="7"/>
  <c r="DI69" i="7"/>
  <c r="AV69" i="7"/>
  <c r="FA69" i="7"/>
  <c r="BZ69" i="7"/>
  <c r="AR69" i="7"/>
  <c r="FN69" i="7"/>
  <c r="DA69" i="7"/>
  <c r="AN69" i="7"/>
  <c r="FJ69" i="7"/>
  <c r="CW69" i="7"/>
  <c r="AJ69" i="7"/>
  <c r="FF69" i="7"/>
  <c r="CS69" i="7"/>
  <c r="AF69" i="7"/>
  <c r="EK69" i="7"/>
  <c r="BJ69" i="7"/>
  <c r="AB69" i="7"/>
  <c r="EX69" i="7"/>
  <c r="CK69" i="7"/>
  <c r="X69" i="7"/>
  <c r="ET69" i="7"/>
  <c r="CG69" i="7"/>
  <c r="T69" i="7"/>
  <c r="EP69" i="7"/>
  <c r="CC69" i="7"/>
  <c r="DU69" i="7"/>
  <c r="AT69" i="7"/>
  <c r="GU69" i="7"/>
  <c r="EH69" i="7"/>
  <c r="BU69" i="7"/>
  <c r="GQ69" i="7"/>
  <c r="ED69" i="7"/>
  <c r="BQ69" i="7"/>
  <c r="GM69" i="7"/>
  <c r="DZ69" i="7"/>
  <c r="BM69" i="7"/>
  <c r="GI69" i="7"/>
  <c r="DE69" i="7"/>
  <c r="AD69" i="7"/>
  <c r="GE69" i="7"/>
  <c r="DR69" i="7"/>
  <c r="BE69" i="7"/>
  <c r="GA69" i="7"/>
  <c r="DN69" i="7"/>
  <c r="BA69" i="7"/>
  <c r="FW69" i="7"/>
  <c r="DJ69" i="7"/>
  <c r="AW69" i="7"/>
  <c r="FS69" i="7"/>
  <c r="CO69" i="7"/>
  <c r="FO69" i="7"/>
  <c r="DB69" i="7"/>
  <c r="AO69" i="7"/>
  <c r="FK69" i="7"/>
  <c r="CX69" i="7"/>
  <c r="AK69" i="7"/>
  <c r="FG69" i="7"/>
  <c r="CT69" i="7"/>
  <c r="AG69" i="7"/>
  <c r="FC69" i="7"/>
  <c r="BY69" i="7"/>
  <c r="EY69" i="7"/>
  <c r="CL69" i="7"/>
  <c r="Y69" i="7"/>
  <c r="EU69" i="7"/>
  <c r="CH69" i="7"/>
  <c r="U69" i="7"/>
  <c r="EQ69" i="7"/>
  <c r="CD69" i="7"/>
  <c r="EM69" i="7"/>
  <c r="BI69" i="7"/>
  <c r="EI69" i="7"/>
  <c r="BV69" i="7"/>
  <c r="GR69" i="7"/>
  <c r="EE69" i="7"/>
  <c r="BR69" i="7"/>
  <c r="GN69" i="7"/>
  <c r="EA69" i="7"/>
  <c r="BN69" i="7"/>
  <c r="GJ69" i="7"/>
  <c r="DW69" i="7"/>
  <c r="AS69" i="7"/>
  <c r="GF69" i="7"/>
  <c r="DS69" i="7"/>
  <c r="BF69" i="7"/>
  <c r="GB69" i="7"/>
  <c r="DO69" i="7"/>
  <c r="BB69" i="7"/>
  <c r="FX69" i="7"/>
  <c r="DK69" i="7"/>
  <c r="AX69" i="7"/>
  <c r="FT69" i="7"/>
  <c r="DG69" i="7"/>
  <c r="AC69" i="7"/>
  <c r="FP69" i="7"/>
  <c r="DC69" i="7"/>
  <c r="AP69" i="7"/>
  <c r="FL69" i="7"/>
  <c r="CY69" i="7"/>
  <c r="AL69" i="7"/>
  <c r="FH69" i="7"/>
  <c r="CU69" i="7"/>
  <c r="AH69" i="7"/>
  <c r="FD69" i="7"/>
  <c r="CQ69" i="7"/>
  <c r="GH69" i="7"/>
  <c r="EZ69" i="7"/>
  <c r="CM69" i="7"/>
  <c r="Z69" i="7"/>
  <c r="EV69" i="7"/>
  <c r="CI69" i="7"/>
  <c r="V69" i="7"/>
  <c r="ER69" i="7"/>
  <c r="CE69" i="7"/>
  <c r="EN69" i="7"/>
  <c r="CA69" i="7"/>
  <c r="FR69" i="7"/>
  <c r="EB69" i="7"/>
  <c r="BO69" i="7"/>
  <c r="GK69" i="7"/>
  <c r="DX69" i="7"/>
  <c r="BK69" i="7"/>
  <c r="FB69" i="7"/>
  <c r="EJ69" i="7"/>
  <c r="BW69" i="7"/>
  <c r="GS69" i="7"/>
  <c r="EF69" i="7"/>
  <c r="GO69" i="7"/>
  <c r="BS69" i="7"/>
  <c r="AB33" i="7"/>
  <c r="DT33" i="7"/>
  <c r="AC33" i="7"/>
  <c r="DU33" i="7"/>
  <c r="AD33" i="7"/>
  <c r="DV33" i="7"/>
  <c r="AK33" i="7"/>
  <c r="EC33" i="7"/>
  <c r="CT33" i="7"/>
  <c r="AF33" i="7"/>
  <c r="EK33" i="7"/>
  <c r="AM33" i="7"/>
  <c r="AH33" i="7"/>
  <c r="DZ33" i="7"/>
  <c r="AI33" i="7"/>
  <c r="EA33" i="7"/>
  <c r="AJ33" i="7"/>
  <c r="EB33" i="7"/>
  <c r="AQ33" i="7"/>
  <c r="EI33" i="7"/>
  <c r="DL33" i="7"/>
  <c r="AX33" i="7"/>
  <c r="FC33" i="7"/>
  <c r="BE33" i="7"/>
  <c r="AN33" i="7"/>
  <c r="EF33" i="7"/>
  <c r="AO33" i="7"/>
  <c r="EG33" i="7"/>
  <c r="AP33" i="7"/>
  <c r="EH33" i="7"/>
  <c r="AW33" i="7"/>
  <c r="EO33" i="7"/>
  <c r="ED33" i="7"/>
  <c r="BP33" i="7"/>
  <c r="FU33" i="7"/>
  <c r="BW33" i="7"/>
  <c r="AT33" i="7"/>
  <c r="EL33" i="7"/>
  <c r="AU33" i="7"/>
  <c r="EM33" i="7"/>
  <c r="AV33" i="7"/>
  <c r="EN33" i="7"/>
  <c r="BC33" i="7"/>
  <c r="EU33" i="7"/>
  <c r="EV33" i="7"/>
  <c r="CH33" i="7"/>
  <c r="GM33" i="7"/>
  <c r="CO33" i="7"/>
  <c r="AZ33" i="7"/>
  <c r="ER33" i="7"/>
  <c r="BA33" i="7"/>
  <c r="ES33" i="7"/>
  <c r="BB33" i="7"/>
  <c r="ET33" i="7"/>
  <c r="BI33" i="7"/>
  <c r="FA33" i="7"/>
  <c r="FN33" i="7"/>
  <c r="CZ33" i="7"/>
  <c r="T33" i="7"/>
  <c r="DG33" i="7"/>
  <c r="BF33" i="7"/>
  <c r="EX33" i="7"/>
  <c r="BG33" i="7"/>
  <c r="EY33" i="7"/>
  <c r="BH33" i="7"/>
  <c r="EZ33" i="7"/>
  <c r="BO33" i="7"/>
  <c r="FG33" i="7"/>
  <c r="GF33" i="7"/>
  <c r="DR33" i="7"/>
  <c r="AL33" i="7"/>
  <c r="DY33" i="7"/>
  <c r="BL33" i="7"/>
  <c r="FD33" i="7"/>
  <c r="BM33" i="7"/>
  <c r="FE33" i="7"/>
  <c r="BN33" i="7"/>
  <c r="FF33" i="7"/>
  <c r="BU33" i="7"/>
  <c r="FM33" i="7"/>
  <c r="AA33" i="7"/>
  <c r="EJ33" i="7"/>
  <c r="BD33" i="7"/>
  <c r="EQ33" i="7"/>
  <c r="BR33" i="7"/>
  <c r="FJ33" i="7"/>
  <c r="BS33" i="7"/>
  <c r="FK33" i="7"/>
  <c r="BT33" i="7"/>
  <c r="FL33" i="7"/>
  <c r="CA33" i="7"/>
  <c r="FS33" i="7"/>
  <c r="AS33" i="7"/>
  <c r="FB33" i="7"/>
  <c r="BV33" i="7"/>
  <c r="FI33" i="7"/>
  <c r="BX33" i="7"/>
  <c r="FP33" i="7"/>
  <c r="BY33" i="7"/>
  <c r="FQ33" i="7"/>
  <c r="BZ33" i="7"/>
  <c r="FR33" i="7"/>
  <c r="CG33" i="7"/>
  <c r="FY33" i="7"/>
  <c r="BK33" i="7"/>
  <c r="FT33" i="7"/>
  <c r="CN33" i="7"/>
  <c r="GA33" i="7"/>
  <c r="CD33" i="7"/>
  <c r="FV33" i="7"/>
  <c r="CE33" i="7"/>
  <c r="FW33" i="7"/>
  <c r="CF33" i="7"/>
  <c r="FX33" i="7"/>
  <c r="CM33" i="7"/>
  <c r="GE33" i="7"/>
  <c r="CC33" i="7"/>
  <c r="GL33" i="7"/>
  <c r="DF33" i="7"/>
  <c r="GS33" i="7"/>
  <c r="CJ33" i="7"/>
  <c r="GB33" i="7"/>
  <c r="CK33" i="7"/>
  <c r="GC33" i="7"/>
  <c r="CL33" i="7"/>
  <c r="GD33" i="7"/>
  <c r="CS33" i="7"/>
  <c r="GK33" i="7"/>
  <c r="CU33" i="7"/>
  <c r="AG33" i="7"/>
  <c r="DX33" i="7"/>
  <c r="CP33" i="7"/>
  <c r="GH33" i="7"/>
  <c r="CQ33" i="7"/>
  <c r="GI33" i="7"/>
  <c r="CR33" i="7"/>
  <c r="GJ33" i="7"/>
  <c r="CY33" i="7"/>
  <c r="GQ33" i="7"/>
  <c r="DM33" i="7"/>
  <c r="AY33" i="7"/>
  <c r="EP33" i="7"/>
  <c r="CV33" i="7"/>
  <c r="GN33" i="7"/>
  <c r="CW33" i="7"/>
  <c r="GO33" i="7"/>
  <c r="CX33" i="7"/>
  <c r="GP33" i="7"/>
  <c r="DE33" i="7"/>
  <c r="Z33" i="7"/>
  <c r="EE33" i="7"/>
  <c r="BQ33" i="7"/>
  <c r="FH33" i="7"/>
  <c r="DB33" i="7"/>
  <c r="GT33" i="7"/>
  <c r="DC33" i="7"/>
  <c r="GU33" i="7"/>
  <c r="DD33" i="7"/>
  <c r="S33" i="7"/>
  <c r="DK33" i="7"/>
  <c r="AR33" i="7"/>
  <c r="EW33" i="7"/>
  <c r="CI33" i="7"/>
  <c r="FZ33" i="7"/>
  <c r="DH33" i="7"/>
  <c r="DI33" i="7"/>
  <c r="DJ33" i="7"/>
  <c r="Y33" i="7"/>
  <c r="DQ33" i="7"/>
  <c r="BJ33" i="7"/>
  <c r="FO33" i="7"/>
  <c r="DA33" i="7"/>
  <c r="GR33" i="7"/>
  <c r="V33" i="7"/>
  <c r="DN33" i="7"/>
  <c r="W33" i="7"/>
  <c r="DO33" i="7"/>
  <c r="X33" i="7"/>
  <c r="DP33" i="7"/>
  <c r="AE33" i="7"/>
  <c r="DW33" i="7"/>
  <c r="CB33" i="7"/>
  <c r="GG33" i="7"/>
  <c r="DS33" i="7"/>
  <c r="U33" i="7"/>
  <c r="J51" i="7"/>
  <c r="J13" i="7"/>
  <c r="GD51" i="7"/>
  <c r="DQ51" i="7"/>
  <c r="BD51" i="7"/>
  <c r="FZ51" i="7"/>
  <c r="DM51" i="7"/>
  <c r="AZ51" i="7"/>
  <c r="FV51" i="7"/>
  <c r="DI51" i="7"/>
  <c r="AV51" i="7"/>
  <c r="FQ51" i="7"/>
  <c r="DD51" i="7"/>
  <c r="FO51" i="7"/>
  <c r="FN51" i="7"/>
  <c r="DA51" i="7"/>
  <c r="AN51" i="7"/>
  <c r="FJ51" i="7"/>
  <c r="CW51" i="7"/>
  <c r="AJ51" i="7"/>
  <c r="FF51" i="7"/>
  <c r="CS51" i="7"/>
  <c r="AF51" i="7"/>
  <c r="FA51" i="7"/>
  <c r="CN51" i="7"/>
  <c r="AQ51" i="7"/>
  <c r="EX51" i="7"/>
  <c r="CK51" i="7"/>
  <c r="X51" i="7"/>
  <c r="ET51" i="7"/>
  <c r="CG51" i="7"/>
  <c r="T51" i="7"/>
  <c r="EP51" i="7"/>
  <c r="CC51" i="7"/>
  <c r="P51" i="7"/>
  <c r="EK51" i="7"/>
  <c r="BX51" i="7"/>
  <c r="FB51" i="7"/>
  <c r="EH51" i="7"/>
  <c r="BU51" i="7"/>
  <c r="GQ51" i="7"/>
  <c r="ED51" i="7"/>
  <c r="BQ51" i="7"/>
  <c r="GM51" i="7"/>
  <c r="DZ51" i="7"/>
  <c r="BM51" i="7"/>
  <c r="GI51" i="7"/>
  <c r="DU51" i="7"/>
  <c r="BH51" i="7"/>
  <c r="AD51" i="7"/>
  <c r="DR51" i="7"/>
  <c r="BE51" i="7"/>
  <c r="GA51" i="7"/>
  <c r="DN51" i="7"/>
  <c r="BA51" i="7"/>
  <c r="FW51" i="7"/>
  <c r="DJ51" i="7"/>
  <c r="AW51" i="7"/>
  <c r="FS51" i="7"/>
  <c r="DE51" i="7"/>
  <c r="AR51" i="7"/>
  <c r="EY51" i="7"/>
  <c r="DB51" i="7"/>
  <c r="AO51" i="7"/>
  <c r="FK51" i="7"/>
  <c r="CX51" i="7"/>
  <c r="AK51" i="7"/>
  <c r="FG51" i="7"/>
  <c r="CT51" i="7"/>
  <c r="AG51" i="7"/>
  <c r="FC51" i="7"/>
  <c r="CO51" i="7"/>
  <c r="AB51" i="7"/>
  <c r="AA51" i="7"/>
  <c r="CL51" i="7"/>
  <c r="Y51" i="7"/>
  <c r="EU51" i="7"/>
  <c r="CH51" i="7"/>
  <c r="U51" i="7"/>
  <c r="EQ51" i="7"/>
  <c r="CD51" i="7"/>
  <c r="Q51" i="7"/>
  <c r="EM51" i="7"/>
  <c r="BY51" i="7"/>
  <c r="L51" i="7"/>
  <c r="EL51" i="7"/>
  <c r="BV51" i="7"/>
  <c r="GR51" i="7"/>
  <c r="EE51" i="7"/>
  <c r="BR51" i="7"/>
  <c r="GN51" i="7"/>
  <c r="EA51" i="7"/>
  <c r="BN51" i="7"/>
  <c r="GJ51" i="7"/>
  <c r="DW51" i="7"/>
  <c r="BI51" i="7"/>
  <c r="BZ51" i="7"/>
  <c r="N51" i="7"/>
  <c r="BF51" i="7"/>
  <c r="GB51" i="7"/>
  <c r="DO51" i="7"/>
  <c r="BB51" i="7"/>
  <c r="FX51" i="7"/>
  <c r="DK51" i="7"/>
  <c r="AX51" i="7"/>
  <c r="FT51" i="7"/>
  <c r="DG51" i="7"/>
  <c r="AS51" i="7"/>
  <c r="GU51" i="7"/>
  <c r="EI51" i="7"/>
  <c r="AP51" i="7"/>
  <c r="FL51" i="7"/>
  <c r="CY51" i="7"/>
  <c r="AL51" i="7"/>
  <c r="FH51" i="7"/>
  <c r="CU51" i="7"/>
  <c r="AH51" i="7"/>
  <c r="FD51" i="7"/>
  <c r="CQ51" i="7"/>
  <c r="AC51" i="7"/>
  <c r="BW51" i="7"/>
  <c r="K51" i="7"/>
  <c r="Z51" i="7"/>
  <c r="EV51" i="7"/>
  <c r="CI51" i="7"/>
  <c r="V51" i="7"/>
  <c r="ER51" i="7"/>
  <c r="CE51" i="7"/>
  <c r="R51" i="7"/>
  <c r="EN51" i="7"/>
  <c r="CA51" i="7"/>
  <c r="M51" i="7"/>
  <c r="GH51" i="7"/>
  <c r="DV51" i="7"/>
  <c r="GS51" i="7"/>
  <c r="EF51" i="7"/>
  <c r="BS51" i="7"/>
  <c r="GO51" i="7"/>
  <c r="EB51" i="7"/>
  <c r="BO51" i="7"/>
  <c r="GK51" i="7"/>
  <c r="DX51" i="7"/>
  <c r="BK51" i="7"/>
  <c r="GF51" i="7"/>
  <c r="BJ51" i="7"/>
  <c r="DS51" i="7"/>
  <c r="GC51" i="7"/>
  <c r="DP51" i="7"/>
  <c r="BC51" i="7"/>
  <c r="FY51" i="7"/>
  <c r="DL51" i="7"/>
  <c r="AY51" i="7"/>
  <c r="FU51" i="7"/>
  <c r="DH51" i="7"/>
  <c r="AU51" i="7"/>
  <c r="FP51" i="7"/>
  <c r="GE51" i="7"/>
  <c r="CM51" i="7"/>
  <c r="FM51" i="7"/>
  <c r="CZ51" i="7"/>
  <c r="AM51" i="7"/>
  <c r="FI51" i="7"/>
  <c r="CV51" i="7"/>
  <c r="AI51" i="7"/>
  <c r="FE51" i="7"/>
  <c r="CR51" i="7"/>
  <c r="AE51" i="7"/>
  <c r="EZ51" i="7"/>
  <c r="BG51" i="7"/>
  <c r="DF51" i="7"/>
  <c r="EW51" i="7"/>
  <c r="CJ51" i="7"/>
  <c r="W51" i="7"/>
  <c r="ES51" i="7"/>
  <c r="CF51" i="7"/>
  <c r="BP51" i="7"/>
  <c r="S51" i="7"/>
  <c r="GL51" i="7"/>
  <c r="EO51" i="7"/>
  <c r="DY51" i="7"/>
  <c r="CB51" i="7"/>
  <c r="BL51" i="7"/>
  <c r="O51" i="7"/>
  <c r="GG51" i="7"/>
  <c r="EJ51" i="7"/>
  <c r="GT51" i="7"/>
  <c r="DT51" i="7"/>
  <c r="EG51" i="7"/>
  <c r="FR51" i="7"/>
  <c r="BT51" i="7"/>
  <c r="AT51" i="7"/>
  <c r="GP51" i="7"/>
  <c r="DC51" i="7"/>
  <c r="EC51" i="7"/>
  <c r="CP51" i="7"/>
  <c r="AH13" i="7"/>
  <c r="DZ13" i="7"/>
  <c r="CE13" i="7"/>
  <c r="FW13" i="7"/>
  <c r="BZ13" i="7"/>
  <c r="FR13" i="7"/>
  <c r="CA13" i="7"/>
  <c r="AG13" i="7"/>
  <c r="CN13" i="7"/>
  <c r="EQ13" i="7"/>
  <c r="FZ13" i="7"/>
  <c r="CH13" i="7"/>
  <c r="AN13" i="7"/>
  <c r="EF13" i="7"/>
  <c r="CK13" i="7"/>
  <c r="GC13" i="7"/>
  <c r="CF13" i="7"/>
  <c r="FX13" i="7"/>
  <c r="CG13" i="7"/>
  <c r="AY13" i="7"/>
  <c r="DF13" i="7"/>
  <c r="FD13" i="7"/>
  <c r="GH13" i="7"/>
  <c r="FT13" i="7"/>
  <c r="AT13" i="7"/>
  <c r="EL13" i="7"/>
  <c r="CQ13" i="7"/>
  <c r="GI13" i="7"/>
  <c r="CL13" i="7"/>
  <c r="GD13" i="7"/>
  <c r="CM13" i="7"/>
  <c r="BQ13" i="7"/>
  <c r="DX13" i="7"/>
  <c r="FO13" i="7"/>
  <c r="GR13" i="7"/>
  <c r="CZ13" i="7"/>
  <c r="AZ13" i="7"/>
  <c r="ER13" i="7"/>
  <c r="CW13" i="7"/>
  <c r="GO13" i="7"/>
  <c r="CR13" i="7"/>
  <c r="GJ13" i="7"/>
  <c r="CS13" i="7"/>
  <c r="CI13" i="7"/>
  <c r="EP13" i="7"/>
  <c r="FY13" i="7"/>
  <c r="AA13" i="7"/>
  <c r="GB13" i="7"/>
  <c r="BF13" i="7"/>
  <c r="K13" i="7"/>
  <c r="DC13" i="7"/>
  <c r="GU13" i="7"/>
  <c r="CX13" i="7"/>
  <c r="GP13" i="7"/>
  <c r="CY13" i="7"/>
  <c r="DA13" i="7"/>
  <c r="FC13" i="7"/>
  <c r="GG13" i="7"/>
  <c r="AS13" i="7"/>
  <c r="N13" i="7"/>
  <c r="BL13" i="7"/>
  <c r="Q13" i="7"/>
  <c r="DI13" i="7"/>
  <c r="L13" i="7"/>
  <c r="DD13" i="7"/>
  <c r="M13" i="7"/>
  <c r="DE13" i="7"/>
  <c r="DS13" i="7"/>
  <c r="FN13" i="7"/>
  <c r="GQ13" i="7"/>
  <c r="BK13" i="7"/>
  <c r="DR13" i="7"/>
  <c r="BR13" i="7"/>
  <c r="W13" i="7"/>
  <c r="DO13" i="7"/>
  <c r="R13" i="7"/>
  <c r="DJ13" i="7"/>
  <c r="S13" i="7"/>
  <c r="DK13" i="7"/>
  <c r="EK13" i="7"/>
  <c r="FV13" i="7"/>
  <c r="Z13" i="7"/>
  <c r="CC13" i="7"/>
  <c r="GL13" i="7"/>
  <c r="BX13" i="7"/>
  <c r="AC13" i="7"/>
  <c r="DU13" i="7"/>
  <c r="X13" i="7"/>
  <c r="DP13" i="7"/>
  <c r="Y13" i="7"/>
  <c r="DQ13" i="7"/>
  <c r="FB13" i="7"/>
  <c r="GF13" i="7"/>
  <c r="AR13" i="7"/>
  <c r="CU13" i="7"/>
  <c r="AF13" i="7"/>
  <c r="CD13" i="7"/>
  <c r="AI13" i="7"/>
  <c r="EA13" i="7"/>
  <c r="AD13" i="7"/>
  <c r="DV13" i="7"/>
  <c r="AE13" i="7"/>
  <c r="DW13" i="7"/>
  <c r="FM13" i="7"/>
  <c r="GN13" i="7"/>
  <c r="BJ13" i="7"/>
  <c r="DM13" i="7"/>
  <c r="EJ13" i="7"/>
  <c r="CJ13" i="7"/>
  <c r="AO13" i="7"/>
  <c r="EG13" i="7"/>
  <c r="AJ13" i="7"/>
  <c r="EB13" i="7"/>
  <c r="AK13" i="7"/>
  <c r="EC13" i="7"/>
  <c r="FU13" i="7"/>
  <c r="U13" i="7"/>
  <c r="CB13" i="7"/>
  <c r="EE13" i="7"/>
  <c r="GT13" i="7"/>
  <c r="CP13" i="7"/>
  <c r="AU13" i="7"/>
  <c r="EM13" i="7"/>
  <c r="AP13" i="7"/>
  <c r="EH13" i="7"/>
  <c r="AQ13" i="7"/>
  <c r="EI13" i="7"/>
  <c r="GE13" i="7"/>
  <c r="AM13" i="7"/>
  <c r="CT13" i="7"/>
  <c r="EW13" i="7"/>
  <c r="AX13" i="7"/>
  <c r="CV13" i="7"/>
  <c r="BA13" i="7"/>
  <c r="ES13" i="7"/>
  <c r="AV13" i="7"/>
  <c r="EN13" i="7"/>
  <c r="AW13" i="7"/>
  <c r="EO13" i="7"/>
  <c r="GM13" i="7"/>
  <c r="BE13" i="7"/>
  <c r="DL13" i="7"/>
  <c r="FI13" i="7"/>
  <c r="EX13" i="7"/>
  <c r="DB13" i="7"/>
  <c r="BG13" i="7"/>
  <c r="EY13" i="7"/>
  <c r="BB13" i="7"/>
  <c r="ET13" i="7"/>
  <c r="BC13" i="7"/>
  <c r="EU13" i="7"/>
  <c r="T13" i="7"/>
  <c r="BW13" i="7"/>
  <c r="ED13" i="7"/>
  <c r="FS13" i="7"/>
  <c r="BP13" i="7"/>
  <c r="P13" i="7"/>
  <c r="DH13" i="7"/>
  <c r="BM13" i="7"/>
  <c r="FE13" i="7"/>
  <c r="BH13" i="7"/>
  <c r="EZ13" i="7"/>
  <c r="BI13" i="7"/>
  <c r="FA13" i="7"/>
  <c r="AL13" i="7"/>
  <c r="CO13" i="7"/>
  <c r="EV13" i="7"/>
  <c r="GA13" i="7"/>
  <c r="FJ13" i="7"/>
  <c r="V13" i="7"/>
  <c r="DN13" i="7"/>
  <c r="BS13" i="7"/>
  <c r="FK13" i="7"/>
  <c r="BN13" i="7"/>
  <c r="FF13" i="7"/>
  <c r="BO13" i="7"/>
  <c r="FG13" i="7"/>
  <c r="BD13" i="7"/>
  <c r="DG13" i="7"/>
  <c r="FH13" i="7"/>
  <c r="GK13" i="7"/>
  <c r="AB13" i="7"/>
  <c r="DT13" i="7"/>
  <c r="BY13" i="7"/>
  <c r="FQ13" i="7"/>
  <c r="BT13" i="7"/>
  <c r="FL13" i="7"/>
  <c r="BU13" i="7"/>
  <c r="O13" i="7"/>
  <c r="BV13" i="7"/>
  <c r="DY13" i="7"/>
  <c r="FP13" i="7"/>
  <c r="GS13" i="7"/>
  <c r="EG58" i="7"/>
  <c r="FK58" i="7"/>
  <c r="FI58" i="7"/>
  <c r="FF58" i="7"/>
  <c r="FT58" i="7"/>
  <c r="DE58" i="7"/>
  <c r="DT58" i="7"/>
  <c r="R58" i="7"/>
  <c r="AZ58" i="7"/>
  <c r="EQ58" i="7"/>
  <c r="AP58" i="7"/>
  <c r="GI58" i="7"/>
  <c r="DQ58" i="7"/>
  <c r="EU58" i="7"/>
  <c r="ES58" i="7"/>
  <c r="EP58" i="7"/>
  <c r="FD58" i="7"/>
  <c r="CO58" i="7"/>
  <c r="CE58" i="7"/>
  <c r="FG58" i="7"/>
  <c r="AE58" i="7"/>
  <c r="CU58" i="7"/>
  <c r="EL58" i="7"/>
  <c r="AS58" i="7"/>
  <c r="GT58" i="7"/>
  <c r="DA58" i="7"/>
  <c r="EE58" i="7"/>
  <c r="EC58" i="7"/>
  <c r="DZ58" i="7"/>
  <c r="EN58" i="7"/>
  <c r="BY58" i="7"/>
  <c r="BG58" i="7"/>
  <c r="DJ58" i="7"/>
  <c r="M58" i="7"/>
  <c r="BQ58" i="7"/>
  <c r="Z58" i="7"/>
  <c r="BK58" i="7"/>
  <c r="GD58" i="7"/>
  <c r="CK58" i="7"/>
  <c r="DO58" i="7"/>
  <c r="DM58" i="7"/>
  <c r="GK58" i="7"/>
  <c r="DX58" i="7"/>
  <c r="FW58" i="7"/>
  <c r="AL58" i="7"/>
  <c r="BZ58" i="7"/>
  <c r="EZ58" i="7"/>
  <c r="AU58" i="7"/>
  <c r="EJ58" i="7"/>
  <c r="AR58" i="7"/>
  <c r="FN58" i="7"/>
  <c r="BU58" i="7"/>
  <c r="CY58" i="7"/>
  <c r="CW58" i="7"/>
  <c r="FU58" i="7"/>
  <c r="DH58" i="7"/>
  <c r="DW58" i="7"/>
  <c r="T58" i="7"/>
  <c r="BB58" i="7"/>
  <c r="DD58" i="7"/>
  <c r="AB58" i="7"/>
  <c r="Y58" i="7"/>
  <c r="GH58" i="7"/>
  <c r="EX58" i="7"/>
  <c r="BE58" i="7"/>
  <c r="GP58" i="7"/>
  <c r="CG58" i="7"/>
  <c r="FE58" i="7"/>
  <c r="CR58" i="7"/>
  <c r="CJ58" i="7"/>
  <c r="FP58" i="7"/>
  <c r="AI58" i="7"/>
  <c r="BT58" i="7"/>
  <c r="EI58" i="7"/>
  <c r="EH58" i="7"/>
  <c r="AO58" i="7"/>
  <c r="FZ58" i="7"/>
  <c r="GN58" i="7"/>
  <c r="EO58" i="7"/>
  <c r="CB58" i="7"/>
  <c r="BI58" i="7"/>
  <c r="DS58" i="7"/>
  <c r="O58" i="7"/>
  <c r="AY58" i="7"/>
  <c r="GM58" i="7"/>
  <c r="X58" i="7"/>
  <c r="DR58" i="7"/>
  <c r="GR58" i="7"/>
  <c r="FJ58" i="7"/>
  <c r="FX58" i="7"/>
  <c r="DY58" i="7"/>
  <c r="BL58" i="7"/>
  <c r="AN58" i="7"/>
  <c r="CD58" i="7"/>
  <c r="FC58" i="7"/>
  <c r="AD58" i="7"/>
  <c r="EM58" i="7"/>
  <c r="EA58" i="7"/>
  <c r="DB58" i="7"/>
  <c r="GB58" i="7"/>
  <c r="ET58" i="7"/>
  <c r="FH58" i="7"/>
  <c r="DI58" i="7"/>
  <c r="AV58" i="7"/>
  <c r="V58" i="7"/>
  <c r="BD58" i="7"/>
  <c r="DG58" i="7"/>
  <c r="L58" i="7"/>
  <c r="CT58" i="7"/>
  <c r="W58" i="7"/>
  <c r="CL58" i="7"/>
  <c r="FL58" i="7"/>
  <c r="ED58" i="7"/>
  <c r="ER58" i="7"/>
  <c r="CS58" i="7"/>
  <c r="AF58" i="7"/>
  <c r="FS58" i="7"/>
  <c r="AK58" i="7"/>
  <c r="BX58" i="7"/>
  <c r="EY58" i="7"/>
  <c r="BP58" i="7"/>
  <c r="CQ58" i="7"/>
  <c r="BV58" i="7"/>
  <c r="EV58" i="7"/>
  <c r="DN58" i="7"/>
  <c r="EB58" i="7"/>
  <c r="CC58" i="7"/>
  <c r="P58" i="7"/>
  <c r="DV58" i="7"/>
  <c r="S58" i="7"/>
  <c r="BA58" i="7"/>
  <c r="DC58" i="7"/>
  <c r="AT58" i="7"/>
  <c r="CP58" i="7"/>
  <c r="BF58" i="7"/>
  <c r="EF58" i="7"/>
  <c r="CX58" i="7"/>
  <c r="DL58" i="7"/>
  <c r="BM58" i="7"/>
  <c r="GG58" i="7"/>
  <c r="CI58" i="7"/>
  <c r="FO58" i="7"/>
  <c r="AH58" i="7"/>
  <c r="BS58" i="7"/>
  <c r="AA58" i="7"/>
  <c r="CN58" i="7"/>
  <c r="GS58" i="7"/>
  <c r="DP58" i="7"/>
  <c r="CH58" i="7"/>
  <c r="CV58" i="7"/>
  <c r="AW58" i="7"/>
  <c r="FQ58" i="7"/>
  <c r="BH58" i="7"/>
  <c r="DK58" i="7"/>
  <c r="N58" i="7"/>
  <c r="AX58" i="7"/>
  <c r="CM58" i="7"/>
  <c r="GC58" i="7"/>
  <c r="CZ58" i="7"/>
  <c r="BR58" i="7"/>
  <c r="CF58" i="7"/>
  <c r="AG58" i="7"/>
  <c r="FA58" i="7"/>
  <c r="AM58" i="7"/>
  <c r="CA58" i="7"/>
  <c r="FB58" i="7"/>
  <c r="AC58" i="7"/>
  <c r="GF58" i="7"/>
  <c r="BO58" i="7"/>
  <c r="EW58" i="7"/>
  <c r="GA58" i="7"/>
  <c r="FY58" i="7"/>
  <c r="FV58" i="7"/>
  <c r="GJ58" i="7"/>
  <c r="DU58" i="7"/>
  <c r="FR58" i="7"/>
  <c r="AJ58" i="7"/>
  <c r="BW58" i="7"/>
  <c r="GU58" i="7"/>
  <c r="GE58" i="7"/>
  <c r="BJ58" i="7"/>
  <c r="FM58" i="7"/>
  <c r="GQ58" i="7"/>
  <c r="GO58" i="7"/>
  <c r="GL58" i="7"/>
  <c r="Q58" i="7"/>
  <c r="EK58" i="7"/>
  <c r="U58" i="7"/>
  <c r="BC58" i="7"/>
  <c r="DF58" i="7"/>
  <c r="AQ58" i="7"/>
  <c r="BN58" i="7"/>
  <c r="AF22" i="7"/>
  <c r="DX22" i="7"/>
  <c r="AA22" i="7"/>
  <c r="DS22" i="7"/>
  <c r="V22" i="7"/>
  <c r="DN22" i="7"/>
  <c r="Q22" i="7"/>
  <c r="DI22" i="7"/>
  <c r="M22" i="7"/>
  <c r="DD22" i="7"/>
  <c r="GQ22" i="7"/>
  <c r="DK22" i="7"/>
  <c r="AL22" i="7"/>
  <c r="ED22" i="7"/>
  <c r="AG22" i="7"/>
  <c r="DY22" i="7"/>
  <c r="AB22" i="7"/>
  <c r="DT22" i="7"/>
  <c r="W22" i="7"/>
  <c r="DO22" i="7"/>
  <c r="AE22" i="7"/>
  <c r="DV22" i="7"/>
  <c r="X22" i="7"/>
  <c r="EC22" i="7"/>
  <c r="AR22" i="7"/>
  <c r="EJ22" i="7"/>
  <c r="AM22" i="7"/>
  <c r="EE22" i="7"/>
  <c r="AH22" i="7"/>
  <c r="DZ22" i="7"/>
  <c r="AC22" i="7"/>
  <c r="DU22" i="7"/>
  <c r="AW22" i="7"/>
  <c r="EN22" i="7"/>
  <c r="AP22" i="7"/>
  <c r="EU22" i="7"/>
  <c r="AX22" i="7"/>
  <c r="EP22" i="7"/>
  <c r="AS22" i="7"/>
  <c r="EK22" i="7"/>
  <c r="AN22" i="7"/>
  <c r="EF22" i="7"/>
  <c r="AI22" i="7"/>
  <c r="EA22" i="7"/>
  <c r="BO22" i="7"/>
  <c r="FF22" i="7"/>
  <c r="BH22" i="7"/>
  <c r="FM22" i="7"/>
  <c r="BD22" i="7"/>
  <c r="EV22" i="7"/>
  <c r="AY22" i="7"/>
  <c r="EQ22" i="7"/>
  <c r="AT22" i="7"/>
  <c r="EL22" i="7"/>
  <c r="AO22" i="7"/>
  <c r="EG22" i="7"/>
  <c r="CG22" i="7"/>
  <c r="FX22" i="7"/>
  <c r="BZ22" i="7"/>
  <c r="GE22" i="7"/>
  <c r="BJ22" i="7"/>
  <c r="FB22" i="7"/>
  <c r="BE22" i="7"/>
  <c r="EW22" i="7"/>
  <c r="AZ22" i="7"/>
  <c r="ER22" i="7"/>
  <c r="AU22" i="7"/>
  <c r="EM22" i="7"/>
  <c r="CY22" i="7"/>
  <c r="GP22" i="7"/>
  <c r="CR22" i="7"/>
  <c r="L22" i="7"/>
  <c r="BP22" i="7"/>
  <c r="FH22" i="7"/>
  <c r="BK22" i="7"/>
  <c r="FC22" i="7"/>
  <c r="BF22" i="7"/>
  <c r="EX22" i="7"/>
  <c r="BA22" i="7"/>
  <c r="ES22" i="7"/>
  <c r="DQ22" i="7"/>
  <c r="S22" i="7"/>
  <c r="DJ22" i="7"/>
  <c r="AD22" i="7"/>
  <c r="BV22" i="7"/>
  <c r="FN22" i="7"/>
  <c r="BQ22" i="7"/>
  <c r="FI22" i="7"/>
  <c r="BL22" i="7"/>
  <c r="FD22" i="7"/>
  <c r="BG22" i="7"/>
  <c r="EY22" i="7"/>
  <c r="EI22" i="7"/>
  <c r="AK22" i="7"/>
  <c r="EB22" i="7"/>
  <c r="AV22" i="7"/>
  <c r="CB22" i="7"/>
  <c r="FT22" i="7"/>
  <c r="BW22" i="7"/>
  <c r="FO22" i="7"/>
  <c r="BR22" i="7"/>
  <c r="FJ22" i="7"/>
  <c r="BM22" i="7"/>
  <c r="FE22" i="7"/>
  <c r="FA22" i="7"/>
  <c r="BC22" i="7"/>
  <c r="ET22" i="7"/>
  <c r="BN22" i="7"/>
  <c r="CH22" i="7"/>
  <c r="FZ22" i="7"/>
  <c r="CC22" i="7"/>
  <c r="FU22" i="7"/>
  <c r="BX22" i="7"/>
  <c r="FP22" i="7"/>
  <c r="BS22" i="7"/>
  <c r="FK22" i="7"/>
  <c r="FS22" i="7"/>
  <c r="BU22" i="7"/>
  <c r="FL22" i="7"/>
  <c r="CF22" i="7"/>
  <c r="CN22" i="7"/>
  <c r="GF22" i="7"/>
  <c r="CI22" i="7"/>
  <c r="GA22" i="7"/>
  <c r="CD22" i="7"/>
  <c r="FV22" i="7"/>
  <c r="BY22" i="7"/>
  <c r="FQ22" i="7"/>
  <c r="GK22" i="7"/>
  <c r="CM22" i="7"/>
  <c r="GD22" i="7"/>
  <c r="CX22" i="7"/>
  <c r="CT22" i="7"/>
  <c r="GL22" i="7"/>
  <c r="CO22" i="7"/>
  <c r="GG22" i="7"/>
  <c r="CJ22" i="7"/>
  <c r="GB22" i="7"/>
  <c r="CE22" i="7"/>
  <c r="FW22" i="7"/>
  <c r="R22" i="7"/>
  <c r="DE22" i="7"/>
  <c r="Y22" i="7"/>
  <c r="DP22" i="7"/>
  <c r="CZ22" i="7"/>
  <c r="GR22" i="7"/>
  <c r="CU22" i="7"/>
  <c r="GM22" i="7"/>
  <c r="CP22" i="7"/>
  <c r="GH22" i="7"/>
  <c r="CK22" i="7"/>
  <c r="GC22" i="7"/>
  <c r="AJ22" i="7"/>
  <c r="DW22" i="7"/>
  <c r="AQ22" i="7"/>
  <c r="EH22" i="7"/>
  <c r="N22" i="7"/>
  <c r="DF22" i="7"/>
  <c r="DA22" i="7"/>
  <c r="GS22" i="7"/>
  <c r="CV22" i="7"/>
  <c r="GN22" i="7"/>
  <c r="CQ22" i="7"/>
  <c r="GI22" i="7"/>
  <c r="BB22" i="7"/>
  <c r="EO22" i="7"/>
  <c r="BI22" i="7"/>
  <c r="EZ22" i="7"/>
  <c r="T22" i="7"/>
  <c r="DL22" i="7"/>
  <c r="O22" i="7"/>
  <c r="DG22" i="7"/>
  <c r="DB22" i="7"/>
  <c r="GT22" i="7"/>
  <c r="CW22" i="7"/>
  <c r="GO22" i="7"/>
  <c r="BT22" i="7"/>
  <c r="FG22" i="7"/>
  <c r="CA22" i="7"/>
  <c r="FR22" i="7"/>
  <c r="Z22" i="7"/>
  <c r="DR22" i="7"/>
  <c r="U22" i="7"/>
  <c r="DM22" i="7"/>
  <c r="P22" i="7"/>
  <c r="DH22" i="7"/>
  <c r="DC22" i="7"/>
  <c r="GU22" i="7"/>
  <c r="CL22" i="7"/>
  <c r="FY22" i="7"/>
  <c r="CS22" i="7"/>
  <c r="GJ22" i="7"/>
  <c r="GL59" i="7"/>
  <c r="DY59" i="7"/>
  <c r="BL59" i="7"/>
  <c r="GH59" i="7"/>
  <c r="DU59" i="7"/>
  <c r="BH59" i="7"/>
  <c r="K59" i="7"/>
  <c r="EW59" i="7"/>
  <c r="CJ59" i="7"/>
  <c r="FF59" i="7"/>
  <c r="CS59" i="7"/>
  <c r="AF59" i="7"/>
  <c r="FB59" i="7"/>
  <c r="CO59" i="7"/>
  <c r="AB59" i="7"/>
  <c r="GD59" i="7"/>
  <c r="DQ59" i="7"/>
  <c r="DJ59" i="7"/>
  <c r="AW59" i="7"/>
  <c r="FS59" i="7"/>
  <c r="DF59" i="7"/>
  <c r="CT59" i="7"/>
  <c r="CD59" i="7"/>
  <c r="Q59" i="7"/>
  <c r="EM59" i="7"/>
  <c r="BZ59" i="7"/>
  <c r="M59" i="7"/>
  <c r="EY59" i="7"/>
  <c r="DB59" i="7"/>
  <c r="BN59" i="7"/>
  <c r="GJ59" i="7"/>
  <c r="DW59" i="7"/>
  <c r="BJ59" i="7"/>
  <c r="GF59" i="7"/>
  <c r="EI59" i="7"/>
  <c r="CL59" i="7"/>
  <c r="Y59" i="7"/>
  <c r="ES59" i="7"/>
  <c r="AX59" i="7"/>
  <c r="FT59" i="7"/>
  <c r="DG59" i="7"/>
  <c r="AT59" i="7"/>
  <c r="FP59" i="7"/>
  <c r="DS59" i="7"/>
  <c r="BV59" i="7"/>
  <c r="GR59" i="7"/>
  <c r="EC59" i="7"/>
  <c r="AH59" i="7"/>
  <c r="FD59" i="7"/>
  <c r="CQ59" i="7"/>
  <c r="AD59" i="7"/>
  <c r="EZ59" i="7"/>
  <c r="DC59" i="7"/>
  <c r="BF59" i="7"/>
  <c r="R59" i="7"/>
  <c r="EN59" i="7"/>
  <c r="CA59" i="7"/>
  <c r="N59" i="7"/>
  <c r="EJ59" i="7"/>
  <c r="CM59" i="7"/>
  <c r="AP59" i="7"/>
  <c r="GK59" i="7"/>
  <c r="DX59" i="7"/>
  <c r="BK59" i="7"/>
  <c r="GG59" i="7"/>
  <c r="DT59" i="7"/>
  <c r="BW59" i="7"/>
  <c r="Z59" i="7"/>
  <c r="EV59" i="7"/>
  <c r="CG59" i="7"/>
  <c r="EO59" i="7"/>
  <c r="CB59" i="7"/>
  <c r="O59" i="7"/>
  <c r="EK59" i="7"/>
  <c r="BX59" i="7"/>
  <c r="AA59" i="7"/>
  <c r="FU59" i="7"/>
  <c r="DV59" i="7"/>
  <c r="BG59" i="7"/>
  <c r="GB59" i="7"/>
  <c r="AK59" i="7"/>
  <c r="S59" i="7"/>
  <c r="FZ59" i="7"/>
  <c r="FK59" i="7"/>
  <c r="FE59" i="7"/>
  <c r="CP59" i="7"/>
  <c r="AQ59" i="7"/>
  <c r="FL59" i="7"/>
  <c r="U59" i="7"/>
  <c r="GQ59" i="7"/>
  <c r="DN59" i="7"/>
  <c r="FJ59" i="7"/>
  <c r="DI59" i="7"/>
  <c r="FQ59" i="7"/>
  <c r="GT59" i="7"/>
  <c r="EF59" i="7"/>
  <c r="FG59" i="7"/>
  <c r="EE59" i="7"/>
  <c r="BB59" i="7"/>
  <c r="CC59" i="7"/>
  <c r="FA59" i="7"/>
  <c r="FN59" i="7"/>
  <c r="DP59" i="7"/>
  <c r="CU59" i="7"/>
  <c r="BS59" i="7"/>
  <c r="FX59" i="7"/>
  <c r="BM59" i="7"/>
  <c r="DE59" i="7"/>
  <c r="EX59" i="7"/>
  <c r="CZ59" i="7"/>
  <c r="AI59" i="7"/>
  <c r="GP59" i="7"/>
  <c r="DL59" i="7"/>
  <c r="AG59" i="7"/>
  <c r="BY59" i="7"/>
  <c r="EH59" i="7"/>
  <c r="BT59" i="7"/>
  <c r="EU59" i="7"/>
  <c r="ED59" i="7"/>
  <c r="AZ59" i="7"/>
  <c r="DH59" i="7"/>
  <c r="BI59" i="7"/>
  <c r="DR59" i="7"/>
  <c r="BD59" i="7"/>
  <c r="CI59" i="7"/>
  <c r="BR59" i="7"/>
  <c r="FH59" i="7"/>
  <c r="CR59" i="7"/>
  <c r="AS59" i="7"/>
  <c r="GS59" i="7"/>
  <c r="AN59" i="7"/>
  <c r="W59" i="7"/>
  <c r="GN59" i="7"/>
  <c r="DK59" i="7"/>
  <c r="AV59" i="7"/>
  <c r="AC59" i="7"/>
  <c r="GC59" i="7"/>
  <c r="X59" i="7"/>
  <c r="ET59" i="7"/>
  <c r="EB59" i="7"/>
  <c r="CY59" i="7"/>
  <c r="P59" i="7"/>
  <c r="DD59" i="7"/>
  <c r="FM59" i="7"/>
  <c r="GO59" i="7"/>
  <c r="CH59" i="7"/>
  <c r="BP59" i="7"/>
  <c r="CX59" i="7"/>
  <c r="GI59" i="7"/>
  <c r="CN59" i="7"/>
  <c r="EG59" i="7"/>
  <c r="FY59" i="7"/>
  <c r="V59" i="7"/>
  <c r="GM59" i="7"/>
  <c r="CV59" i="7"/>
  <c r="FC59" i="7"/>
  <c r="AR59" i="7"/>
  <c r="DA59" i="7"/>
  <c r="FI59" i="7"/>
  <c r="ER59" i="7"/>
  <c r="EA59" i="7"/>
  <c r="AY59" i="7"/>
  <c r="AU59" i="7"/>
  <c r="L59" i="7"/>
  <c r="CK59" i="7"/>
  <c r="DM59" i="7"/>
  <c r="CF59" i="7"/>
  <c r="BO59" i="7"/>
  <c r="AM59" i="7"/>
  <c r="FV59" i="7"/>
  <c r="AE59" i="7"/>
  <c r="GU59" i="7"/>
  <c r="BU59" i="7"/>
  <c r="CW59" i="7"/>
  <c r="T59" i="7"/>
  <c r="GA59" i="7"/>
  <c r="AL59" i="7"/>
  <c r="EP59" i="7"/>
  <c r="FR59" i="7"/>
  <c r="GE59" i="7"/>
  <c r="BE59" i="7"/>
  <c r="BQ59" i="7"/>
  <c r="EQ59" i="7"/>
  <c r="DO59" i="7"/>
  <c r="AJ59" i="7"/>
  <c r="DZ59" i="7"/>
  <c r="EL59" i="7"/>
  <c r="FO59" i="7"/>
  <c r="AO59" i="7"/>
  <c r="BA59" i="7"/>
  <c r="CE59" i="7"/>
  <c r="BC59" i="7"/>
  <c r="FW59" i="7"/>
  <c r="V23" i="7"/>
  <c r="DN23" i="7"/>
  <c r="Q23" i="7"/>
  <c r="DI23" i="7"/>
  <c r="L23" i="7"/>
  <c r="DD23" i="7"/>
  <c r="M23" i="7"/>
  <c r="DE23" i="7"/>
  <c r="N23" i="7"/>
  <c r="DF23" i="7"/>
  <c r="O23" i="7"/>
  <c r="DG23" i="7"/>
  <c r="AB23" i="7"/>
  <c r="AH23" i="7"/>
  <c r="DZ23" i="7"/>
  <c r="AC23" i="7"/>
  <c r="DU23" i="7"/>
  <c r="X23" i="7"/>
  <c r="DP23" i="7"/>
  <c r="Y23" i="7"/>
  <c r="DQ23" i="7"/>
  <c r="Z23" i="7"/>
  <c r="DR23" i="7"/>
  <c r="AN23" i="7"/>
  <c r="AT23" i="7"/>
  <c r="EL23" i="7"/>
  <c r="AO23" i="7"/>
  <c r="EG23" i="7"/>
  <c r="AJ23" i="7"/>
  <c r="EB23" i="7"/>
  <c r="AK23" i="7"/>
  <c r="EC23" i="7"/>
  <c r="AL23" i="7"/>
  <c r="ED23" i="7"/>
  <c r="AM23" i="7"/>
  <c r="EE23" i="7"/>
  <c r="AZ23" i="7"/>
  <c r="ER23" i="7"/>
  <c r="AU23" i="7"/>
  <c r="EM23" i="7"/>
  <c r="AP23" i="7"/>
  <c r="EH23" i="7"/>
  <c r="AQ23" i="7"/>
  <c r="EI23" i="7"/>
  <c r="AR23" i="7"/>
  <c r="EJ23" i="7"/>
  <c r="AS23" i="7"/>
  <c r="BF23" i="7"/>
  <c r="EX23" i="7"/>
  <c r="BA23" i="7"/>
  <c r="ES23" i="7"/>
  <c r="AV23" i="7"/>
  <c r="EN23" i="7"/>
  <c r="AW23" i="7"/>
  <c r="EO23" i="7"/>
  <c r="AX23" i="7"/>
  <c r="BL23" i="7"/>
  <c r="FD23" i="7"/>
  <c r="BG23" i="7"/>
  <c r="EY23" i="7"/>
  <c r="BB23" i="7"/>
  <c r="ET23" i="7"/>
  <c r="BC23" i="7"/>
  <c r="EU23" i="7"/>
  <c r="BD23" i="7"/>
  <c r="EV23" i="7"/>
  <c r="BE23" i="7"/>
  <c r="EW23" i="7"/>
  <c r="BR23" i="7"/>
  <c r="FJ23" i="7"/>
  <c r="BM23" i="7"/>
  <c r="BX23" i="7"/>
  <c r="FP23" i="7"/>
  <c r="BS23" i="7"/>
  <c r="FK23" i="7"/>
  <c r="BN23" i="7"/>
  <c r="CD23" i="7"/>
  <c r="FV23" i="7"/>
  <c r="BY23" i="7"/>
  <c r="FQ23" i="7"/>
  <c r="BT23" i="7"/>
  <c r="FL23" i="7"/>
  <c r="BU23" i="7"/>
  <c r="FM23" i="7"/>
  <c r="BV23" i="7"/>
  <c r="FN23" i="7"/>
  <c r="BW23" i="7"/>
  <c r="FO23" i="7"/>
  <c r="CJ23" i="7"/>
  <c r="GB23" i="7"/>
  <c r="CE23" i="7"/>
  <c r="FW23" i="7"/>
  <c r="BZ23" i="7"/>
  <c r="FR23" i="7"/>
  <c r="CA23" i="7"/>
  <c r="FS23" i="7"/>
  <c r="CB23" i="7"/>
  <c r="FT23" i="7"/>
  <c r="CC23" i="7"/>
  <c r="FU23" i="7"/>
  <c r="CP23" i="7"/>
  <c r="GH23" i="7"/>
  <c r="CK23" i="7"/>
  <c r="GC23" i="7"/>
  <c r="CF23" i="7"/>
  <c r="FX23" i="7"/>
  <c r="CG23" i="7"/>
  <c r="FY23" i="7"/>
  <c r="CH23" i="7"/>
  <c r="FZ23" i="7"/>
  <c r="CI23" i="7"/>
  <c r="CV23" i="7"/>
  <c r="GN23" i="7"/>
  <c r="CQ23" i="7"/>
  <c r="GI23" i="7"/>
  <c r="CL23" i="7"/>
  <c r="GD23" i="7"/>
  <c r="CM23" i="7"/>
  <c r="GE23" i="7"/>
  <c r="CN23" i="7"/>
  <c r="GF23" i="7"/>
  <c r="DB23" i="7"/>
  <c r="GT23" i="7"/>
  <c r="CW23" i="7"/>
  <c r="GO23" i="7"/>
  <c r="CR23" i="7"/>
  <c r="GJ23" i="7"/>
  <c r="CS23" i="7"/>
  <c r="GK23" i="7"/>
  <c r="CT23" i="7"/>
  <c r="GL23" i="7"/>
  <c r="CU23" i="7"/>
  <c r="GM23" i="7"/>
  <c r="P23" i="7"/>
  <c r="DH23" i="7"/>
  <c r="K23" i="7"/>
  <c r="DC23" i="7"/>
  <c r="GU23" i="7"/>
  <c r="CX23" i="7"/>
  <c r="GP23" i="7"/>
  <c r="CY23" i="7"/>
  <c r="GQ23" i="7"/>
  <c r="CZ23" i="7"/>
  <c r="GR23" i="7"/>
  <c r="DA23" i="7"/>
  <c r="GS23" i="7"/>
  <c r="AI23" i="7"/>
  <c r="DW23" i="7"/>
  <c r="BK23" i="7"/>
  <c r="DO23" i="7"/>
  <c r="FA23" i="7"/>
  <c r="BQ23" i="7"/>
  <c r="EA23" i="7"/>
  <c r="FG23" i="7"/>
  <c r="CO23" i="7"/>
  <c r="FE23" i="7"/>
  <c r="T23" i="7"/>
  <c r="DM23" i="7"/>
  <c r="R23" i="7"/>
  <c r="AF23" i="7"/>
  <c r="DS23" i="7"/>
  <c r="AD23" i="7"/>
  <c r="BJ23" i="7"/>
  <c r="DY23" i="7"/>
  <c r="BH23" i="7"/>
  <c r="BP23" i="7"/>
  <c r="EK23" i="7"/>
  <c r="DJ23" i="7"/>
  <c r="DL23" i="7"/>
  <c r="EQ23" i="7"/>
  <c r="DV23" i="7"/>
  <c r="DX23" i="7"/>
  <c r="FC23" i="7"/>
  <c r="EZ23" i="7"/>
  <c r="EP23" i="7"/>
  <c r="FI23" i="7"/>
  <c r="FF23" i="7"/>
  <c r="FB23" i="7"/>
  <c r="GA23" i="7"/>
  <c r="S23" i="7"/>
  <c r="FH23" i="7"/>
  <c r="GG23" i="7"/>
  <c r="AE23" i="7"/>
  <c r="U23" i="7"/>
  <c r="DT23" i="7"/>
  <c r="BI23" i="7"/>
  <c r="AA23" i="7"/>
  <c r="EF23" i="7"/>
  <c r="BO23" i="7"/>
  <c r="AG23" i="7"/>
  <c r="W23" i="7"/>
  <c r="DK23" i="7"/>
  <c r="AY23" i="7"/>
  <c r="J47" i="7"/>
  <c r="J11" i="7"/>
  <c r="K11" i="7"/>
  <c r="K47" i="7"/>
  <c r="M47" i="7"/>
  <c r="N47" i="7"/>
  <c r="O47" i="7"/>
  <c r="L47" i="7"/>
  <c r="L11" i="7"/>
  <c r="O11" i="7"/>
  <c r="N11" i="7"/>
  <c r="M11" i="7"/>
  <c r="CT49" i="7"/>
  <c r="AG49" i="7"/>
  <c r="CD49" i="7"/>
  <c r="Q49" i="7"/>
  <c r="EM49" i="7"/>
  <c r="BZ49" i="7"/>
  <c r="M49" i="7"/>
  <c r="EY49" i="7"/>
  <c r="DB49" i="7"/>
  <c r="BE49" i="7"/>
  <c r="GA49" i="7"/>
  <c r="AX49" i="7"/>
  <c r="FT49" i="7"/>
  <c r="DG49" i="7"/>
  <c r="AT49" i="7"/>
  <c r="FP49" i="7"/>
  <c r="DS49" i="7"/>
  <c r="AH49" i="7"/>
  <c r="FD49" i="7"/>
  <c r="CQ49" i="7"/>
  <c r="AD49" i="7"/>
  <c r="EZ49" i="7"/>
  <c r="DC49" i="7"/>
  <c r="BF49" i="7"/>
  <c r="GR49" i="7"/>
  <c r="R49" i="7"/>
  <c r="EN49" i="7"/>
  <c r="CA49" i="7"/>
  <c r="N49" i="7"/>
  <c r="EJ49" i="7"/>
  <c r="CM49" i="7"/>
  <c r="AP49" i="7"/>
  <c r="GB49" i="7"/>
  <c r="DO49" i="7"/>
  <c r="BA49" i="7"/>
  <c r="GK49" i="7"/>
  <c r="DX49" i="7"/>
  <c r="BK49" i="7"/>
  <c r="GG49" i="7"/>
  <c r="DT49" i="7"/>
  <c r="BW49" i="7"/>
  <c r="Z49" i="7"/>
  <c r="FL49" i="7"/>
  <c r="CY49" i="7"/>
  <c r="AK49" i="7"/>
  <c r="CE49" i="7"/>
  <c r="FU49" i="7"/>
  <c r="DH49" i="7"/>
  <c r="AU49" i="7"/>
  <c r="FQ49" i="7"/>
  <c r="DD49" i="7"/>
  <c r="BG49" i="7"/>
  <c r="J49" i="7"/>
  <c r="FE49" i="7"/>
  <c r="CR49" i="7"/>
  <c r="EO49" i="7"/>
  <c r="CB49" i="7"/>
  <c r="O49" i="7"/>
  <c r="EK49" i="7"/>
  <c r="BX49" i="7"/>
  <c r="AA49" i="7"/>
  <c r="GC49" i="7"/>
  <c r="DP49" i="7"/>
  <c r="BC49" i="7"/>
  <c r="FX49" i="7"/>
  <c r="GM49" i="7"/>
  <c r="EA49" i="7"/>
  <c r="GL49" i="7"/>
  <c r="DY49" i="7"/>
  <c r="BL49" i="7"/>
  <c r="GH49" i="7"/>
  <c r="DU49" i="7"/>
  <c r="BH49" i="7"/>
  <c r="K49" i="7"/>
  <c r="FM49" i="7"/>
  <c r="CZ49" i="7"/>
  <c r="FV49" i="7"/>
  <c r="DI49" i="7"/>
  <c r="AV49" i="7"/>
  <c r="FR49" i="7"/>
  <c r="DE49" i="7"/>
  <c r="AR49" i="7"/>
  <c r="GT49" i="7"/>
  <c r="EW49" i="7"/>
  <c r="CJ49" i="7"/>
  <c r="W49" i="7"/>
  <c r="EP49" i="7"/>
  <c r="DJ49" i="7"/>
  <c r="AW49" i="7"/>
  <c r="FS49" i="7"/>
  <c r="DF49" i="7"/>
  <c r="AS49" i="7"/>
  <c r="GE49" i="7"/>
  <c r="EH49" i="7"/>
  <c r="CK49" i="7"/>
  <c r="X49" i="7"/>
  <c r="ES49" i="7"/>
  <c r="CF49" i="7"/>
  <c r="FJ49" i="7"/>
  <c r="AF49" i="7"/>
  <c r="GF49" i="7"/>
  <c r="DQ49" i="7"/>
  <c r="AM49" i="7"/>
  <c r="BP49" i="7"/>
  <c r="ET49" i="7"/>
  <c r="P49" i="7"/>
  <c r="CN49" i="7"/>
  <c r="DA49" i="7"/>
  <c r="GO49" i="7"/>
  <c r="AZ49" i="7"/>
  <c r="V49" i="7"/>
  <c r="GI49" i="7"/>
  <c r="AB49" i="7"/>
  <c r="BU49" i="7"/>
  <c r="FY49" i="7"/>
  <c r="AJ49" i="7"/>
  <c r="EQ49" i="7"/>
  <c r="FC49" i="7"/>
  <c r="L49" i="7"/>
  <c r="AO49" i="7"/>
  <c r="FI49" i="7"/>
  <c r="T49" i="7"/>
  <c r="S49" i="7"/>
  <c r="DW49" i="7"/>
  <c r="GU49" i="7"/>
  <c r="Y49" i="7"/>
  <c r="EC49" i="7"/>
  <c r="CU49" i="7"/>
  <c r="ED49" i="7"/>
  <c r="AE49" i="7"/>
  <c r="FO49" i="7"/>
  <c r="EV49" i="7"/>
  <c r="DM49" i="7"/>
  <c r="CH49" i="7"/>
  <c r="CX49" i="7"/>
  <c r="FB49" i="7"/>
  <c r="EI49" i="7"/>
  <c r="EF49" i="7"/>
  <c r="CW49" i="7"/>
  <c r="GP49" i="7"/>
  <c r="DN49" i="7"/>
  <c r="EL49" i="7"/>
  <c r="AQ49" i="7"/>
  <c r="BT49" i="7"/>
  <c r="CG49" i="7"/>
  <c r="BR49" i="7"/>
  <c r="DK49" i="7"/>
  <c r="DV49" i="7"/>
  <c r="GD49" i="7"/>
  <c r="BD49" i="7"/>
  <c r="BQ49" i="7"/>
  <c r="BO49" i="7"/>
  <c r="FF49" i="7"/>
  <c r="CP49" i="7"/>
  <c r="FN49" i="7"/>
  <c r="AN49" i="7"/>
  <c r="U49" i="7"/>
  <c r="FZ49" i="7"/>
  <c r="DZ49" i="7"/>
  <c r="BJ49" i="7"/>
  <c r="EX49" i="7"/>
  <c r="GQ49" i="7"/>
  <c r="GN49" i="7"/>
  <c r="BB49" i="7"/>
  <c r="BN49" i="7"/>
  <c r="FA49" i="7"/>
  <c r="DR49" i="7"/>
  <c r="FK49" i="7"/>
  <c r="FH49" i="7"/>
  <c r="FW49" i="7"/>
  <c r="CS49" i="7"/>
  <c r="CO49" i="7"/>
  <c r="CL49" i="7"/>
  <c r="EU49" i="7"/>
  <c r="ER49" i="7"/>
  <c r="AY49" i="7"/>
  <c r="CC49" i="7"/>
  <c r="BY49" i="7"/>
  <c r="BV49" i="7"/>
  <c r="EE49" i="7"/>
  <c r="EB49" i="7"/>
  <c r="AL49" i="7"/>
  <c r="BM49" i="7"/>
  <c r="BI49" i="7"/>
  <c r="GS49" i="7"/>
  <c r="CI49" i="7"/>
  <c r="DL49" i="7"/>
  <c r="FG49" i="7"/>
  <c r="GJ49" i="7"/>
  <c r="AC49" i="7"/>
  <c r="EG49" i="7"/>
  <c r="BS49" i="7"/>
  <c r="CV49" i="7"/>
  <c r="AI49" i="7"/>
  <c r="BD14" i="7"/>
  <c r="EV14" i="7"/>
  <c r="BE14" i="7"/>
  <c r="EW14" i="7"/>
  <c r="AZ14" i="7"/>
  <c r="ER14" i="7"/>
  <c r="X14" i="7"/>
  <c r="DP14" i="7"/>
  <c r="BO14" i="7"/>
  <c r="FW14" i="7"/>
  <c r="CQ14" i="7"/>
  <c r="GI14" i="7"/>
  <c r="BJ14" i="7"/>
  <c r="FB14" i="7"/>
  <c r="BK14" i="7"/>
  <c r="FC14" i="7"/>
  <c r="BF14" i="7"/>
  <c r="EX14" i="7"/>
  <c r="AD14" i="7"/>
  <c r="DV14" i="7"/>
  <c r="CG14" i="7"/>
  <c r="GO14" i="7"/>
  <c r="DI14" i="7"/>
  <c r="CA14" i="7"/>
  <c r="BP14" i="7"/>
  <c r="FH14" i="7"/>
  <c r="BQ14" i="7"/>
  <c r="FI14" i="7"/>
  <c r="BL14" i="7"/>
  <c r="FD14" i="7"/>
  <c r="AJ14" i="7"/>
  <c r="EB14" i="7"/>
  <c r="CY14" i="7"/>
  <c r="AK14" i="7"/>
  <c r="EA14" i="7"/>
  <c r="GE14" i="7"/>
  <c r="BV14" i="7"/>
  <c r="FN14" i="7"/>
  <c r="BW14" i="7"/>
  <c r="FO14" i="7"/>
  <c r="BR14" i="7"/>
  <c r="FJ14" i="7"/>
  <c r="AP14" i="7"/>
  <c r="EH14" i="7"/>
  <c r="DQ14" i="7"/>
  <c r="BC14" i="7"/>
  <c r="ES14" i="7"/>
  <c r="CS14" i="7"/>
  <c r="CB14" i="7"/>
  <c r="FT14" i="7"/>
  <c r="CC14" i="7"/>
  <c r="FU14" i="7"/>
  <c r="BX14" i="7"/>
  <c r="FP14" i="7"/>
  <c r="AV14" i="7"/>
  <c r="EN14" i="7"/>
  <c r="EI14" i="7"/>
  <c r="BU14" i="7"/>
  <c r="FK14" i="7"/>
  <c r="DK14" i="7"/>
  <c r="CH14" i="7"/>
  <c r="FZ14" i="7"/>
  <c r="CI14" i="7"/>
  <c r="GA14" i="7"/>
  <c r="CD14" i="7"/>
  <c r="FV14" i="7"/>
  <c r="BB14" i="7"/>
  <c r="ET14" i="7"/>
  <c r="FA14" i="7"/>
  <c r="CM14" i="7"/>
  <c r="GC14" i="7"/>
  <c r="S14" i="7"/>
  <c r="CN14" i="7"/>
  <c r="GF14" i="7"/>
  <c r="CO14" i="7"/>
  <c r="GG14" i="7"/>
  <c r="CJ14" i="7"/>
  <c r="GB14" i="7"/>
  <c r="BH14" i="7"/>
  <c r="EZ14" i="7"/>
  <c r="FS14" i="7"/>
  <c r="DE14" i="7"/>
  <c r="GU14" i="7"/>
  <c r="EC14" i="7"/>
  <c r="CT14" i="7"/>
  <c r="GL14" i="7"/>
  <c r="CU14" i="7"/>
  <c r="GM14" i="7"/>
  <c r="CP14" i="7"/>
  <c r="GH14" i="7"/>
  <c r="BN14" i="7"/>
  <c r="FF14" i="7"/>
  <c r="GK14" i="7"/>
  <c r="DW14" i="7"/>
  <c r="Y14" i="7"/>
  <c r="AQ14" i="7"/>
  <c r="CZ14" i="7"/>
  <c r="GR14" i="7"/>
  <c r="DA14" i="7"/>
  <c r="GS14" i="7"/>
  <c r="CV14" i="7"/>
  <c r="GN14" i="7"/>
  <c r="BT14" i="7"/>
  <c r="FL14" i="7"/>
  <c r="AI14" i="7"/>
  <c r="EO14" i="7"/>
  <c r="AU14" i="7"/>
  <c r="EU14" i="7"/>
  <c r="N14" i="7"/>
  <c r="DF14" i="7"/>
  <c r="O14" i="7"/>
  <c r="DG14" i="7"/>
  <c r="J14" i="7"/>
  <c r="DB14" i="7"/>
  <c r="GT14" i="7"/>
  <c r="BZ14" i="7"/>
  <c r="FR14" i="7"/>
  <c r="BA14" i="7"/>
  <c r="FG14" i="7"/>
  <c r="BM14" i="7"/>
  <c r="BI14" i="7"/>
  <c r="T14" i="7"/>
  <c r="DL14" i="7"/>
  <c r="U14" i="7"/>
  <c r="DM14" i="7"/>
  <c r="P14" i="7"/>
  <c r="DH14" i="7"/>
  <c r="K14" i="7"/>
  <c r="CF14" i="7"/>
  <c r="FX14" i="7"/>
  <c r="BS14" i="7"/>
  <c r="FY14" i="7"/>
  <c r="CE14" i="7"/>
  <c r="FM14" i="7"/>
  <c r="Z14" i="7"/>
  <c r="DR14" i="7"/>
  <c r="AA14" i="7"/>
  <c r="DS14" i="7"/>
  <c r="V14" i="7"/>
  <c r="DN14" i="7"/>
  <c r="Q14" i="7"/>
  <c r="CL14" i="7"/>
  <c r="GD14" i="7"/>
  <c r="CK14" i="7"/>
  <c r="GQ14" i="7"/>
  <c r="CW14" i="7"/>
  <c r="AF14" i="7"/>
  <c r="DX14" i="7"/>
  <c r="AG14" i="7"/>
  <c r="DY14" i="7"/>
  <c r="AB14" i="7"/>
  <c r="DT14" i="7"/>
  <c r="W14" i="7"/>
  <c r="CR14" i="7"/>
  <c r="GJ14" i="7"/>
  <c r="DC14" i="7"/>
  <c r="M14" i="7"/>
  <c r="DO14" i="7"/>
  <c r="AL14" i="7"/>
  <c r="ED14" i="7"/>
  <c r="AM14" i="7"/>
  <c r="EE14" i="7"/>
  <c r="AH14" i="7"/>
  <c r="DZ14" i="7"/>
  <c r="AC14" i="7"/>
  <c r="CX14" i="7"/>
  <c r="GP14" i="7"/>
  <c r="DU14" i="7"/>
  <c r="AO14" i="7"/>
  <c r="EG14" i="7"/>
  <c r="AR14" i="7"/>
  <c r="EJ14" i="7"/>
  <c r="AS14" i="7"/>
  <c r="EK14" i="7"/>
  <c r="AN14" i="7"/>
  <c r="EF14" i="7"/>
  <c r="L14" i="7"/>
  <c r="DD14" i="7"/>
  <c r="AE14" i="7"/>
  <c r="EM14" i="7"/>
  <c r="BG14" i="7"/>
  <c r="EY14" i="7"/>
  <c r="AX14" i="7"/>
  <c r="EP14" i="7"/>
  <c r="AY14" i="7"/>
  <c r="EQ14" i="7"/>
  <c r="AT14" i="7"/>
  <c r="EL14" i="7"/>
  <c r="R14" i="7"/>
  <c r="DJ14" i="7"/>
  <c r="AW14" i="7"/>
  <c r="FE14" i="7"/>
  <c r="BY14" i="7"/>
  <c r="FQ14" i="7"/>
  <c r="BN48" i="7"/>
  <c r="BL48" i="7"/>
  <c r="GH48" i="7"/>
  <c r="BY48" i="7"/>
  <c r="EY48" i="7"/>
  <c r="EW48" i="7"/>
  <c r="CZ48" i="7"/>
  <c r="BC48" i="7"/>
  <c r="FX48" i="7"/>
  <c r="AT48" i="7"/>
  <c r="AI48" i="7"/>
  <c r="ED48" i="7"/>
  <c r="AX48" i="7"/>
  <c r="AV48" i="7"/>
  <c r="FR48" i="7"/>
  <c r="BI48" i="7"/>
  <c r="EI48" i="7"/>
  <c r="EG48" i="7"/>
  <c r="CJ48" i="7"/>
  <c r="AM48" i="7"/>
  <c r="FH48" i="7"/>
  <c r="L48" i="7"/>
  <c r="FG48" i="7"/>
  <c r="BO48" i="7"/>
  <c r="AH48" i="7"/>
  <c r="AF48" i="7"/>
  <c r="FB48" i="7"/>
  <c r="GF48" i="7"/>
  <c r="DS48" i="7"/>
  <c r="DQ48" i="7"/>
  <c r="BT48" i="7"/>
  <c r="W48" i="7"/>
  <c r="ER48" i="7"/>
  <c r="GM48" i="7"/>
  <c r="CH48" i="7"/>
  <c r="U48" i="7"/>
  <c r="GK48" i="7"/>
  <c r="P48" i="7"/>
  <c r="EL48" i="7"/>
  <c r="FP48" i="7"/>
  <c r="DC48" i="7"/>
  <c r="DA48" i="7"/>
  <c r="BD48" i="7"/>
  <c r="EB48" i="7"/>
  <c r="CX48" i="7"/>
  <c r="AG48" i="7"/>
  <c r="DK48" i="7"/>
  <c r="FU48" i="7"/>
  <c r="GI48" i="7"/>
  <c r="DV48" i="7"/>
  <c r="EZ48" i="7"/>
  <c r="CM48" i="7"/>
  <c r="CK48" i="7"/>
  <c r="AN48" i="7"/>
  <c r="GO48" i="7"/>
  <c r="DL48" i="7"/>
  <c r="AS48" i="7"/>
  <c r="EX48" i="7"/>
  <c r="AY48" i="7"/>
  <c r="FE48" i="7"/>
  <c r="FS48" i="7"/>
  <c r="DF48" i="7"/>
  <c r="EJ48" i="7"/>
  <c r="BW48" i="7"/>
  <c r="BU48" i="7"/>
  <c r="X48" i="7"/>
  <c r="FY48" i="7"/>
  <c r="CV48" i="7"/>
  <c r="J48" i="7"/>
  <c r="CE48" i="7"/>
  <c r="N48" i="7"/>
  <c r="EO48" i="7"/>
  <c r="FC48" i="7"/>
  <c r="CP48" i="7"/>
  <c r="DT48" i="7"/>
  <c r="BG48" i="7"/>
  <c r="BE48" i="7"/>
  <c r="FI48" i="7"/>
  <c r="CF48" i="7"/>
  <c r="FZ48" i="7"/>
  <c r="AD48" i="7"/>
  <c r="BF48" i="7"/>
  <c r="DY48" i="7"/>
  <c r="EM48" i="7"/>
  <c r="BZ48" i="7"/>
  <c r="DD48" i="7"/>
  <c r="AQ48" i="7"/>
  <c r="AO48" i="7"/>
  <c r="GQ48" i="7"/>
  <c r="ES48" i="7"/>
  <c r="BP48" i="7"/>
  <c r="CU48" i="7"/>
  <c r="ET48" i="7"/>
  <c r="BB48" i="7"/>
  <c r="GL48" i="7"/>
  <c r="GJ48" i="7"/>
  <c r="DW48" i="7"/>
  <c r="BJ48" i="7"/>
  <c r="CN48" i="7"/>
  <c r="AA48" i="7"/>
  <c r="Y48" i="7"/>
  <c r="GA48" i="7"/>
  <c r="EC48" i="7"/>
  <c r="AZ48" i="7"/>
  <c r="AP48" i="7"/>
  <c r="CC48" i="7"/>
  <c r="S48" i="7"/>
  <c r="FV48" i="7"/>
  <c r="FT48" i="7"/>
  <c r="DG48" i="7"/>
  <c r="GG48" i="7"/>
  <c r="BX48" i="7"/>
  <c r="K48" i="7"/>
  <c r="FK48" i="7"/>
  <c r="DM48" i="7"/>
  <c r="AJ48" i="7"/>
  <c r="AC48" i="7"/>
  <c r="R48" i="7"/>
  <c r="FF48" i="7"/>
  <c r="FD48" i="7"/>
  <c r="CQ48" i="7"/>
  <c r="FQ48" i="7"/>
  <c r="BH48" i="7"/>
  <c r="GT48" i="7"/>
  <c r="GR48" i="7"/>
  <c r="EU48" i="7"/>
  <c r="CW48" i="7"/>
  <c r="T48" i="7"/>
  <c r="FW48" i="7"/>
  <c r="EQ48" i="7"/>
  <c r="Q48" i="7"/>
  <c r="EP48" i="7"/>
  <c r="EN48" i="7"/>
  <c r="CA48" i="7"/>
  <c r="FA48" i="7"/>
  <c r="AR48" i="7"/>
  <c r="GD48" i="7"/>
  <c r="GB48" i="7"/>
  <c r="EE48" i="7"/>
  <c r="CG48" i="7"/>
  <c r="DI48" i="7"/>
  <c r="CS48" i="7"/>
  <c r="BV48" i="7"/>
  <c r="EA48" i="7"/>
  <c r="DZ48" i="7"/>
  <c r="DX48" i="7"/>
  <c r="BK48" i="7"/>
  <c r="EK48" i="7"/>
  <c r="AB48" i="7"/>
  <c r="FN48" i="7"/>
  <c r="FL48" i="7"/>
  <c r="DO48" i="7"/>
  <c r="BQ48" i="7"/>
  <c r="AW48" i="7"/>
  <c r="AL48" i="7"/>
  <c r="Z48" i="7"/>
  <c r="DR48" i="7"/>
  <c r="DJ48" i="7"/>
  <c r="DH48" i="7"/>
  <c r="AU48" i="7"/>
  <c r="DU48" i="7"/>
  <c r="GU48" i="7"/>
  <c r="GS48" i="7"/>
  <c r="EV48" i="7"/>
  <c r="CY48" i="7"/>
  <c r="BA48" i="7"/>
  <c r="M48" i="7"/>
  <c r="EH48" i="7"/>
  <c r="BM48" i="7"/>
  <c r="CD48" i="7"/>
  <c r="CB48" i="7"/>
  <c r="O48" i="7"/>
  <c r="CO48" i="7"/>
  <c r="FO48" i="7"/>
  <c r="FM48" i="7"/>
  <c r="DP48" i="7"/>
  <c r="BS48" i="7"/>
  <c r="GN48" i="7"/>
  <c r="DB48" i="7"/>
  <c r="CL48" i="7"/>
  <c r="V48" i="7"/>
  <c r="CI48" i="7"/>
  <c r="AK48" i="7"/>
  <c r="GP48" i="7"/>
  <c r="FJ48" i="7"/>
  <c r="CT48" i="7"/>
  <c r="BR48" i="7"/>
  <c r="CR48" i="7"/>
  <c r="DN48" i="7"/>
  <c r="AE48" i="7"/>
  <c r="DE48" i="7"/>
  <c r="GE48" i="7"/>
  <c r="GC48" i="7"/>
  <c r="EF48" i="7"/>
  <c r="O12" i="7"/>
  <c r="DK12" i="7"/>
  <c r="GN12" i="7"/>
  <c r="CX12" i="7"/>
  <c r="GA12" i="7"/>
  <c r="CK12" i="7"/>
  <c r="EX12" i="7"/>
  <c r="AB12" i="7"/>
  <c r="DE12" i="7"/>
  <c r="GH12" i="7"/>
  <c r="CR12" i="7"/>
  <c r="FU12" i="7"/>
  <c r="U12" i="7"/>
  <c r="EA12" i="7"/>
  <c r="AK12" i="7"/>
  <c r="DN12" i="7"/>
  <c r="GQ12" i="7"/>
  <c r="DA12" i="7"/>
  <c r="FN12" i="7"/>
  <c r="AR12" i="7"/>
  <c r="DU12" i="7"/>
  <c r="AE12" i="7"/>
  <c r="DH12" i="7"/>
  <c r="GK12" i="7"/>
  <c r="J12" i="7"/>
  <c r="EQ12" i="7"/>
  <c r="BA12" i="7"/>
  <c r="ED12" i="7"/>
  <c r="AN12" i="7"/>
  <c r="DQ12" i="7"/>
  <c r="GD12" i="7"/>
  <c r="BH12" i="7"/>
  <c r="EK12" i="7"/>
  <c r="AU12" i="7"/>
  <c r="DX12" i="7"/>
  <c r="AH12" i="7"/>
  <c r="P12" i="7"/>
  <c r="FG12" i="7"/>
  <c r="BQ12" i="7"/>
  <c r="ET12" i="7"/>
  <c r="BD12" i="7"/>
  <c r="EG12" i="7"/>
  <c r="GT12" i="7"/>
  <c r="BX12" i="7"/>
  <c r="FA12" i="7"/>
  <c r="BK12" i="7"/>
  <c r="EN12" i="7"/>
  <c r="AX12" i="7"/>
  <c r="V12" i="7"/>
  <c r="FW12" i="7"/>
  <c r="CG12" i="7"/>
  <c r="FJ12" i="7"/>
  <c r="BT12" i="7"/>
  <c r="EW12" i="7"/>
  <c r="AA12" i="7"/>
  <c r="CN12" i="7"/>
  <c r="FQ12" i="7"/>
  <c r="CA12" i="7"/>
  <c r="FD12" i="7"/>
  <c r="BN12" i="7"/>
  <c r="GM12" i="7"/>
  <c r="CW12" i="7"/>
  <c r="FZ12" i="7"/>
  <c r="CJ12" i="7"/>
  <c r="FM12" i="7"/>
  <c r="AQ12" i="7"/>
  <c r="DD12" i="7"/>
  <c r="GG12" i="7"/>
  <c r="CQ12" i="7"/>
  <c r="FT12" i="7"/>
  <c r="CD12" i="7"/>
  <c r="K12" i="7"/>
  <c r="AJ12" i="7"/>
  <c r="DM12" i="7"/>
  <c r="GP12" i="7"/>
  <c r="CZ12" i="7"/>
  <c r="GC12" i="7"/>
  <c r="BG12" i="7"/>
  <c r="DT12" i="7"/>
  <c r="AD12" i="7"/>
  <c r="DG12" i="7"/>
  <c r="GJ12" i="7"/>
  <c r="CT12" i="7"/>
  <c r="Q12" i="7"/>
  <c r="AZ12" i="7"/>
  <c r="EC12" i="7"/>
  <c r="AM12" i="7"/>
  <c r="DP12" i="7"/>
  <c r="GS12" i="7"/>
  <c r="BW12" i="7"/>
  <c r="EJ12" i="7"/>
  <c r="AT12" i="7"/>
  <c r="DW12" i="7"/>
  <c r="AG12" i="7"/>
  <c r="DJ12" i="7"/>
  <c r="W12" i="7"/>
  <c r="BP12" i="7"/>
  <c r="ES12" i="7"/>
  <c r="BC12" i="7"/>
  <c r="EF12" i="7"/>
  <c r="Z12" i="7"/>
  <c r="CM12" i="7"/>
  <c r="EZ12" i="7"/>
  <c r="BJ12" i="7"/>
  <c r="EM12" i="7"/>
  <c r="AW12" i="7"/>
  <c r="DZ12" i="7"/>
  <c r="M12" i="7"/>
  <c r="CF12" i="7"/>
  <c r="FI12" i="7"/>
  <c r="BS12" i="7"/>
  <c r="EV12" i="7"/>
  <c r="AP12" i="7"/>
  <c r="DC12" i="7"/>
  <c r="FP12" i="7"/>
  <c r="BZ12" i="7"/>
  <c r="FC12" i="7"/>
  <c r="BM12" i="7"/>
  <c r="EP12" i="7"/>
  <c r="S12" i="7"/>
  <c r="L12" i="7"/>
  <c r="CV12" i="7"/>
  <c r="FY12" i="7"/>
  <c r="CI12" i="7"/>
  <c r="FL12" i="7"/>
  <c r="BF12" i="7"/>
  <c r="DS12" i="7"/>
  <c r="GF12" i="7"/>
  <c r="CP12" i="7"/>
  <c r="FS12" i="7"/>
  <c r="CC12" i="7"/>
  <c r="FF12" i="7"/>
  <c r="Y12" i="7"/>
  <c r="R12" i="7"/>
  <c r="AI12" i="7"/>
  <c r="DL12" i="7"/>
  <c r="GO12" i="7"/>
  <c r="CY12" i="7"/>
  <c r="GB12" i="7"/>
  <c r="BV12" i="7"/>
  <c r="EI12" i="7"/>
  <c r="AC12" i="7"/>
  <c r="DF12" i="7"/>
  <c r="GI12" i="7"/>
  <c r="CS12" i="7"/>
  <c r="FV12" i="7"/>
  <c r="X12" i="7"/>
  <c r="AY12" i="7"/>
  <c r="EB12" i="7"/>
  <c r="AL12" i="7"/>
  <c r="DO12" i="7"/>
  <c r="GR12" i="7"/>
  <c r="CL12" i="7"/>
  <c r="EY12" i="7"/>
  <c r="AS12" i="7"/>
  <c r="DV12" i="7"/>
  <c r="AF12" i="7"/>
  <c r="DI12" i="7"/>
  <c r="GL12" i="7"/>
  <c r="N12" i="7"/>
  <c r="BO12" i="7"/>
  <c r="ER12" i="7"/>
  <c r="BB12" i="7"/>
  <c r="EE12" i="7"/>
  <c r="AO12" i="7"/>
  <c r="DB12" i="7"/>
  <c r="FO12" i="7"/>
  <c r="BI12" i="7"/>
  <c r="EL12" i="7"/>
  <c r="AV12" i="7"/>
  <c r="DY12" i="7"/>
  <c r="T12" i="7"/>
  <c r="CE12" i="7"/>
  <c r="FH12" i="7"/>
  <c r="BR12" i="7"/>
  <c r="EU12" i="7"/>
  <c r="BE12" i="7"/>
  <c r="DR12" i="7"/>
  <c r="GE12" i="7"/>
  <c r="BY12" i="7"/>
  <c r="FB12" i="7"/>
  <c r="BL12" i="7"/>
  <c r="EO12" i="7"/>
  <c r="CU12" i="7"/>
  <c r="FX12" i="7"/>
  <c r="CH12" i="7"/>
  <c r="FK12" i="7"/>
  <c r="BU12" i="7"/>
  <c r="EH12" i="7"/>
  <c r="GU12" i="7"/>
  <c r="CO12" i="7"/>
  <c r="FR12" i="7"/>
  <c r="CB12" i="7"/>
  <c r="FE12" i="7"/>
  <c r="EI68" i="7"/>
  <c r="BF68" i="7"/>
  <c r="GB68" i="7"/>
  <c r="EJ68" i="7"/>
  <c r="BW68" i="7"/>
  <c r="GC68" i="7"/>
  <c r="DP68" i="7"/>
  <c r="BC68" i="7"/>
  <c r="GN68" i="7"/>
  <c r="CN68" i="7"/>
  <c r="GT68" i="7"/>
  <c r="BX68" i="7"/>
  <c r="GD68" i="7"/>
  <c r="DQ68" i="7"/>
  <c r="BD68" i="7"/>
  <c r="FZ68" i="7"/>
  <c r="EB68" i="7"/>
  <c r="BH68" i="7"/>
  <c r="FN68" i="7"/>
  <c r="DA68" i="7"/>
  <c r="AN68" i="7"/>
  <c r="FJ68" i="7"/>
  <c r="DL68" i="7"/>
  <c r="AR68" i="7"/>
  <c r="EX68" i="7"/>
  <c r="CK68" i="7"/>
  <c r="X68" i="7"/>
  <c r="ET68" i="7"/>
  <c r="CV68" i="7"/>
  <c r="AB68" i="7"/>
  <c r="EH68" i="7"/>
  <c r="BU68" i="7"/>
  <c r="GQ68" i="7"/>
  <c r="ED68" i="7"/>
  <c r="CF68" i="7"/>
  <c r="GE68" i="7"/>
  <c r="DB68" i="7"/>
  <c r="AO68" i="7"/>
  <c r="FO68" i="7"/>
  <c r="BE68" i="7"/>
  <c r="BS68" i="7"/>
  <c r="AZ68" i="7"/>
  <c r="FU68" i="7"/>
  <c r="DH68" i="7"/>
  <c r="AS68" i="7"/>
  <c r="DV68" i="7"/>
  <c r="AK68" i="7"/>
  <c r="CE68" i="7"/>
  <c r="EY68" i="7"/>
  <c r="Y68" i="7"/>
  <c r="AM68" i="7"/>
  <c r="AJ68" i="7"/>
  <c r="FE68" i="7"/>
  <c r="CR68" i="7"/>
  <c r="AC68" i="7"/>
  <c r="BJ68" i="7"/>
  <c r="FG68" i="7"/>
  <c r="CA68" i="7"/>
  <c r="DS68" i="7"/>
  <c r="GR68" i="7"/>
  <c r="W68" i="7"/>
  <c r="T68" i="7"/>
  <c r="EO68" i="7"/>
  <c r="CB68" i="7"/>
  <c r="FY68" i="7"/>
  <c r="CU68" i="7"/>
  <c r="AE68" i="7"/>
  <c r="DC68" i="7"/>
  <c r="FL68" i="7"/>
  <c r="GP68" i="7"/>
  <c r="GL68" i="7"/>
  <c r="DY68" i="7"/>
  <c r="BL68" i="7"/>
  <c r="EL68" i="7"/>
  <c r="DM68" i="7"/>
  <c r="AI68" i="7"/>
  <c r="CM68" i="7"/>
  <c r="EV68" i="7"/>
  <c r="DN68" i="7"/>
  <c r="FV68" i="7"/>
  <c r="DI68" i="7"/>
  <c r="AV68" i="7"/>
  <c r="BZ68" i="7"/>
  <c r="BA68" i="7"/>
  <c r="ES68" i="7"/>
  <c r="BG68" i="7"/>
  <c r="EF68" i="7"/>
  <c r="CX68" i="7"/>
  <c r="FF68" i="7"/>
  <c r="CS68" i="7"/>
  <c r="AF68" i="7"/>
  <c r="O68" i="7"/>
  <c r="FW68" i="7"/>
  <c r="CG68" i="7"/>
  <c r="AQ68" i="7"/>
  <c r="CZ68" i="7"/>
  <c r="CH68" i="7"/>
  <c r="EP68" i="7"/>
  <c r="CC68" i="7"/>
  <c r="P68" i="7"/>
  <c r="EC68" i="7"/>
  <c r="DK68" i="7"/>
  <c r="AA68" i="7"/>
  <c r="DR68" i="7"/>
  <c r="CJ68" i="7"/>
  <c r="BR68" i="7"/>
  <c r="DZ68" i="7"/>
  <c r="BM68" i="7"/>
  <c r="GG68" i="7"/>
  <c r="BQ68" i="7"/>
  <c r="AY68" i="7"/>
  <c r="AD68" i="7"/>
  <c r="CL68" i="7"/>
  <c r="BT68" i="7"/>
  <c r="BB68" i="7"/>
  <c r="DJ68" i="7"/>
  <c r="AW68" i="7"/>
  <c r="FQ68" i="7"/>
  <c r="FS68" i="7"/>
  <c r="U68" i="7"/>
  <c r="BV68" i="7"/>
  <c r="GA68" i="7"/>
  <c r="AL68" i="7"/>
  <c r="CT68" i="7"/>
  <c r="AG68" i="7"/>
  <c r="FA68" i="7"/>
  <c r="GM68" i="7"/>
  <c r="DG68" i="7"/>
  <c r="S68" i="7"/>
  <c r="GF68" i="7"/>
  <c r="AP68" i="7"/>
  <c r="FK68" i="7"/>
  <c r="V68" i="7"/>
  <c r="CD68" i="7"/>
  <c r="Q68" i="7"/>
  <c r="EK68" i="7"/>
  <c r="EA68" i="7"/>
  <c r="AU68" i="7"/>
  <c r="FC68" i="7"/>
  <c r="FP68" i="7"/>
  <c r="Z68" i="7"/>
  <c r="EU68" i="7"/>
  <c r="GO68" i="7"/>
  <c r="BN68" i="7"/>
  <c r="GJ68" i="7"/>
  <c r="DU68" i="7"/>
  <c r="BO68" i="7"/>
  <c r="FR68" i="7"/>
  <c r="FB68" i="7"/>
  <c r="EZ68" i="7"/>
  <c r="GS68" i="7"/>
  <c r="EE68" i="7"/>
  <c r="FX68" i="7"/>
  <c r="AX68" i="7"/>
  <c r="FT68" i="7"/>
  <c r="DE68" i="7"/>
  <c r="GI68" i="7"/>
  <c r="DF68" i="7"/>
  <c r="EQ68" i="7"/>
  <c r="DT68" i="7"/>
  <c r="FM68" i="7"/>
  <c r="DO68" i="7"/>
  <c r="FH68" i="7"/>
  <c r="AH68" i="7"/>
  <c r="FD68" i="7"/>
  <c r="CO68" i="7"/>
  <c r="DW68" i="7"/>
  <c r="AT68" i="7"/>
  <c r="EM68" i="7"/>
  <c r="DD68" i="7"/>
  <c r="EW68" i="7"/>
  <c r="CY68" i="7"/>
  <c r="ER68" i="7"/>
  <c r="R68" i="7"/>
  <c r="EN68" i="7"/>
  <c r="BY68" i="7"/>
  <c r="BK68" i="7"/>
  <c r="FI68" i="7"/>
  <c r="CQ68" i="7"/>
  <c r="GH68" i="7"/>
  <c r="CW68" i="7"/>
  <c r="CP68" i="7"/>
  <c r="GU68" i="7"/>
  <c r="EG68" i="7"/>
  <c r="CI68" i="7"/>
  <c r="BP68" i="7"/>
  <c r="GK68" i="7"/>
  <c r="BI68" i="7"/>
  <c r="DX68" i="7"/>
  <c r="BH32" i="7"/>
  <c r="EZ32" i="7"/>
  <c r="BI32" i="7"/>
  <c r="FA32" i="7"/>
  <c r="BJ32" i="7"/>
  <c r="BT32" i="7"/>
  <c r="CF32" i="7"/>
  <c r="FX32" i="7"/>
  <c r="CG32" i="7"/>
  <c r="CL32" i="7"/>
  <c r="GD32" i="7"/>
  <c r="CM32" i="7"/>
  <c r="GE32" i="7"/>
  <c r="CN32" i="7"/>
  <c r="GF32" i="7"/>
  <c r="CO32" i="7"/>
  <c r="GG32" i="7"/>
  <c r="CR32" i="7"/>
  <c r="GJ32" i="7"/>
  <c r="CS32" i="7"/>
  <c r="GK32" i="7"/>
  <c r="CT32" i="7"/>
  <c r="GL32" i="7"/>
  <c r="CU32" i="7"/>
  <c r="GM32" i="7"/>
  <c r="CW32" i="7"/>
  <c r="GO32" i="7"/>
  <c r="CX32" i="7"/>
  <c r="GP32" i="7"/>
  <c r="CY32" i="7"/>
  <c r="GQ32" i="7"/>
  <c r="CZ32" i="7"/>
  <c r="GR32" i="7"/>
  <c r="DA32" i="7"/>
  <c r="R32" i="7"/>
  <c r="DJ32" i="7"/>
  <c r="S32" i="7"/>
  <c r="DK32" i="7"/>
  <c r="T32" i="7"/>
  <c r="DL32" i="7"/>
  <c r="U32" i="7"/>
  <c r="DM32" i="7"/>
  <c r="W32" i="7"/>
  <c r="X32" i="7"/>
  <c r="DP32" i="7"/>
  <c r="AD32" i="7"/>
  <c r="DV32" i="7"/>
  <c r="AJ32" i="7"/>
  <c r="EB32" i="7"/>
  <c r="AK32" i="7"/>
  <c r="BB32" i="7"/>
  <c r="ET32" i="7"/>
  <c r="BC32" i="7"/>
  <c r="EU32" i="7"/>
  <c r="BD32" i="7"/>
  <c r="EV32" i="7"/>
  <c r="BE32" i="7"/>
  <c r="AE32" i="7"/>
  <c r="FB32" i="7"/>
  <c r="DG32" i="7"/>
  <c r="AO32" i="7"/>
  <c r="EM32" i="7"/>
  <c r="V32" i="7"/>
  <c r="AN32" i="7"/>
  <c r="AQ32" i="7"/>
  <c r="Z32" i="7"/>
  <c r="FH32" i="7"/>
  <c r="DS32" i="7"/>
  <c r="AU32" i="7"/>
  <c r="ES32" i="7"/>
  <c r="BF32" i="7"/>
  <c r="BX32" i="7"/>
  <c r="AW32" i="7"/>
  <c r="AF32" i="7"/>
  <c r="FN32" i="7"/>
  <c r="DY32" i="7"/>
  <c r="BA32" i="7"/>
  <c r="EY32" i="7"/>
  <c r="CP32" i="7"/>
  <c r="DH32" i="7"/>
  <c r="BO32" i="7"/>
  <c r="AL32" i="7"/>
  <c r="FT32" i="7"/>
  <c r="EE32" i="7"/>
  <c r="BG32" i="7"/>
  <c r="FE32" i="7"/>
  <c r="DZ32" i="7"/>
  <c r="ER32" i="7"/>
  <c r="AP32" i="7"/>
  <c r="BU32" i="7"/>
  <c r="AR32" i="7"/>
  <c r="FZ32" i="7"/>
  <c r="EK32" i="7"/>
  <c r="BM32" i="7"/>
  <c r="FK32" i="7"/>
  <c r="FJ32" i="7"/>
  <c r="GB32" i="7"/>
  <c r="AV32" i="7"/>
  <c r="CA32" i="7"/>
  <c r="AX32" i="7"/>
  <c r="O32" i="7"/>
  <c r="EQ32" i="7"/>
  <c r="BS32" i="7"/>
  <c r="FQ32" i="7"/>
  <c r="GT32" i="7"/>
  <c r="AT32" i="7"/>
  <c r="BN32" i="7"/>
  <c r="DE32" i="7"/>
  <c r="BP32" i="7"/>
  <c r="AA32" i="7"/>
  <c r="EW32" i="7"/>
  <c r="BY32" i="7"/>
  <c r="FW32" i="7"/>
  <c r="AB32" i="7"/>
  <c r="CD32" i="7"/>
  <c r="BZ32" i="7"/>
  <c r="DQ32" i="7"/>
  <c r="BV32" i="7"/>
  <c r="AG32" i="7"/>
  <c r="FC32" i="7"/>
  <c r="CE32" i="7"/>
  <c r="GC32" i="7"/>
  <c r="BL32" i="7"/>
  <c r="DN32" i="7"/>
  <c r="DD32" i="7"/>
  <c r="DW32" i="7"/>
  <c r="CB32" i="7"/>
  <c r="AM32" i="7"/>
  <c r="FI32" i="7"/>
  <c r="CK32" i="7"/>
  <c r="GI32" i="7"/>
  <c r="CV32" i="7"/>
  <c r="EX32" i="7"/>
  <c r="EH32" i="7"/>
  <c r="EC32" i="7"/>
  <c r="CH32" i="7"/>
  <c r="AS32" i="7"/>
  <c r="FO32" i="7"/>
  <c r="CQ32" i="7"/>
  <c r="GU32" i="7"/>
  <c r="EF32" i="7"/>
  <c r="GH32" i="7"/>
  <c r="EN32" i="7"/>
  <c r="EI32" i="7"/>
  <c r="DF32" i="7"/>
  <c r="AY32" i="7"/>
  <c r="FU32" i="7"/>
  <c r="DC32" i="7"/>
  <c r="P32" i="7"/>
  <c r="FP32" i="7"/>
  <c r="FF32" i="7"/>
  <c r="EO32" i="7"/>
  <c r="DR32" i="7"/>
  <c r="BK32" i="7"/>
  <c r="GA32" i="7"/>
  <c r="DI32" i="7"/>
  <c r="AZ32" i="7"/>
  <c r="AH32" i="7"/>
  <c r="FL32" i="7"/>
  <c r="FG32" i="7"/>
  <c r="DX32" i="7"/>
  <c r="BQ32" i="7"/>
  <c r="GS32" i="7"/>
  <c r="DO32" i="7"/>
  <c r="CJ32" i="7"/>
  <c r="BR32" i="7"/>
  <c r="FR32" i="7"/>
  <c r="FM32" i="7"/>
  <c r="ED32" i="7"/>
  <c r="BW32" i="7"/>
  <c r="Q32" i="7"/>
  <c r="DU32" i="7"/>
  <c r="DT32" i="7"/>
  <c r="DB32" i="7"/>
  <c r="FS32" i="7"/>
  <c r="EJ32" i="7"/>
  <c r="CC32" i="7"/>
  <c r="AC32" i="7"/>
  <c r="EA32" i="7"/>
  <c r="FD32" i="7"/>
  <c r="EL32" i="7"/>
  <c r="Y32" i="7"/>
  <c r="FY32" i="7"/>
  <c r="EP32" i="7"/>
  <c r="CI32" i="7"/>
  <c r="AI32" i="7"/>
  <c r="EG32" i="7"/>
  <c r="GN32" i="7"/>
  <c r="FV32" i="7"/>
  <c r="FD45" i="7"/>
  <c r="CQ45" i="7"/>
  <c r="AD45" i="7"/>
  <c r="EZ45" i="7"/>
  <c r="DC45" i="7"/>
  <c r="BF45" i="7"/>
  <c r="FK45" i="7"/>
  <c r="DN45" i="7"/>
  <c r="BN45" i="7"/>
  <c r="EQ45" i="7"/>
  <c r="GM45" i="7"/>
  <c r="EN45" i="7"/>
  <c r="CA45" i="7"/>
  <c r="N45" i="7"/>
  <c r="EJ45" i="7"/>
  <c r="CM45" i="7"/>
  <c r="AP45" i="7"/>
  <c r="GR45" i="7"/>
  <c r="EU45" i="7"/>
  <c r="CX45" i="7"/>
  <c r="AX45" i="7"/>
  <c r="BA45" i="7"/>
  <c r="GK45" i="7"/>
  <c r="DX45" i="7"/>
  <c r="BK45" i="7"/>
  <c r="GG45" i="7"/>
  <c r="DT45" i="7"/>
  <c r="BW45" i="7"/>
  <c r="Z45" i="7"/>
  <c r="GB45" i="7"/>
  <c r="EE45" i="7"/>
  <c r="CH45" i="7"/>
  <c r="AH45" i="7"/>
  <c r="EC45" i="7"/>
  <c r="T45" i="7"/>
  <c r="FU45" i="7"/>
  <c r="DH45" i="7"/>
  <c r="AU45" i="7"/>
  <c r="FQ45" i="7"/>
  <c r="DD45" i="7"/>
  <c r="BG45" i="7"/>
  <c r="FL45" i="7"/>
  <c r="DO45" i="7"/>
  <c r="BR45" i="7"/>
  <c r="R45" i="7"/>
  <c r="AZ45" i="7"/>
  <c r="CU45" i="7"/>
  <c r="FE45" i="7"/>
  <c r="CR45" i="7"/>
  <c r="AE45" i="7"/>
  <c r="FA45" i="7"/>
  <c r="CN45" i="7"/>
  <c r="AQ45" i="7"/>
  <c r="GS45" i="7"/>
  <c r="EV45" i="7"/>
  <c r="CY45" i="7"/>
  <c r="BB45" i="7"/>
  <c r="FW45" i="7"/>
  <c r="EB45" i="7"/>
  <c r="FY45" i="7"/>
  <c r="EO45" i="7"/>
  <c r="CB45" i="7"/>
  <c r="O45" i="7"/>
  <c r="EK45" i="7"/>
  <c r="BX45" i="7"/>
  <c r="AA45" i="7"/>
  <c r="DY45" i="7"/>
  <c r="BL45" i="7"/>
  <c r="GH45" i="7"/>
  <c r="DU45" i="7"/>
  <c r="BH45" i="7"/>
  <c r="FM45" i="7"/>
  <c r="DP45" i="7"/>
  <c r="BS45" i="7"/>
  <c r="V45" i="7"/>
  <c r="FI45" i="7"/>
  <c r="EA45" i="7"/>
  <c r="S45" i="7"/>
  <c r="DI45" i="7"/>
  <c r="AV45" i="7"/>
  <c r="FR45" i="7"/>
  <c r="DE45" i="7"/>
  <c r="AR45" i="7"/>
  <c r="GT45" i="7"/>
  <c r="EW45" i="7"/>
  <c r="CZ45" i="7"/>
  <c r="BC45" i="7"/>
  <c r="CF45" i="7"/>
  <c r="AK45" i="7"/>
  <c r="FX45" i="7"/>
  <c r="CS45" i="7"/>
  <c r="AF45" i="7"/>
  <c r="FB45" i="7"/>
  <c r="CO45" i="7"/>
  <c r="AB45" i="7"/>
  <c r="GD45" i="7"/>
  <c r="EG45" i="7"/>
  <c r="CJ45" i="7"/>
  <c r="AM45" i="7"/>
  <c r="GL45" i="7"/>
  <c r="FH45" i="7"/>
  <c r="DM45" i="7"/>
  <c r="CC45" i="7"/>
  <c r="P45" i="7"/>
  <c r="EL45" i="7"/>
  <c r="BY45" i="7"/>
  <c r="L45" i="7"/>
  <c r="FN45" i="7"/>
  <c r="DQ45" i="7"/>
  <c r="BT45" i="7"/>
  <c r="W45" i="7"/>
  <c r="FV45" i="7"/>
  <c r="CE45" i="7"/>
  <c r="AJ45" i="7"/>
  <c r="BM45" i="7"/>
  <c r="GI45" i="7"/>
  <c r="DV45" i="7"/>
  <c r="BI45" i="7"/>
  <c r="GU45" i="7"/>
  <c r="EX45" i="7"/>
  <c r="DA45" i="7"/>
  <c r="BD45" i="7"/>
  <c r="FF45" i="7"/>
  <c r="FG45" i="7"/>
  <c r="GO45" i="7"/>
  <c r="AW45" i="7"/>
  <c r="FS45" i="7"/>
  <c r="DF45" i="7"/>
  <c r="AS45" i="7"/>
  <c r="GE45" i="7"/>
  <c r="EH45" i="7"/>
  <c r="CK45" i="7"/>
  <c r="AN45" i="7"/>
  <c r="GP45" i="7"/>
  <c r="EP45" i="7"/>
  <c r="BQ45" i="7"/>
  <c r="DL45" i="7"/>
  <c r="AG45" i="7"/>
  <c r="FC45" i="7"/>
  <c r="CP45" i="7"/>
  <c r="AC45" i="7"/>
  <c r="FO45" i="7"/>
  <c r="DR45" i="7"/>
  <c r="BU45" i="7"/>
  <c r="X45" i="7"/>
  <c r="FZ45" i="7"/>
  <c r="DZ45" i="7"/>
  <c r="ES45" i="7"/>
  <c r="AI45" i="7"/>
  <c r="Q45" i="7"/>
  <c r="EM45" i="7"/>
  <c r="BZ45" i="7"/>
  <c r="M45" i="7"/>
  <c r="EY45" i="7"/>
  <c r="DB45" i="7"/>
  <c r="BE45" i="7"/>
  <c r="FJ45" i="7"/>
  <c r="DJ45" i="7"/>
  <c r="BP45" i="7"/>
  <c r="GN45" i="7"/>
  <c r="GJ45" i="7"/>
  <c r="EF45" i="7"/>
  <c r="DK45" i="7"/>
  <c r="FT45" i="7"/>
  <c r="U45" i="7"/>
  <c r="DW45" i="7"/>
  <c r="GQ45" i="7"/>
  <c r="CW45" i="7"/>
  <c r="DG45" i="7"/>
  <c r="GA45" i="7"/>
  <c r="CV45" i="7"/>
  <c r="BJ45" i="7"/>
  <c r="CI45" i="7"/>
  <c r="AT45" i="7"/>
  <c r="GF45" i="7"/>
  <c r="ET45" i="7"/>
  <c r="FP45" i="7"/>
  <c r="ED45" i="7"/>
  <c r="EI45" i="7"/>
  <c r="AL45" i="7"/>
  <c r="DS45" i="7"/>
  <c r="CL45" i="7"/>
  <c r="CT45" i="7"/>
  <c r="BV45" i="7"/>
  <c r="CD45" i="7"/>
  <c r="GC45" i="7"/>
  <c r="CG45" i="7"/>
  <c r="AO45" i="7"/>
  <c r="ER45" i="7"/>
  <c r="Y45" i="7"/>
  <c r="BO45" i="7"/>
  <c r="AY45" i="7"/>
  <c r="CY8" i="7"/>
  <c r="GQ8" i="7"/>
  <c r="CT8" i="7"/>
  <c r="GL8" i="7"/>
  <c r="CO8" i="7"/>
  <c r="GG8" i="7"/>
  <c r="CF8" i="7"/>
  <c r="FX8" i="7"/>
  <c r="AC8" i="7"/>
  <c r="DT8" i="7"/>
  <c r="AN8" i="7"/>
  <c r="DZ8" i="7"/>
  <c r="M8" i="7"/>
  <c r="DE8" i="7"/>
  <c r="CZ8" i="7"/>
  <c r="GR8" i="7"/>
  <c r="CU8" i="7"/>
  <c r="GM8" i="7"/>
  <c r="CL8" i="7"/>
  <c r="GD8" i="7"/>
  <c r="AU8" i="7"/>
  <c r="EL8" i="7"/>
  <c r="CP8" i="7"/>
  <c r="GB8" i="7"/>
  <c r="S8" i="7"/>
  <c r="DK8" i="7"/>
  <c r="N8" i="7"/>
  <c r="DF8" i="7"/>
  <c r="DA8" i="7"/>
  <c r="GS8" i="7"/>
  <c r="CR8" i="7"/>
  <c r="GJ8" i="7"/>
  <c r="BM8" i="7"/>
  <c r="FD8" i="7"/>
  <c r="ER8" i="7"/>
  <c r="EA8" i="7"/>
  <c r="Y8" i="7"/>
  <c r="DQ8" i="7"/>
  <c r="T8" i="7"/>
  <c r="DL8" i="7"/>
  <c r="O8" i="7"/>
  <c r="DG8" i="7"/>
  <c r="CX8" i="7"/>
  <c r="GP8" i="7"/>
  <c r="CE8" i="7"/>
  <c r="FV8" i="7"/>
  <c r="GT8" i="7"/>
  <c r="GC8" i="7"/>
  <c r="AE8" i="7"/>
  <c r="DW8" i="7"/>
  <c r="Z8" i="7"/>
  <c r="DR8" i="7"/>
  <c r="U8" i="7"/>
  <c r="DM8" i="7"/>
  <c r="L8" i="7"/>
  <c r="DD8" i="7"/>
  <c r="CW8" i="7"/>
  <c r="GN8" i="7"/>
  <c r="AO8" i="7"/>
  <c r="W8" i="7"/>
  <c r="AK8" i="7"/>
  <c r="EC8" i="7"/>
  <c r="AF8" i="7"/>
  <c r="DX8" i="7"/>
  <c r="AA8" i="7"/>
  <c r="DS8" i="7"/>
  <c r="R8" i="7"/>
  <c r="DJ8" i="7"/>
  <c r="AB8" i="7"/>
  <c r="DO8" i="7"/>
  <c r="Q8" i="7"/>
  <c r="CQ8" i="7"/>
  <c r="BY8" i="7"/>
  <c r="AQ8" i="7"/>
  <c r="EI8" i="7"/>
  <c r="AL8" i="7"/>
  <c r="ED8" i="7"/>
  <c r="AG8" i="7"/>
  <c r="DY8" i="7"/>
  <c r="X8" i="7"/>
  <c r="DP8" i="7"/>
  <c r="AT8" i="7"/>
  <c r="EG8" i="7"/>
  <c r="AI8" i="7"/>
  <c r="ES8" i="7"/>
  <c r="AW8" i="7"/>
  <c r="EO8" i="7"/>
  <c r="AR8" i="7"/>
  <c r="EJ8" i="7"/>
  <c r="AM8" i="7"/>
  <c r="EE8" i="7"/>
  <c r="AD8" i="7"/>
  <c r="DV8" i="7"/>
  <c r="BL8" i="7"/>
  <c r="EY8" i="7"/>
  <c r="BA8" i="7"/>
  <c r="GU8" i="7"/>
  <c r="BC8" i="7"/>
  <c r="EU8" i="7"/>
  <c r="AX8" i="7"/>
  <c r="EP8" i="7"/>
  <c r="AS8" i="7"/>
  <c r="EK8" i="7"/>
  <c r="AJ8" i="7"/>
  <c r="EB8" i="7"/>
  <c r="CD8" i="7"/>
  <c r="FQ8" i="7"/>
  <c r="BS8" i="7"/>
  <c r="BF8" i="7"/>
  <c r="BI8" i="7"/>
  <c r="FA8" i="7"/>
  <c r="BD8" i="7"/>
  <c r="EV8" i="7"/>
  <c r="AY8" i="7"/>
  <c r="EQ8" i="7"/>
  <c r="AP8" i="7"/>
  <c r="EH8" i="7"/>
  <c r="CV8" i="7"/>
  <c r="GI8" i="7"/>
  <c r="CK8" i="7"/>
  <c r="DH8" i="7"/>
  <c r="BO8" i="7"/>
  <c r="FG8" i="7"/>
  <c r="BJ8" i="7"/>
  <c r="FB8" i="7"/>
  <c r="BE8" i="7"/>
  <c r="EW8" i="7"/>
  <c r="AV8" i="7"/>
  <c r="EN8" i="7"/>
  <c r="DN8" i="7"/>
  <c r="P8" i="7"/>
  <c r="DC8" i="7"/>
  <c r="FJ8" i="7"/>
  <c r="BU8" i="7"/>
  <c r="FM8" i="7"/>
  <c r="BP8" i="7"/>
  <c r="FH8" i="7"/>
  <c r="BK8" i="7"/>
  <c r="FC8" i="7"/>
  <c r="BB8" i="7"/>
  <c r="ET8" i="7"/>
  <c r="EF8" i="7"/>
  <c r="AH8" i="7"/>
  <c r="DU8" i="7"/>
  <c r="BG8" i="7"/>
  <c r="CA8" i="7"/>
  <c r="FS8" i="7"/>
  <c r="BV8" i="7"/>
  <c r="FN8" i="7"/>
  <c r="BQ8" i="7"/>
  <c r="FI8" i="7"/>
  <c r="BH8" i="7"/>
  <c r="EZ8" i="7"/>
  <c r="EX8" i="7"/>
  <c r="AZ8" i="7"/>
  <c r="EM8" i="7"/>
  <c r="DI8" i="7"/>
  <c r="CG8" i="7"/>
  <c r="FY8" i="7"/>
  <c r="CB8" i="7"/>
  <c r="FT8" i="7"/>
  <c r="BW8" i="7"/>
  <c r="FO8" i="7"/>
  <c r="BN8" i="7"/>
  <c r="FF8" i="7"/>
  <c r="FP8" i="7"/>
  <c r="BR8" i="7"/>
  <c r="FE8" i="7"/>
  <c r="FK8" i="7"/>
  <c r="CM8" i="7"/>
  <c r="GE8" i="7"/>
  <c r="CH8" i="7"/>
  <c r="FZ8" i="7"/>
  <c r="CC8" i="7"/>
  <c r="FU8" i="7"/>
  <c r="BT8" i="7"/>
  <c r="FL8" i="7"/>
  <c r="GH8" i="7"/>
  <c r="CJ8" i="7"/>
  <c r="FW8" i="7"/>
  <c r="V8" i="7"/>
  <c r="CS8" i="7"/>
  <c r="GK8" i="7"/>
  <c r="CN8" i="7"/>
  <c r="GF8" i="7"/>
  <c r="CI8" i="7"/>
  <c r="GA8" i="7"/>
  <c r="BZ8" i="7"/>
  <c r="FR8" i="7"/>
  <c r="DB8" i="7"/>
  <c r="GO8" i="7"/>
  <c r="BX8" i="7"/>
  <c r="BX62" i="7"/>
  <c r="GC62" i="7"/>
  <c r="BD62" i="7"/>
  <c r="CX62" i="7"/>
  <c r="FD62" i="7"/>
  <c r="CO62" i="7"/>
  <c r="AO62" i="7"/>
  <c r="FV62" i="7"/>
  <c r="DF62" i="7"/>
  <c r="AZ62" i="7"/>
  <c r="GL62" i="7"/>
  <c r="AA62" i="7"/>
  <c r="BH62" i="7"/>
  <c r="FM62" i="7"/>
  <c r="AN62" i="7"/>
  <c r="CH62" i="7"/>
  <c r="EN62" i="7"/>
  <c r="BM62" i="7"/>
  <c r="U62" i="7"/>
  <c r="AR62" i="7"/>
  <c r="EW62" i="7"/>
  <c r="GQ62" i="7"/>
  <c r="BR62" i="7"/>
  <c r="DX62" i="7"/>
  <c r="AS62" i="7"/>
  <c r="FX62" i="7"/>
  <c r="DJ62" i="7"/>
  <c r="BC62" i="7"/>
  <c r="GM62" i="7"/>
  <c r="AB62" i="7"/>
  <c r="EG62" i="7"/>
  <c r="GA62" i="7"/>
  <c r="BB62" i="7"/>
  <c r="DH62" i="7"/>
  <c r="X62" i="7"/>
  <c r="ER62" i="7"/>
  <c r="GT62" i="7"/>
  <c r="DQ62" i="7"/>
  <c r="FK62" i="7"/>
  <c r="AL62" i="7"/>
  <c r="CR62" i="7"/>
  <c r="GE62" i="7"/>
  <c r="DL62" i="7"/>
  <c r="BG62" i="7"/>
  <c r="P62" i="7"/>
  <c r="EA62" i="7"/>
  <c r="FI62" i="7"/>
  <c r="DW62" i="7"/>
  <c r="GD62" i="7"/>
  <c r="DA62" i="7"/>
  <c r="EU62" i="7"/>
  <c r="V62" i="7"/>
  <c r="CB62" i="7"/>
  <c r="EY62" i="7"/>
  <c r="CF62" i="7"/>
  <c r="AJ62" i="7"/>
  <c r="FQ62" i="7"/>
  <c r="CU62" i="7"/>
  <c r="AY62" i="7"/>
  <c r="FN62" i="7"/>
  <c r="CK62" i="7"/>
  <c r="EE62" i="7"/>
  <c r="GK62" i="7"/>
  <c r="GH62" i="7"/>
  <c r="DS62" i="7"/>
  <c r="EX62" i="7"/>
  <c r="GR62" i="7"/>
  <c r="DO62" i="7"/>
  <c r="FU62" i="7"/>
  <c r="FB62" i="7"/>
  <c r="CM62" i="7"/>
  <c r="AM62" i="7"/>
  <c r="FS62" i="7"/>
  <c r="DE62" i="7"/>
  <c r="AW62" i="7"/>
  <c r="AX62" i="7"/>
  <c r="EH62" i="7"/>
  <c r="GB62" i="7"/>
  <c r="CY62" i="7"/>
  <c r="FE62" i="7"/>
  <c r="DV62" i="7"/>
  <c r="BL62" i="7"/>
  <c r="T62" i="7"/>
  <c r="EM62" i="7"/>
  <c r="BY62" i="7"/>
  <c r="AC62" i="7"/>
  <c r="FF62" i="7"/>
  <c r="GF62" i="7"/>
  <c r="DR62" i="7"/>
  <c r="FL62" i="7"/>
  <c r="CI62" i="7"/>
  <c r="EO62" i="7"/>
  <c r="CP62" i="7"/>
  <c r="AQ62" i="7"/>
  <c r="FW62" i="7"/>
  <c r="DG62" i="7"/>
  <c r="BA62" i="7"/>
  <c r="FP62" i="7"/>
  <c r="DB62" i="7"/>
  <c r="EV62" i="7"/>
  <c r="GP62" i="7"/>
  <c r="DY62" i="7"/>
  <c r="BN62" i="7"/>
  <c r="W62" i="7"/>
  <c r="EQ62" i="7"/>
  <c r="CA62" i="7"/>
  <c r="AG62" i="7"/>
  <c r="CT62" i="7"/>
  <c r="FC62" i="7"/>
  <c r="EZ62" i="7"/>
  <c r="CL62" i="7"/>
  <c r="EF62" i="7"/>
  <c r="FZ62" i="7"/>
  <c r="DI62" i="7"/>
  <c r="AT62" i="7"/>
  <c r="FY62" i="7"/>
  <c r="DK62" i="7"/>
  <c r="BE62" i="7"/>
  <c r="GU62" i="7"/>
  <c r="CQ62" i="7"/>
  <c r="AU62" i="7"/>
  <c r="EJ62" i="7"/>
  <c r="BV62" i="7"/>
  <c r="DP62" i="7"/>
  <c r="FJ62" i="7"/>
  <c r="CS62" i="7"/>
  <c r="Y62" i="7"/>
  <c r="ES62" i="7"/>
  <c r="CE62" i="7"/>
  <c r="AI62" i="7"/>
  <c r="FO62" i="7"/>
  <c r="GO62" i="7"/>
  <c r="EC62" i="7"/>
  <c r="DT62" i="7"/>
  <c r="BF62" i="7"/>
  <c r="CZ62" i="7"/>
  <c r="ET62" i="7"/>
  <c r="CC62" i="7"/>
  <c r="GG62" i="7"/>
  <c r="DM62" i="7"/>
  <c r="BI62" i="7"/>
  <c r="Q62" i="7"/>
  <c r="EI62" i="7"/>
  <c r="BU62" i="7"/>
  <c r="AE62" i="7"/>
  <c r="DD62" i="7"/>
  <c r="AP62" i="7"/>
  <c r="CJ62" i="7"/>
  <c r="ED62" i="7"/>
  <c r="GJ62" i="7"/>
  <c r="FA62" i="7"/>
  <c r="CG62" i="7"/>
  <c r="AK62" i="7"/>
  <c r="FR62" i="7"/>
  <c r="DC62" i="7"/>
  <c r="GN62" i="7"/>
  <c r="CW62" i="7"/>
  <c r="AH62" i="7"/>
  <c r="DZ62" i="7"/>
  <c r="EK62" i="7"/>
  <c r="L62" i="7"/>
  <c r="CN62" i="7"/>
  <c r="BW62" i="7"/>
  <c r="O62" i="7"/>
  <c r="GS62" i="7"/>
  <c r="AF62" i="7"/>
  <c r="N62" i="7"/>
  <c r="BT62" i="7"/>
  <c r="FG62" i="7"/>
  <c r="DN62" i="7"/>
  <c r="BQ62" i="7"/>
  <c r="K62" i="7"/>
  <c r="FT62" i="7"/>
  <c r="CV62" i="7"/>
  <c r="M62" i="7"/>
  <c r="DU62" i="7"/>
  <c r="BS62" i="7"/>
  <c r="BK62" i="7"/>
  <c r="BP62" i="7"/>
  <c r="BJ62" i="7"/>
  <c r="GI62" i="7"/>
  <c r="S62" i="7"/>
  <c r="BO62" i="7"/>
  <c r="EP62" i="7"/>
  <c r="FH62" i="7"/>
  <c r="CD62" i="7"/>
  <c r="AV62" i="7"/>
  <c r="R62" i="7"/>
  <c r="AD62" i="7"/>
  <c r="BZ62" i="7"/>
  <c r="EB62" i="7"/>
  <c r="EL62" i="7"/>
  <c r="Z62" i="7"/>
  <c r="L26" i="7"/>
  <c r="K26" i="7"/>
  <c r="M26" i="7"/>
  <c r="O26" i="7"/>
  <c r="Q26" i="7"/>
  <c r="W26" i="7"/>
  <c r="R26" i="7"/>
  <c r="Y26" i="7"/>
  <c r="S26" i="7"/>
  <c r="T26" i="7"/>
  <c r="U26" i="7"/>
  <c r="N26" i="7"/>
  <c r="V26" i="7"/>
  <c r="P26" i="7"/>
  <c r="X26" i="7"/>
  <c r="AA26" i="7"/>
  <c r="CN26" i="7"/>
  <c r="FQ26" i="7"/>
  <c r="CA26" i="7"/>
  <c r="FD26" i="7"/>
  <c r="BN26" i="7"/>
  <c r="EQ26" i="7"/>
  <c r="BA26" i="7"/>
  <c r="ED26" i="7"/>
  <c r="AN26" i="7"/>
  <c r="DQ26" i="7"/>
  <c r="GD26" i="7"/>
  <c r="AG26" i="7"/>
  <c r="AQ26" i="7"/>
  <c r="DD26" i="7"/>
  <c r="GG26" i="7"/>
  <c r="CQ26" i="7"/>
  <c r="FT26" i="7"/>
  <c r="CD26" i="7"/>
  <c r="FG26" i="7"/>
  <c r="BQ26" i="7"/>
  <c r="ET26" i="7"/>
  <c r="BD26" i="7"/>
  <c r="EG26" i="7"/>
  <c r="GT26" i="7"/>
  <c r="GM26" i="7"/>
  <c r="CJ26" i="7"/>
  <c r="BG26" i="7"/>
  <c r="DT26" i="7"/>
  <c r="AD26" i="7"/>
  <c r="DG26" i="7"/>
  <c r="GJ26" i="7"/>
  <c r="CT26" i="7"/>
  <c r="FW26" i="7"/>
  <c r="CG26" i="7"/>
  <c r="FJ26" i="7"/>
  <c r="BT26" i="7"/>
  <c r="EW26" i="7"/>
  <c r="AT26" i="7"/>
  <c r="BW26" i="7"/>
  <c r="CW26" i="7"/>
  <c r="CM26" i="7"/>
  <c r="EZ26" i="7"/>
  <c r="BJ26" i="7"/>
  <c r="EM26" i="7"/>
  <c r="AW26" i="7"/>
  <c r="DZ26" i="7"/>
  <c r="AJ26" i="7"/>
  <c r="DM26" i="7"/>
  <c r="GP26" i="7"/>
  <c r="CZ26" i="7"/>
  <c r="GC26" i="7"/>
  <c r="DC26" i="7"/>
  <c r="FP26" i="7"/>
  <c r="BZ26" i="7"/>
  <c r="FC26" i="7"/>
  <c r="BM26" i="7"/>
  <c r="EP26" i="7"/>
  <c r="AZ26" i="7"/>
  <c r="EC26" i="7"/>
  <c r="AM26" i="7"/>
  <c r="DP26" i="7"/>
  <c r="GS26" i="7"/>
  <c r="DS26" i="7"/>
  <c r="GF26" i="7"/>
  <c r="CP26" i="7"/>
  <c r="FS26" i="7"/>
  <c r="CC26" i="7"/>
  <c r="FF26" i="7"/>
  <c r="BP26" i="7"/>
  <c r="ES26" i="7"/>
  <c r="BC26" i="7"/>
  <c r="EF26" i="7"/>
  <c r="Z26" i="7"/>
  <c r="EI26" i="7"/>
  <c r="AC26" i="7"/>
  <c r="DF26" i="7"/>
  <c r="GI26" i="7"/>
  <c r="CS26" i="7"/>
  <c r="FV26" i="7"/>
  <c r="CF26" i="7"/>
  <c r="FI26" i="7"/>
  <c r="BS26" i="7"/>
  <c r="EV26" i="7"/>
  <c r="AP26" i="7"/>
  <c r="EY26" i="7"/>
  <c r="AS26" i="7"/>
  <c r="DV26" i="7"/>
  <c r="AF26" i="7"/>
  <c r="DI26" i="7"/>
  <c r="GL26" i="7"/>
  <c r="CV26" i="7"/>
  <c r="FY26" i="7"/>
  <c r="CI26" i="7"/>
  <c r="FL26" i="7"/>
  <c r="BF26" i="7"/>
  <c r="FO26" i="7"/>
  <c r="BI26" i="7"/>
  <c r="EL26" i="7"/>
  <c r="AV26" i="7"/>
  <c r="DY26" i="7"/>
  <c r="AI26" i="7"/>
  <c r="DL26" i="7"/>
  <c r="GO26" i="7"/>
  <c r="CY26" i="7"/>
  <c r="GB26" i="7"/>
  <c r="BV26" i="7"/>
  <c r="GE26" i="7"/>
  <c r="BY26" i="7"/>
  <c r="FB26" i="7"/>
  <c r="BL26" i="7"/>
  <c r="EO26" i="7"/>
  <c r="AY26" i="7"/>
  <c r="EB26" i="7"/>
  <c r="AL26" i="7"/>
  <c r="DO26" i="7"/>
  <c r="GR26" i="7"/>
  <c r="CL26" i="7"/>
  <c r="GU26" i="7"/>
  <c r="CO26" i="7"/>
  <c r="FR26" i="7"/>
  <c r="CB26" i="7"/>
  <c r="FE26" i="7"/>
  <c r="BO26" i="7"/>
  <c r="ER26" i="7"/>
  <c r="BB26" i="7"/>
  <c r="EE26" i="7"/>
  <c r="AO26" i="7"/>
  <c r="DB26" i="7"/>
  <c r="AB26" i="7"/>
  <c r="DE26" i="7"/>
  <c r="GH26" i="7"/>
  <c r="CR26" i="7"/>
  <c r="FU26" i="7"/>
  <c r="CE26" i="7"/>
  <c r="FH26" i="7"/>
  <c r="BR26" i="7"/>
  <c r="EU26" i="7"/>
  <c r="BE26" i="7"/>
  <c r="DR26" i="7"/>
  <c r="AR26" i="7"/>
  <c r="DU26" i="7"/>
  <c r="AE26" i="7"/>
  <c r="DH26" i="7"/>
  <c r="GK26" i="7"/>
  <c r="CU26" i="7"/>
  <c r="FX26" i="7"/>
  <c r="CH26" i="7"/>
  <c r="FK26" i="7"/>
  <c r="BU26" i="7"/>
  <c r="EH26" i="7"/>
  <c r="DW26" i="7"/>
  <c r="FM26" i="7"/>
  <c r="BH26" i="7"/>
  <c r="EK26" i="7"/>
  <c r="AU26" i="7"/>
  <c r="DX26" i="7"/>
  <c r="AH26" i="7"/>
  <c r="DK26" i="7"/>
  <c r="GN26" i="7"/>
  <c r="CX26" i="7"/>
  <c r="GA26" i="7"/>
  <c r="CK26" i="7"/>
  <c r="EX26" i="7"/>
  <c r="DJ26" i="7"/>
  <c r="BX26" i="7"/>
  <c r="FA26" i="7"/>
  <c r="BK26" i="7"/>
  <c r="EN26" i="7"/>
  <c r="AX26" i="7"/>
  <c r="EA26" i="7"/>
  <c r="AK26" i="7"/>
  <c r="DN26" i="7"/>
  <c r="GQ26" i="7"/>
  <c r="DA26" i="7"/>
  <c r="FN26" i="7"/>
  <c r="EJ26" i="7"/>
  <c r="FZ26" i="7"/>
  <c r="J57" i="7"/>
  <c r="J21" i="7"/>
  <c r="CH57" i="7"/>
  <c r="AZ57" i="7"/>
  <c r="R57" i="7"/>
  <c r="CQ57" i="7"/>
  <c r="BI57" i="7"/>
  <c r="Y57" i="7"/>
  <c r="AO57" i="7"/>
  <c r="BB57" i="7"/>
  <c r="T57" i="7"/>
  <c r="AL57" i="7"/>
  <c r="DK57" i="7"/>
  <c r="CC57" i="7"/>
  <c r="AU57" i="7"/>
  <c r="DD57" i="7"/>
  <c r="V57" i="7"/>
  <c r="CU57" i="7"/>
  <c r="BM57" i="7"/>
  <c r="AE57" i="7"/>
  <c r="CN57" i="7"/>
  <c r="BV57" i="7"/>
  <c r="CW57" i="7"/>
  <c r="CG57" i="7"/>
  <c r="AY57" i="7"/>
  <c r="Q57" i="7"/>
  <c r="CP57" i="7"/>
  <c r="AR57" i="7"/>
  <c r="BG57" i="7"/>
  <c r="L21" i="7"/>
  <c r="CY57" i="7"/>
  <c r="BQ57" i="7"/>
  <c r="AI57" i="7"/>
  <c r="DH57" i="7"/>
  <c r="BZ57" i="7"/>
  <c r="AB57" i="7"/>
  <c r="BF57" i="7"/>
  <c r="M57" i="7"/>
  <c r="CI57" i="7"/>
  <c r="BA57" i="7"/>
  <c r="S57" i="7"/>
  <c r="CR57" i="7"/>
  <c r="BJ57" i="7"/>
  <c r="CZ57" i="7"/>
  <c r="BE57" i="7"/>
  <c r="L57" i="7"/>
  <c r="BS57" i="7"/>
  <c r="AK57" i="7"/>
  <c r="DJ57" i="7"/>
  <c r="CB57" i="7"/>
  <c r="AT57" i="7"/>
  <c r="AN57" i="7"/>
  <c r="DC57" i="7"/>
  <c r="K57" i="7"/>
  <c r="BC57" i="7"/>
  <c r="U57" i="7"/>
  <c r="CT57" i="7"/>
  <c r="BL57" i="7"/>
  <c r="AD57" i="7"/>
  <c r="CM57" i="7"/>
  <c r="AQ57" i="7"/>
  <c r="AM57" i="7"/>
  <c r="DL57" i="7"/>
  <c r="CD57" i="7"/>
  <c r="AV57" i="7"/>
  <c r="N57" i="7"/>
  <c r="W57" i="7"/>
  <c r="CV57" i="7"/>
  <c r="BN57" i="7"/>
  <c r="AF57" i="7"/>
  <c r="DE57" i="7"/>
  <c r="CL57" i="7"/>
  <c r="AP57" i="7"/>
  <c r="CS57" i="7"/>
  <c r="Z57" i="7"/>
  <c r="AW57" i="7"/>
  <c r="CK57" i="7"/>
  <c r="AG57" i="7"/>
  <c r="CJ57" i="7"/>
  <c r="P57" i="7"/>
  <c r="X57" i="7"/>
  <c r="DN57" i="7"/>
  <c r="DG57" i="7"/>
  <c r="BW57" i="7"/>
  <c r="CX57" i="7"/>
  <c r="CA57" i="7"/>
  <c r="BU57" i="7"/>
  <c r="BR57" i="7"/>
  <c r="BK57" i="7"/>
  <c r="BT57" i="7"/>
  <c r="DM57" i="7"/>
  <c r="O57" i="7"/>
  <c r="DB57" i="7"/>
  <c r="CF57" i="7"/>
  <c r="DF57" i="7"/>
  <c r="DA57" i="7"/>
  <c r="BP57" i="7"/>
  <c r="CO57" i="7"/>
  <c r="BD57" i="7"/>
  <c r="AJ57" i="7"/>
  <c r="BY57" i="7"/>
  <c r="CE57" i="7"/>
  <c r="AS57" i="7"/>
  <c r="BO57" i="7"/>
  <c r="AC57" i="7"/>
  <c r="AX57" i="7"/>
  <c r="BX57" i="7"/>
  <c r="AH57" i="7"/>
  <c r="BH57" i="7"/>
  <c r="DI57" i="7"/>
  <c r="AA57" i="7"/>
  <c r="FX57" i="7"/>
  <c r="FE57" i="7"/>
  <c r="EL57" i="7"/>
  <c r="EI57" i="7"/>
  <c r="FL57" i="7"/>
  <c r="FH57" i="7"/>
  <c r="EO57" i="7"/>
  <c r="DV57" i="7"/>
  <c r="DS57" i="7"/>
  <c r="EV57" i="7"/>
  <c r="M21" i="7"/>
  <c r="ER57" i="7"/>
  <c r="DY57" i="7"/>
  <c r="GG57" i="7"/>
  <c r="GT57" i="7"/>
  <c r="EF57" i="7"/>
  <c r="K21" i="7"/>
  <c r="EB57" i="7"/>
  <c r="GJ57" i="7"/>
  <c r="FQ57" i="7"/>
  <c r="GD57" i="7"/>
  <c r="DP57" i="7"/>
  <c r="GM57" i="7"/>
  <c r="FT57" i="7"/>
  <c r="FA57" i="7"/>
  <c r="FN57" i="7"/>
  <c r="GQ57" i="7"/>
  <c r="FW57" i="7"/>
  <c r="FD57" i="7"/>
  <c r="EK57" i="7"/>
  <c r="EX57" i="7"/>
  <c r="GA57" i="7"/>
  <c r="FG57" i="7"/>
  <c r="EN57" i="7"/>
  <c r="DU57" i="7"/>
  <c r="EH57" i="7"/>
  <c r="FK57" i="7"/>
  <c r="EQ57" i="7"/>
  <c r="DX57" i="7"/>
  <c r="GF57" i="7"/>
  <c r="DR57" i="7"/>
  <c r="EU57" i="7"/>
  <c r="EA57" i="7"/>
  <c r="GI57" i="7"/>
  <c r="FP57" i="7"/>
  <c r="GS57" i="7"/>
  <c r="EE57" i="7"/>
  <c r="GL57" i="7"/>
  <c r="FS57" i="7"/>
  <c r="EZ57" i="7"/>
  <c r="GC57" i="7"/>
  <c r="DO57" i="7"/>
  <c r="GO57" i="7"/>
  <c r="FV57" i="7"/>
  <c r="FC57" i="7"/>
  <c r="EJ57" i="7"/>
  <c r="FM57" i="7"/>
  <c r="GP57" i="7"/>
  <c r="FY57" i="7"/>
  <c r="FF57" i="7"/>
  <c r="EM57" i="7"/>
  <c r="DT57" i="7"/>
  <c r="EW57" i="7"/>
  <c r="FZ57" i="7"/>
  <c r="FI57" i="7"/>
  <c r="EP57" i="7"/>
  <c r="DW57" i="7"/>
  <c r="GU57" i="7"/>
  <c r="EG57" i="7"/>
  <c r="FJ57" i="7"/>
  <c r="ES57" i="7"/>
  <c r="DZ57" i="7"/>
  <c r="GH57" i="7"/>
  <c r="GE57" i="7"/>
  <c r="DQ57" i="7"/>
  <c r="ET57" i="7"/>
  <c r="GN57" i="7"/>
  <c r="FU57" i="7"/>
  <c r="FB57" i="7"/>
  <c r="EY57" i="7"/>
  <c r="GB57" i="7"/>
  <c r="EC57" i="7"/>
  <c r="GK57" i="7"/>
  <c r="FR57" i="7"/>
  <c r="FO57" i="7"/>
  <c r="GR57" i="7"/>
  <c r="ED57" i="7"/>
  <c r="BR21" i="7"/>
  <c r="DC21" i="7"/>
  <c r="X21" i="7"/>
  <c r="BO21" i="7"/>
  <c r="FG21" i="7"/>
  <c r="FL21" i="7"/>
  <c r="ED21" i="7"/>
  <c r="DD21" i="7"/>
  <c r="CD21" i="7"/>
  <c r="AR21" i="7"/>
  <c r="GM21" i="7"/>
  <c r="FS21" i="7"/>
  <c r="Q21" i="7"/>
  <c r="DI21" i="7"/>
  <c r="AD21" i="7"/>
  <c r="BU21" i="7"/>
  <c r="FM21" i="7"/>
  <c r="FT21" i="7"/>
  <c r="EL21" i="7"/>
  <c r="DM21" i="7"/>
  <c r="CN21" i="7"/>
  <c r="BJ21" i="7"/>
  <c r="GS21" i="7"/>
  <c r="FZ21" i="7"/>
  <c r="W21" i="7"/>
  <c r="DO21" i="7"/>
  <c r="AJ21" i="7"/>
  <c r="CA21" i="7"/>
  <c r="N21" i="7"/>
  <c r="GA21" i="7"/>
  <c r="EV21" i="7"/>
  <c r="DV21" i="7"/>
  <c r="CV21" i="7"/>
  <c r="BW21" i="7"/>
  <c r="AA21" i="7"/>
  <c r="GG21" i="7"/>
  <c r="AC21" i="7"/>
  <c r="DU21" i="7"/>
  <c r="AP21" i="7"/>
  <c r="CG21" i="7"/>
  <c r="AF21" i="7"/>
  <c r="GH21" i="7"/>
  <c r="FD21" i="7"/>
  <c r="EE21" i="7"/>
  <c r="DF21" i="7"/>
  <c r="CF21" i="7"/>
  <c r="AS21" i="7"/>
  <c r="GN21" i="7"/>
  <c r="AI21" i="7"/>
  <c r="EA21" i="7"/>
  <c r="AV21" i="7"/>
  <c r="CM21" i="7"/>
  <c r="AX21" i="7"/>
  <c r="GO21" i="7"/>
  <c r="FN21" i="7"/>
  <c r="EN21" i="7"/>
  <c r="DN21" i="7"/>
  <c r="CO21" i="7"/>
  <c r="BK21" i="7"/>
  <c r="GT21" i="7"/>
  <c r="AO21" i="7"/>
  <c r="EG21" i="7"/>
  <c r="BB21" i="7"/>
  <c r="CS21" i="7"/>
  <c r="BP21" i="7"/>
  <c r="GU21" i="7"/>
  <c r="FU21" i="7"/>
  <c r="EW21" i="7"/>
  <c r="DX21" i="7"/>
  <c r="CX21" i="7"/>
  <c r="BX21" i="7"/>
  <c r="AU21" i="7"/>
  <c r="EM21" i="7"/>
  <c r="BH21" i="7"/>
  <c r="CY21" i="7"/>
  <c r="BZ21" i="7"/>
  <c r="O21" i="7"/>
  <c r="GB21" i="7"/>
  <c r="FF21" i="7"/>
  <c r="EF21" i="7"/>
  <c r="DG21" i="7"/>
  <c r="CH21" i="7"/>
  <c r="P21" i="7"/>
  <c r="BA21" i="7"/>
  <c r="ES21" i="7"/>
  <c r="BN21" i="7"/>
  <c r="DE21" i="7"/>
  <c r="CI21" i="7"/>
  <c r="AG21" i="7"/>
  <c r="GJ21" i="7"/>
  <c r="FO21" i="7"/>
  <c r="EP21" i="7"/>
  <c r="DP21" i="7"/>
  <c r="CP21" i="7"/>
  <c r="V21" i="7"/>
  <c r="BG21" i="7"/>
  <c r="EY21" i="7"/>
  <c r="S21" i="7"/>
  <c r="DK21" i="7"/>
  <c r="CR21" i="7"/>
  <c r="AY21" i="7"/>
  <c r="GP21" i="7"/>
  <c r="FV21" i="7"/>
  <c r="EX21" i="7"/>
  <c r="DY21" i="7"/>
  <c r="CZ21" i="7"/>
  <c r="AB21" i="7"/>
  <c r="BM21" i="7"/>
  <c r="FE21" i="7"/>
  <c r="Y21" i="7"/>
  <c r="DQ21" i="7"/>
  <c r="DA21" i="7"/>
  <c r="BQ21" i="7"/>
  <c r="T21" i="7"/>
  <c r="GD21" i="7"/>
  <c r="FH21" i="7"/>
  <c r="EH21" i="7"/>
  <c r="DH21" i="7"/>
  <c r="AH21" i="7"/>
  <c r="BS21" i="7"/>
  <c r="FK21" i="7"/>
  <c r="AE21" i="7"/>
  <c r="DW21" i="7"/>
  <c r="DJ21" i="7"/>
  <c r="CB21" i="7"/>
  <c r="AL21" i="7"/>
  <c r="GK21" i="7"/>
  <c r="FP21" i="7"/>
  <c r="EQ21" i="7"/>
  <c r="DR21" i="7"/>
  <c r="AN21" i="7"/>
  <c r="BY21" i="7"/>
  <c r="FQ21" i="7"/>
  <c r="AK21" i="7"/>
  <c r="EC21" i="7"/>
  <c r="DS21" i="7"/>
  <c r="CJ21" i="7"/>
  <c r="BD21" i="7"/>
  <c r="GQ21" i="7"/>
  <c r="FX21" i="7"/>
  <c r="EZ21" i="7"/>
  <c r="DZ21" i="7"/>
  <c r="AT21" i="7"/>
  <c r="CE21" i="7"/>
  <c r="FW21" i="7"/>
  <c r="AQ21" i="7"/>
  <c r="EI21" i="7"/>
  <c r="EB21" i="7"/>
  <c r="CT21" i="7"/>
  <c r="BT21" i="7"/>
  <c r="U21" i="7"/>
  <c r="GE21" i="7"/>
  <c r="FI21" i="7"/>
  <c r="EJ21" i="7"/>
  <c r="AZ21" i="7"/>
  <c r="CK21" i="7"/>
  <c r="GC21" i="7"/>
  <c r="AW21" i="7"/>
  <c r="EO21" i="7"/>
  <c r="EK21" i="7"/>
  <c r="DB21" i="7"/>
  <c r="CC21" i="7"/>
  <c r="AM21" i="7"/>
  <c r="GL21" i="7"/>
  <c r="FR21" i="7"/>
  <c r="ER21" i="7"/>
  <c r="BF21" i="7"/>
  <c r="CQ21" i="7"/>
  <c r="GI21" i="7"/>
  <c r="BC21" i="7"/>
  <c r="EU21" i="7"/>
  <c r="ET21" i="7"/>
  <c r="DL21" i="7"/>
  <c r="CL21" i="7"/>
  <c r="BE21" i="7"/>
  <c r="GR21" i="7"/>
  <c r="FY21" i="7"/>
  <c r="FB21" i="7"/>
  <c r="BL21" i="7"/>
  <c r="CW21" i="7"/>
  <c r="R21" i="7"/>
  <c r="BI21" i="7"/>
  <c r="FA21" i="7"/>
  <c r="FC21" i="7"/>
  <c r="DT21" i="7"/>
  <c r="CU21" i="7"/>
  <c r="BV21" i="7"/>
  <c r="Z21" i="7"/>
  <c r="GF21" i="7"/>
  <c r="FJ21" i="7"/>
  <c r="L46" i="7"/>
  <c r="L10" i="7"/>
  <c r="FM46" i="7"/>
  <c r="CZ46" i="7"/>
  <c r="AM46" i="7"/>
  <c r="FI46" i="7"/>
  <c r="CV46" i="7"/>
  <c r="AI46" i="7"/>
  <c r="DY46" i="7"/>
  <c r="AV46" i="7"/>
  <c r="EL46" i="7"/>
  <c r="BV46" i="7"/>
  <c r="BY46" i="7"/>
  <c r="AQ46" i="7"/>
  <c r="EW46" i="7"/>
  <c r="CJ46" i="7"/>
  <c r="W46" i="7"/>
  <c r="ES46" i="7"/>
  <c r="CF46" i="7"/>
  <c r="GL46" i="7"/>
  <c r="DI46" i="7"/>
  <c r="AF46" i="7"/>
  <c r="DV46" i="7"/>
  <c r="BF46" i="7"/>
  <c r="EG46" i="7"/>
  <c r="BT46" i="7"/>
  <c r="GP46" i="7"/>
  <c r="EC46" i="7"/>
  <c r="BP46" i="7"/>
  <c r="FV46" i="7"/>
  <c r="CS46" i="7"/>
  <c r="GI46" i="7"/>
  <c r="DF46" i="7"/>
  <c r="AP46" i="7"/>
  <c r="BX46" i="7"/>
  <c r="DS46" i="7"/>
  <c r="DQ46" i="7"/>
  <c r="BD46" i="7"/>
  <c r="FZ46" i="7"/>
  <c r="DM46" i="7"/>
  <c r="AZ46" i="7"/>
  <c r="FF46" i="7"/>
  <c r="CC46" i="7"/>
  <c r="FS46" i="7"/>
  <c r="CP46" i="7"/>
  <c r="DA46" i="7"/>
  <c r="AN46" i="7"/>
  <c r="FJ46" i="7"/>
  <c r="CW46" i="7"/>
  <c r="AJ46" i="7"/>
  <c r="EP46" i="7"/>
  <c r="BM46" i="7"/>
  <c r="FC46" i="7"/>
  <c r="BZ46" i="7"/>
  <c r="GG46" i="7"/>
  <c r="BW46" i="7"/>
  <c r="GU46" i="7"/>
  <c r="CK46" i="7"/>
  <c r="X46" i="7"/>
  <c r="ET46" i="7"/>
  <c r="CG46" i="7"/>
  <c r="T46" i="7"/>
  <c r="DZ46" i="7"/>
  <c r="AW46" i="7"/>
  <c r="EM46" i="7"/>
  <c r="BJ46" i="7"/>
  <c r="DD46" i="7"/>
  <c r="EY46" i="7"/>
  <c r="DE46" i="7"/>
  <c r="BU46" i="7"/>
  <c r="GQ46" i="7"/>
  <c r="ED46" i="7"/>
  <c r="BQ46" i="7"/>
  <c r="GM46" i="7"/>
  <c r="DJ46" i="7"/>
  <c r="AG46" i="7"/>
  <c r="DW46" i="7"/>
  <c r="AT46" i="7"/>
  <c r="AA46" i="7"/>
  <c r="BI46" i="7"/>
  <c r="BE46" i="7"/>
  <c r="GA46" i="7"/>
  <c r="DN46" i="7"/>
  <c r="BA46" i="7"/>
  <c r="FW46" i="7"/>
  <c r="CT46" i="7"/>
  <c r="GJ46" i="7"/>
  <c r="DG46" i="7"/>
  <c r="AD46" i="7"/>
  <c r="GF46" i="7"/>
  <c r="EK46" i="7"/>
  <c r="AO46" i="7"/>
  <c r="FK46" i="7"/>
  <c r="CX46" i="7"/>
  <c r="AK46" i="7"/>
  <c r="FG46" i="7"/>
  <c r="CD46" i="7"/>
  <c r="FT46" i="7"/>
  <c r="CQ46" i="7"/>
  <c r="GT46" i="7"/>
  <c r="DC46" i="7"/>
  <c r="BH46" i="7"/>
  <c r="Y46" i="7"/>
  <c r="EU46" i="7"/>
  <c r="CH46" i="7"/>
  <c r="U46" i="7"/>
  <c r="EQ46" i="7"/>
  <c r="BN46" i="7"/>
  <c r="FD46" i="7"/>
  <c r="CA46" i="7"/>
  <c r="GD46" i="7"/>
  <c r="GE46" i="7"/>
  <c r="EJ46" i="7"/>
  <c r="GR46" i="7"/>
  <c r="EE46" i="7"/>
  <c r="BR46" i="7"/>
  <c r="GN46" i="7"/>
  <c r="EA46" i="7"/>
  <c r="AX46" i="7"/>
  <c r="EN46" i="7"/>
  <c r="BK46" i="7"/>
  <c r="FN46" i="7"/>
  <c r="CO46" i="7"/>
  <c r="BG46" i="7"/>
  <c r="GB46" i="7"/>
  <c r="DO46" i="7"/>
  <c r="BB46" i="7"/>
  <c r="FX46" i="7"/>
  <c r="DK46" i="7"/>
  <c r="AH46" i="7"/>
  <c r="DX46" i="7"/>
  <c r="AU46" i="7"/>
  <c r="EX46" i="7"/>
  <c r="FQ46" i="7"/>
  <c r="EI46" i="7"/>
  <c r="FL46" i="7"/>
  <c r="CY46" i="7"/>
  <c r="AL46" i="7"/>
  <c r="FH46" i="7"/>
  <c r="CU46" i="7"/>
  <c r="GK46" i="7"/>
  <c r="DH46" i="7"/>
  <c r="AE46" i="7"/>
  <c r="EH46" i="7"/>
  <c r="CN46" i="7"/>
  <c r="AS46" i="7"/>
  <c r="GC46" i="7"/>
  <c r="DP46" i="7"/>
  <c r="BC46" i="7"/>
  <c r="FY46" i="7"/>
  <c r="DL46" i="7"/>
  <c r="AY46" i="7"/>
  <c r="EO46" i="7"/>
  <c r="BL46" i="7"/>
  <c r="FB46" i="7"/>
  <c r="CL46" i="7"/>
  <c r="FO46" i="7"/>
  <c r="DT46" i="7"/>
  <c r="EF46" i="7"/>
  <c r="DB46" i="7"/>
  <c r="CI46" i="7"/>
  <c r="Z46" i="7"/>
  <c r="BS46" i="7"/>
  <c r="FP46" i="7"/>
  <c r="V46" i="7"/>
  <c r="CM46" i="7"/>
  <c r="GO46" i="7"/>
  <c r="FA46" i="7"/>
  <c r="ER46" i="7"/>
  <c r="EZ46" i="7"/>
  <c r="EB46" i="7"/>
  <c r="DU46" i="7"/>
  <c r="CE46" i="7"/>
  <c r="AR46" i="7"/>
  <c r="S46" i="7"/>
  <c r="BO46" i="7"/>
  <c r="AB46" i="7"/>
  <c r="R46" i="7"/>
  <c r="FU46" i="7"/>
  <c r="AC46" i="7"/>
  <c r="Q46" i="7"/>
  <c r="FE46" i="7"/>
  <c r="P46" i="7"/>
  <c r="CR46" i="7"/>
  <c r="O46" i="7"/>
  <c r="CB46" i="7"/>
  <c r="N46" i="7"/>
  <c r="GH46" i="7"/>
  <c r="M46" i="7"/>
  <c r="GS46" i="7"/>
  <c r="FR46" i="7"/>
  <c r="EV46" i="7"/>
  <c r="DR46" i="7"/>
  <c r="AI10" i="7"/>
  <c r="EA10" i="7"/>
  <c r="AP10" i="7"/>
  <c r="EH10" i="7"/>
  <c r="BC10" i="7"/>
  <c r="EU10" i="7"/>
  <c r="BJ10" i="7"/>
  <c r="FB10" i="7"/>
  <c r="BQ10" i="7"/>
  <c r="FI10" i="7"/>
  <c r="BX10" i="7"/>
  <c r="FP10" i="7"/>
  <c r="AO10" i="7"/>
  <c r="EG10" i="7"/>
  <c r="AV10" i="7"/>
  <c r="EN10" i="7"/>
  <c r="BI10" i="7"/>
  <c r="FA10" i="7"/>
  <c r="BP10" i="7"/>
  <c r="FH10" i="7"/>
  <c r="AU10" i="7"/>
  <c r="EM10" i="7"/>
  <c r="BB10" i="7"/>
  <c r="ET10" i="7"/>
  <c r="BO10" i="7"/>
  <c r="FG10" i="7"/>
  <c r="BV10" i="7"/>
  <c r="FN10" i="7"/>
  <c r="CC10" i="7"/>
  <c r="FU10" i="7"/>
  <c r="CJ10" i="7"/>
  <c r="GB10" i="7"/>
  <c r="BA10" i="7"/>
  <c r="ES10" i="7"/>
  <c r="BH10" i="7"/>
  <c r="EZ10" i="7"/>
  <c r="BU10" i="7"/>
  <c r="FM10" i="7"/>
  <c r="BG10" i="7"/>
  <c r="EY10" i="7"/>
  <c r="BN10" i="7"/>
  <c r="FF10" i="7"/>
  <c r="CA10" i="7"/>
  <c r="FS10" i="7"/>
  <c r="CH10" i="7"/>
  <c r="FZ10" i="7"/>
  <c r="CO10" i="7"/>
  <c r="GG10" i="7"/>
  <c r="CV10" i="7"/>
  <c r="GN10" i="7"/>
  <c r="BM10" i="7"/>
  <c r="FE10" i="7"/>
  <c r="BT10" i="7"/>
  <c r="FL10" i="7"/>
  <c r="CG10" i="7"/>
  <c r="FY10" i="7"/>
  <c r="CN10" i="7"/>
  <c r="GF10" i="7"/>
  <c r="CU10" i="7"/>
  <c r="GM10" i="7"/>
  <c r="DB10" i="7"/>
  <c r="GT10" i="7"/>
  <c r="BS10" i="7"/>
  <c r="FK10" i="7"/>
  <c r="BZ10" i="7"/>
  <c r="FR10" i="7"/>
  <c r="CM10" i="7"/>
  <c r="GE10" i="7"/>
  <c r="CT10" i="7"/>
  <c r="GL10" i="7"/>
  <c r="DA10" i="7"/>
  <c r="GS10" i="7"/>
  <c r="DH10" i="7"/>
  <c r="BY10" i="7"/>
  <c r="FQ10" i="7"/>
  <c r="CF10" i="7"/>
  <c r="FX10" i="7"/>
  <c r="CS10" i="7"/>
  <c r="GK10" i="7"/>
  <c r="CZ10" i="7"/>
  <c r="GR10" i="7"/>
  <c r="DG10" i="7"/>
  <c r="V10" i="7"/>
  <c r="DN10" i="7"/>
  <c r="CE10" i="7"/>
  <c r="FW10" i="7"/>
  <c r="CL10" i="7"/>
  <c r="GD10" i="7"/>
  <c r="CY10" i="7"/>
  <c r="GQ10" i="7"/>
  <c r="DF10" i="7"/>
  <c r="CK10" i="7"/>
  <c r="GC10" i="7"/>
  <c r="CR10" i="7"/>
  <c r="GJ10" i="7"/>
  <c r="DE10" i="7"/>
  <c r="T10" i="7"/>
  <c r="DL10" i="7"/>
  <c r="AA10" i="7"/>
  <c r="DS10" i="7"/>
  <c r="AH10" i="7"/>
  <c r="DZ10" i="7"/>
  <c r="CQ10" i="7"/>
  <c r="GI10" i="7"/>
  <c r="CX10" i="7"/>
  <c r="GP10" i="7"/>
  <c r="DK10" i="7"/>
  <c r="Z10" i="7"/>
  <c r="DR10" i="7"/>
  <c r="AG10" i="7"/>
  <c r="DY10" i="7"/>
  <c r="AN10" i="7"/>
  <c r="EF10" i="7"/>
  <c r="CW10" i="7"/>
  <c r="GO10" i="7"/>
  <c r="DD10" i="7"/>
  <c r="Y10" i="7"/>
  <c r="DQ10" i="7"/>
  <c r="AF10" i="7"/>
  <c r="DX10" i="7"/>
  <c r="AM10" i="7"/>
  <c r="EE10" i="7"/>
  <c r="AT10" i="7"/>
  <c r="EL10" i="7"/>
  <c r="DC10" i="7"/>
  <c r="GU10" i="7"/>
  <c r="DJ10" i="7"/>
  <c r="AE10" i="7"/>
  <c r="DW10" i="7"/>
  <c r="AL10" i="7"/>
  <c r="ED10" i="7"/>
  <c r="AS10" i="7"/>
  <c r="EK10" i="7"/>
  <c r="AZ10" i="7"/>
  <c r="ER10" i="7"/>
  <c r="DI10" i="7"/>
  <c r="X10" i="7"/>
  <c r="DP10" i="7"/>
  <c r="AK10" i="7"/>
  <c r="EC10" i="7"/>
  <c r="AR10" i="7"/>
  <c r="EJ10" i="7"/>
  <c r="AY10" i="7"/>
  <c r="EQ10" i="7"/>
  <c r="AC10" i="7"/>
  <c r="DU10" i="7"/>
  <c r="AJ10" i="7"/>
  <c r="EB10" i="7"/>
  <c r="AW10" i="7"/>
  <c r="EO10" i="7"/>
  <c r="BD10" i="7"/>
  <c r="EV10" i="7"/>
  <c r="BK10" i="7"/>
  <c r="FC10" i="7"/>
  <c r="BR10" i="7"/>
  <c r="FJ10" i="7"/>
  <c r="FT10" i="7"/>
  <c r="FD10" i="7"/>
  <c r="N10" i="7"/>
  <c r="U10" i="7"/>
  <c r="FV10" i="7"/>
  <c r="O10" i="7"/>
  <c r="BE10" i="7"/>
  <c r="GH10" i="7"/>
  <c r="P10" i="7"/>
  <c r="BW10" i="7"/>
  <c r="CI10" i="7"/>
  <c r="DM10" i="7"/>
  <c r="EW10" i="7"/>
  <c r="W10" i="7"/>
  <c r="FO10" i="7"/>
  <c r="DO10" i="7"/>
  <c r="GA10" i="7"/>
  <c r="AD10" i="7"/>
  <c r="AB10" i="7"/>
  <c r="DV10" i="7"/>
  <c r="BF10" i="7"/>
  <c r="AQ10" i="7"/>
  <c r="BL10" i="7"/>
  <c r="EI10" i="7"/>
  <c r="CD10" i="7"/>
  <c r="Q10" i="7"/>
  <c r="AX10" i="7"/>
  <c r="CP10" i="7"/>
  <c r="R10" i="7"/>
  <c r="CB10" i="7"/>
  <c r="DT10" i="7"/>
  <c r="M10" i="7"/>
  <c r="EP10" i="7"/>
  <c r="EX10" i="7"/>
  <c r="S10" i="7"/>
  <c r="J58" i="7"/>
  <c r="K58" i="7"/>
  <c r="J22" i="7"/>
  <c r="K22" i="7"/>
  <c r="BM5" i="1"/>
  <c r="BM4" i="1"/>
  <c r="BD5" i="1"/>
  <c r="BD11" i="1" s="1"/>
  <c r="CQ64" i="7"/>
  <c r="AE64" i="7"/>
  <c r="DU64" i="7"/>
  <c r="AR64" i="7"/>
  <c r="FN64" i="7"/>
  <c r="DA64" i="7"/>
  <c r="GH64" i="7"/>
  <c r="DE64" i="7"/>
  <c r="AB64" i="7"/>
  <c r="EX64" i="7"/>
  <c r="CK64" i="7"/>
  <c r="FB64" i="7"/>
  <c r="BY64" i="7"/>
  <c r="GE64" i="7"/>
  <c r="DR64" i="7"/>
  <c r="EL64" i="7"/>
  <c r="BI64" i="7"/>
  <c r="GI64" i="7"/>
  <c r="DF64" i="7"/>
  <c r="AC64" i="7"/>
  <c r="EI64" i="7"/>
  <c r="BV64" i="7"/>
  <c r="GR64" i="7"/>
  <c r="EE64" i="7"/>
  <c r="BR64" i="7"/>
  <c r="FS64" i="7"/>
  <c r="CP64" i="7"/>
  <c r="GF64" i="7"/>
  <c r="DS64" i="7"/>
  <c r="BF64" i="7"/>
  <c r="GB64" i="7"/>
  <c r="DO64" i="7"/>
  <c r="BB64" i="7"/>
  <c r="FC64" i="7"/>
  <c r="BZ64" i="7"/>
  <c r="FP64" i="7"/>
  <c r="DC64" i="7"/>
  <c r="AP64" i="7"/>
  <c r="FL64" i="7"/>
  <c r="CY64" i="7"/>
  <c r="AL64" i="7"/>
  <c r="EM64" i="7"/>
  <c r="BJ64" i="7"/>
  <c r="EZ64" i="7"/>
  <c r="CM64" i="7"/>
  <c r="EK64" i="7"/>
  <c r="GT64" i="7"/>
  <c r="EV64" i="7"/>
  <c r="AM64" i="7"/>
  <c r="DM64" i="7"/>
  <c r="AX64" i="7"/>
  <c r="CE64" i="7"/>
  <c r="DX64" i="7"/>
  <c r="DK64" i="7"/>
  <c r="Q64" i="7"/>
  <c r="CO64" i="7"/>
  <c r="GD64" i="7"/>
  <c r="EF64" i="7"/>
  <c r="W64" i="7"/>
  <c r="CW64" i="7"/>
  <c r="AH64" i="7"/>
  <c r="S64" i="7"/>
  <c r="BL64" i="7"/>
  <c r="P64" i="7"/>
  <c r="AS64" i="7"/>
  <c r="EH64" i="7"/>
  <c r="DP64" i="7"/>
  <c r="GP64" i="7"/>
  <c r="CG64" i="7"/>
  <c r="R64" i="7"/>
  <c r="EO64" i="7"/>
  <c r="FX64" i="7"/>
  <c r="EJ64" i="7"/>
  <c r="DB64" i="7"/>
  <c r="CZ64" i="7"/>
  <c r="FZ64" i="7"/>
  <c r="BQ64" i="7"/>
  <c r="FG64" i="7"/>
  <c r="CC64" i="7"/>
  <c r="DL64" i="7"/>
  <c r="DW64" i="7"/>
  <c r="DT64" i="7"/>
  <c r="CL64" i="7"/>
  <c r="CJ64" i="7"/>
  <c r="FJ64" i="7"/>
  <c r="BA64" i="7"/>
  <c r="CU64" i="7"/>
  <c r="EN64" i="7"/>
  <c r="AZ64" i="7"/>
  <c r="DG64" i="7"/>
  <c r="DD64" i="7"/>
  <c r="Z64" i="7"/>
  <c r="BT64" i="7"/>
  <c r="ET64" i="7"/>
  <c r="AK64" i="7"/>
  <c r="AI64" i="7"/>
  <c r="CB64" i="7"/>
  <c r="DI64" i="7"/>
  <c r="CA64" i="7"/>
  <c r="CN64" i="7"/>
  <c r="GS64" i="7"/>
  <c r="BD64" i="7"/>
  <c r="ED64" i="7"/>
  <c r="U64" i="7"/>
  <c r="FE64" i="7"/>
  <c r="GN64" i="7"/>
  <c r="DH64" i="7"/>
  <c r="BK64" i="7"/>
  <c r="BX64" i="7"/>
  <c r="GC64" i="7"/>
  <c r="AN64" i="7"/>
  <c r="DN64" i="7"/>
  <c r="GL64" i="7"/>
  <c r="CS64" i="7"/>
  <c r="EB64" i="7"/>
  <c r="CV64" i="7"/>
  <c r="AU64" i="7"/>
  <c r="BH64" i="7"/>
  <c r="FM64" i="7"/>
  <c r="X64" i="7"/>
  <c r="CX64" i="7"/>
  <c r="FV64" i="7"/>
  <c r="AG64" i="7"/>
  <c r="BP64" i="7"/>
  <c r="AY64" i="7"/>
  <c r="FR64" i="7"/>
  <c r="GU64" i="7"/>
  <c r="EW64" i="7"/>
  <c r="GQ64" i="7"/>
  <c r="CH64" i="7"/>
  <c r="FF64" i="7"/>
  <c r="FD64" i="7"/>
  <c r="GM64" i="7"/>
  <c r="AW64" i="7"/>
  <c r="DV64" i="7"/>
  <c r="FO64" i="7"/>
  <c r="EG64" i="7"/>
  <c r="GA64" i="7"/>
  <c r="V64" i="7"/>
  <c r="EP64" i="7"/>
  <c r="CR64" i="7"/>
  <c r="EA64" i="7"/>
  <c r="AV64" i="7"/>
  <c r="O64" i="7"/>
  <c r="AT64" i="7"/>
  <c r="EY64" i="7"/>
  <c r="DQ64" i="7"/>
  <c r="FK64" i="7"/>
  <c r="GO64" i="7"/>
  <c r="DZ64" i="7"/>
  <c r="AF64" i="7"/>
  <c r="BO64" i="7"/>
  <c r="AJ64" i="7"/>
  <c r="AD64" i="7"/>
  <c r="BW64" i="7"/>
  <c r="BU64" i="7"/>
  <c r="EU64" i="7"/>
  <c r="FY64" i="7"/>
  <c r="DJ64" i="7"/>
  <c r="ER64" i="7"/>
  <c r="GK64" i="7"/>
  <c r="FW64" i="7"/>
  <c r="GG64" i="7"/>
  <c r="BG64" i="7"/>
  <c r="BE64" i="7"/>
  <c r="CI64" i="7"/>
  <c r="FI64" i="7"/>
  <c r="CT64" i="7"/>
  <c r="CF64" i="7"/>
  <c r="DY64" i="7"/>
  <c r="FT64" i="7"/>
  <c r="FA64" i="7"/>
  <c r="AA64" i="7"/>
  <c r="Y64" i="7"/>
  <c r="BC64" i="7"/>
  <c r="EC64" i="7"/>
  <c r="BN64" i="7"/>
  <c r="EQ64" i="7"/>
  <c r="GJ64" i="7"/>
  <c r="FU64" i="7"/>
  <c r="BM64" i="7"/>
  <c r="FH64" i="7"/>
  <c r="FQ64" i="7"/>
  <c r="AQ64" i="7"/>
  <c r="AO64" i="7"/>
  <c r="BS64" i="7"/>
  <c r="ES64" i="7"/>
  <c r="CD64" i="7"/>
  <c r="T64" i="7"/>
  <c r="O28" i="7"/>
  <c r="W28" i="7"/>
  <c r="DO28" i="7"/>
  <c r="X28" i="7"/>
  <c r="DP28" i="7"/>
  <c r="AE28" i="7"/>
  <c r="DW28" i="7"/>
  <c r="AL28" i="7"/>
  <c r="ED28" i="7"/>
  <c r="AT28" i="7"/>
  <c r="EL28" i="7"/>
  <c r="AY28" i="7"/>
  <c r="AG28" i="7"/>
  <c r="AC28" i="7"/>
  <c r="DU28" i="7"/>
  <c r="AD28" i="7"/>
  <c r="DV28" i="7"/>
  <c r="AK28" i="7"/>
  <c r="EC28" i="7"/>
  <c r="AR28" i="7"/>
  <c r="EJ28" i="7"/>
  <c r="AZ28" i="7"/>
  <c r="ER28" i="7"/>
  <c r="CI28" i="7"/>
  <c r="BQ28" i="7"/>
  <c r="AI28" i="7"/>
  <c r="EA28" i="7"/>
  <c r="AJ28" i="7"/>
  <c r="EB28" i="7"/>
  <c r="AQ28" i="7"/>
  <c r="EI28" i="7"/>
  <c r="AX28" i="7"/>
  <c r="EP28" i="7"/>
  <c r="BF28" i="7"/>
  <c r="EX28" i="7"/>
  <c r="DS28" i="7"/>
  <c r="DA28" i="7"/>
  <c r="Q28" i="7"/>
  <c r="AO28" i="7"/>
  <c r="EG28" i="7"/>
  <c r="AP28" i="7"/>
  <c r="EH28" i="7"/>
  <c r="AW28" i="7"/>
  <c r="EO28" i="7"/>
  <c r="BD28" i="7"/>
  <c r="EV28" i="7"/>
  <c r="BL28" i="7"/>
  <c r="FD28" i="7"/>
  <c r="FC28" i="7"/>
  <c r="EK28" i="7"/>
  <c r="AU28" i="7"/>
  <c r="EM28" i="7"/>
  <c r="AV28" i="7"/>
  <c r="EN28" i="7"/>
  <c r="BC28" i="7"/>
  <c r="EU28" i="7"/>
  <c r="BJ28" i="7"/>
  <c r="FB28" i="7"/>
  <c r="BR28" i="7"/>
  <c r="FJ28" i="7"/>
  <c r="GM28" i="7"/>
  <c r="FU28" i="7"/>
  <c r="BA28" i="7"/>
  <c r="ES28" i="7"/>
  <c r="BB28" i="7"/>
  <c r="ET28" i="7"/>
  <c r="BI28" i="7"/>
  <c r="FA28" i="7"/>
  <c r="BP28" i="7"/>
  <c r="FH28" i="7"/>
  <c r="BX28" i="7"/>
  <c r="FP28" i="7"/>
  <c r="U28" i="7"/>
  <c r="AM28" i="7"/>
  <c r="BG28" i="7"/>
  <c r="EY28" i="7"/>
  <c r="BH28" i="7"/>
  <c r="EZ28" i="7"/>
  <c r="BO28" i="7"/>
  <c r="FG28" i="7"/>
  <c r="BV28" i="7"/>
  <c r="FN28" i="7"/>
  <c r="CD28" i="7"/>
  <c r="FV28" i="7"/>
  <c r="BE28" i="7"/>
  <c r="BW28" i="7"/>
  <c r="BM28" i="7"/>
  <c r="FE28" i="7"/>
  <c r="BN28" i="7"/>
  <c r="FF28" i="7"/>
  <c r="BU28" i="7"/>
  <c r="FM28" i="7"/>
  <c r="CB28" i="7"/>
  <c r="FT28" i="7"/>
  <c r="CJ28" i="7"/>
  <c r="GB28" i="7"/>
  <c r="CO28" i="7"/>
  <c r="DG28" i="7"/>
  <c r="BS28" i="7"/>
  <c r="FK28" i="7"/>
  <c r="BT28" i="7"/>
  <c r="FL28" i="7"/>
  <c r="CA28" i="7"/>
  <c r="FS28" i="7"/>
  <c r="CH28" i="7"/>
  <c r="FZ28" i="7"/>
  <c r="CP28" i="7"/>
  <c r="GH28" i="7"/>
  <c r="DY28" i="7"/>
  <c r="EQ28" i="7"/>
  <c r="BY28" i="7"/>
  <c r="FQ28" i="7"/>
  <c r="BZ28" i="7"/>
  <c r="FR28" i="7"/>
  <c r="CG28" i="7"/>
  <c r="FY28" i="7"/>
  <c r="CN28" i="7"/>
  <c r="GF28" i="7"/>
  <c r="CV28" i="7"/>
  <c r="GN28" i="7"/>
  <c r="FI28" i="7"/>
  <c r="GA28" i="7"/>
  <c r="CE28" i="7"/>
  <c r="FW28" i="7"/>
  <c r="CF28" i="7"/>
  <c r="FX28" i="7"/>
  <c r="CM28" i="7"/>
  <c r="GE28" i="7"/>
  <c r="CT28" i="7"/>
  <c r="GL28" i="7"/>
  <c r="DB28" i="7"/>
  <c r="GT28" i="7"/>
  <c r="GS28" i="7"/>
  <c r="P28" i="7"/>
  <c r="CK28" i="7"/>
  <c r="GC28" i="7"/>
  <c r="CL28" i="7"/>
  <c r="GD28" i="7"/>
  <c r="CS28" i="7"/>
  <c r="GK28" i="7"/>
  <c r="CZ28" i="7"/>
  <c r="GR28" i="7"/>
  <c r="DH28" i="7"/>
  <c r="AS28" i="7"/>
  <c r="AA28" i="7"/>
  <c r="CQ28" i="7"/>
  <c r="GI28" i="7"/>
  <c r="CR28" i="7"/>
  <c r="GJ28" i="7"/>
  <c r="CY28" i="7"/>
  <c r="GQ28" i="7"/>
  <c r="DF28" i="7"/>
  <c r="V28" i="7"/>
  <c r="DN28" i="7"/>
  <c r="CC28" i="7"/>
  <c r="BK28" i="7"/>
  <c r="CW28" i="7"/>
  <c r="GO28" i="7"/>
  <c r="CX28" i="7"/>
  <c r="GP28" i="7"/>
  <c r="DE28" i="7"/>
  <c r="T28" i="7"/>
  <c r="DL28" i="7"/>
  <c r="AB28" i="7"/>
  <c r="DT28" i="7"/>
  <c r="DM28" i="7"/>
  <c r="CU28" i="7"/>
  <c r="DC28" i="7"/>
  <c r="GU28" i="7"/>
  <c r="DD28" i="7"/>
  <c r="S28" i="7"/>
  <c r="DK28" i="7"/>
  <c r="Z28" i="7"/>
  <c r="DR28" i="7"/>
  <c r="AH28" i="7"/>
  <c r="DZ28" i="7"/>
  <c r="EW28" i="7"/>
  <c r="EE28" i="7"/>
  <c r="DI28" i="7"/>
  <c r="R28" i="7"/>
  <c r="DJ28" i="7"/>
  <c r="Y28" i="7"/>
  <c r="DQ28" i="7"/>
  <c r="AF28" i="7"/>
  <c r="DX28" i="7"/>
  <c r="AN28" i="7"/>
  <c r="EF28" i="7"/>
  <c r="GG28" i="7"/>
  <c r="FO28" i="7"/>
  <c r="GS38" i="7"/>
  <c r="EV38" i="7"/>
  <c r="CI38" i="7"/>
  <c r="V38" i="7"/>
  <c r="DQ38" i="7"/>
  <c r="CK38" i="7"/>
  <c r="AN38" i="7"/>
  <c r="FJ38" i="7"/>
  <c r="CW38" i="7"/>
  <c r="BU38" i="7"/>
  <c r="X38" i="7"/>
  <c r="ET38" i="7"/>
  <c r="CG38" i="7"/>
  <c r="AO38" i="7"/>
  <c r="GA38" i="7"/>
  <c r="Y38" i="7"/>
  <c r="GG38" i="7"/>
  <c r="GR38" i="7"/>
  <c r="GB38" i="7"/>
  <c r="FL38" i="7"/>
  <c r="CY38" i="7"/>
  <c r="AL38" i="7"/>
  <c r="EF38" i="7"/>
  <c r="FZ38" i="7"/>
  <c r="U38" i="7"/>
  <c r="FG38" i="7"/>
  <c r="CT38" i="7"/>
  <c r="AW38" i="7"/>
  <c r="EK38" i="7"/>
  <c r="FB38" i="7"/>
  <c r="GF38" i="7"/>
  <c r="EI38" i="7"/>
  <c r="CL38" i="7"/>
  <c r="DP38" i="7"/>
  <c r="ED38" i="7"/>
  <c r="GN38" i="7"/>
  <c r="EQ38" i="7"/>
  <c r="CD38" i="7"/>
  <c r="AG38" i="7"/>
  <c r="GI38" i="7"/>
  <c r="EL38" i="7"/>
  <c r="FP38" i="7"/>
  <c r="DS38" i="7"/>
  <c r="BF38" i="7"/>
  <c r="CZ38" i="7"/>
  <c r="DN38" i="7"/>
  <c r="FX38" i="7"/>
  <c r="EA38" i="7"/>
  <c r="BN38" i="7"/>
  <c r="Q38" i="7"/>
  <c r="FS38" i="7"/>
  <c r="DV38" i="7"/>
  <c r="EZ38" i="7"/>
  <c r="DC38" i="7"/>
  <c r="BV38" i="7"/>
  <c r="CJ38" i="7"/>
  <c r="CX38" i="7"/>
  <c r="FH38" i="7"/>
  <c r="DK38" i="7"/>
  <c r="AX38" i="7"/>
  <c r="M38" i="7"/>
  <c r="FC38" i="7"/>
  <c r="DF38" i="7"/>
  <c r="EJ38" i="7"/>
  <c r="CM38" i="7"/>
  <c r="AP38" i="7"/>
  <c r="BT38" i="7"/>
  <c r="CH38" i="7"/>
  <c r="ER38" i="7"/>
  <c r="CU38" i="7"/>
  <c r="AH38" i="7"/>
  <c r="GJ38" i="7"/>
  <c r="EM38" i="7"/>
  <c r="CP38" i="7"/>
  <c r="DT38" i="7"/>
  <c r="BW38" i="7"/>
  <c r="Z38" i="7"/>
  <c r="BD38" i="7"/>
  <c r="BR38" i="7"/>
  <c r="EB38" i="7"/>
  <c r="CE38" i="7"/>
  <c r="R38" i="7"/>
  <c r="FT38" i="7"/>
  <c r="DW38" i="7"/>
  <c r="BZ38" i="7"/>
  <c r="DD38" i="7"/>
  <c r="BG38" i="7"/>
  <c r="GQ38" i="7"/>
  <c r="BB38" i="7"/>
  <c r="DL38" i="7"/>
  <c r="BO38" i="7"/>
  <c r="AC38" i="7"/>
  <c r="FD38" i="7"/>
  <c r="DG38" i="7"/>
  <c r="BJ38" i="7"/>
  <c r="CN38" i="7"/>
  <c r="AQ38" i="7"/>
  <c r="FK38" i="7"/>
  <c r="GO38" i="7"/>
  <c r="CV38" i="7"/>
  <c r="AY38" i="7"/>
  <c r="GK38" i="7"/>
  <c r="EN38" i="7"/>
  <c r="CQ38" i="7"/>
  <c r="AT38" i="7"/>
  <c r="BX38" i="7"/>
  <c r="AA38" i="7"/>
  <c r="EU38" i="7"/>
  <c r="FY38" i="7"/>
  <c r="CF38" i="7"/>
  <c r="AI38" i="7"/>
  <c r="FU38" i="7"/>
  <c r="DX38" i="7"/>
  <c r="CA38" i="7"/>
  <c r="AD38" i="7"/>
  <c r="BH38" i="7"/>
  <c r="EE38" i="7"/>
  <c r="FI38" i="7"/>
  <c r="BP38" i="7"/>
  <c r="S38" i="7"/>
  <c r="FE38" i="7"/>
  <c r="DH38" i="7"/>
  <c r="BK38" i="7"/>
  <c r="N38" i="7"/>
  <c r="AR38" i="7"/>
  <c r="GT38" i="7"/>
  <c r="GC38" i="7"/>
  <c r="DO38" i="7"/>
  <c r="ES38" i="7"/>
  <c r="AZ38" i="7"/>
  <c r="GL38" i="7"/>
  <c r="EO38" i="7"/>
  <c r="CR38" i="7"/>
  <c r="AU38" i="7"/>
  <c r="FA38" i="7"/>
  <c r="AB38" i="7"/>
  <c r="GD38" i="7"/>
  <c r="FM38" i="7"/>
  <c r="BS38" i="7"/>
  <c r="EC38" i="7"/>
  <c r="AJ38" i="7"/>
  <c r="FV38" i="7"/>
  <c r="DY38" i="7"/>
  <c r="CB38" i="7"/>
  <c r="AE38" i="7"/>
  <c r="CO38" i="7"/>
  <c r="L38" i="7"/>
  <c r="FN38" i="7"/>
  <c r="EW38" i="7"/>
  <c r="BC38" i="7"/>
  <c r="DM38" i="7"/>
  <c r="T38" i="7"/>
  <c r="FF38" i="7"/>
  <c r="DI38" i="7"/>
  <c r="BL38" i="7"/>
  <c r="O38" i="7"/>
  <c r="BI38" i="7"/>
  <c r="GU38" i="7"/>
  <c r="EX38" i="7"/>
  <c r="EG38" i="7"/>
  <c r="AM38" i="7"/>
  <c r="BQ38" i="7"/>
  <c r="AS38" i="7"/>
  <c r="EP38" i="7"/>
  <c r="CS38" i="7"/>
  <c r="AV38" i="7"/>
  <c r="DU38" i="7"/>
  <c r="FQ38" i="7"/>
  <c r="GE38" i="7"/>
  <c r="EH38" i="7"/>
  <c r="BE38" i="7"/>
  <c r="GP38" i="7"/>
  <c r="AK38" i="7"/>
  <c r="FW38" i="7"/>
  <c r="DJ38" i="7"/>
  <c r="BM38" i="7"/>
  <c r="P38" i="7"/>
  <c r="FR38" i="7"/>
  <c r="BY38" i="7"/>
  <c r="EY38" i="7"/>
  <c r="DB38" i="7"/>
  <c r="AF38" i="7"/>
  <c r="GH38" i="7"/>
  <c r="DE38" i="7"/>
  <c r="FO38" i="7"/>
  <c r="DR38" i="7"/>
  <c r="DA38" i="7"/>
  <c r="W38" i="7"/>
  <c r="BA38" i="7"/>
  <c r="GM38" i="7"/>
  <c r="DZ38" i="7"/>
  <c r="CC38" i="7"/>
  <c r="AV2" i="7"/>
  <c r="EN2" i="7"/>
  <c r="AW2" i="7"/>
  <c r="EO2" i="7"/>
  <c r="AX2" i="7"/>
  <c r="EP2" i="7"/>
  <c r="AY2" i="7"/>
  <c r="EQ2" i="7"/>
  <c r="AT2" i="7"/>
  <c r="EL2" i="7"/>
  <c r="AO2" i="7"/>
  <c r="EG2" i="7"/>
  <c r="BB2" i="7"/>
  <c r="ET2" i="7"/>
  <c r="BC2" i="7"/>
  <c r="EU2" i="7"/>
  <c r="BD2" i="7"/>
  <c r="EV2" i="7"/>
  <c r="BE2" i="7"/>
  <c r="EW2" i="7"/>
  <c r="AZ2" i="7"/>
  <c r="ER2" i="7"/>
  <c r="AU2" i="7"/>
  <c r="EM2" i="7"/>
  <c r="BH2" i="7"/>
  <c r="EZ2" i="7"/>
  <c r="BI2" i="7"/>
  <c r="FA2" i="7"/>
  <c r="BJ2" i="7"/>
  <c r="FB2" i="7"/>
  <c r="BK2" i="7"/>
  <c r="FC2" i="7"/>
  <c r="BF2" i="7"/>
  <c r="EX2" i="7"/>
  <c r="BA2" i="7"/>
  <c r="ES2" i="7"/>
  <c r="BN2" i="7"/>
  <c r="FF2" i="7"/>
  <c r="BO2" i="7"/>
  <c r="FG2" i="7"/>
  <c r="BP2" i="7"/>
  <c r="FH2" i="7"/>
  <c r="BQ2" i="7"/>
  <c r="FI2" i="7"/>
  <c r="BL2" i="7"/>
  <c r="FD2" i="7"/>
  <c r="BG2" i="7"/>
  <c r="EY2" i="7"/>
  <c r="BT2" i="7"/>
  <c r="FL2" i="7"/>
  <c r="BU2" i="7"/>
  <c r="FM2" i="7"/>
  <c r="BV2" i="7"/>
  <c r="FN2" i="7"/>
  <c r="BW2" i="7"/>
  <c r="FO2" i="7"/>
  <c r="BR2" i="7"/>
  <c r="FJ2" i="7"/>
  <c r="BM2" i="7"/>
  <c r="FE2" i="7"/>
  <c r="BZ2" i="7"/>
  <c r="FR2" i="7"/>
  <c r="CA2" i="7"/>
  <c r="FS2" i="7"/>
  <c r="CB2" i="7"/>
  <c r="FT2" i="7"/>
  <c r="CC2" i="7"/>
  <c r="FU2" i="7"/>
  <c r="BX2" i="7"/>
  <c r="FP2" i="7"/>
  <c r="BS2" i="7"/>
  <c r="FK2" i="7"/>
  <c r="CF2" i="7"/>
  <c r="FX2" i="7"/>
  <c r="CG2" i="7"/>
  <c r="FY2" i="7"/>
  <c r="CH2" i="7"/>
  <c r="FZ2" i="7"/>
  <c r="CI2" i="7"/>
  <c r="GA2" i="7"/>
  <c r="CD2" i="7"/>
  <c r="FV2" i="7"/>
  <c r="BY2" i="7"/>
  <c r="FQ2" i="7"/>
  <c r="CL2" i="7"/>
  <c r="GD2" i="7"/>
  <c r="CM2" i="7"/>
  <c r="GE2" i="7"/>
  <c r="CN2" i="7"/>
  <c r="GF2" i="7"/>
  <c r="CO2" i="7"/>
  <c r="GG2" i="7"/>
  <c r="CJ2" i="7"/>
  <c r="GB2" i="7"/>
  <c r="CE2" i="7"/>
  <c r="FW2" i="7"/>
  <c r="CR2" i="7"/>
  <c r="GJ2" i="7"/>
  <c r="CS2" i="7"/>
  <c r="GK2" i="7"/>
  <c r="CT2" i="7"/>
  <c r="GL2" i="7"/>
  <c r="CU2" i="7"/>
  <c r="GM2" i="7"/>
  <c r="CP2" i="7"/>
  <c r="GH2" i="7"/>
  <c r="CK2" i="7"/>
  <c r="GC2" i="7"/>
  <c r="CX2" i="7"/>
  <c r="GP2" i="7"/>
  <c r="CY2" i="7"/>
  <c r="GQ2" i="7"/>
  <c r="CZ2" i="7"/>
  <c r="GR2" i="7"/>
  <c r="DA2" i="7"/>
  <c r="GS2" i="7"/>
  <c r="CV2" i="7"/>
  <c r="GN2" i="7"/>
  <c r="CQ2" i="7"/>
  <c r="GI2" i="7"/>
  <c r="L2" i="7"/>
  <c r="DD2" i="7"/>
  <c r="M2" i="7"/>
  <c r="DE2" i="7"/>
  <c r="N2" i="7"/>
  <c r="DF2" i="7"/>
  <c r="O2" i="7"/>
  <c r="DG2" i="7"/>
  <c r="DB2" i="7"/>
  <c r="GT2" i="7"/>
  <c r="CW2" i="7"/>
  <c r="GO2" i="7"/>
  <c r="R2" i="7"/>
  <c r="DJ2" i="7"/>
  <c r="S2" i="7"/>
  <c r="DK2" i="7"/>
  <c r="T2" i="7"/>
  <c r="DL2" i="7"/>
  <c r="U2" i="7"/>
  <c r="DM2" i="7"/>
  <c r="P2" i="7"/>
  <c r="DH2" i="7"/>
  <c r="DC2" i="7"/>
  <c r="GU2" i="7"/>
  <c r="X2" i="7"/>
  <c r="DP2" i="7"/>
  <c r="Y2" i="7"/>
  <c r="DQ2" i="7"/>
  <c r="Z2" i="7"/>
  <c r="DR2" i="7"/>
  <c r="AA2" i="7"/>
  <c r="DS2" i="7"/>
  <c r="V2" i="7"/>
  <c r="DN2" i="7"/>
  <c r="Q2" i="7"/>
  <c r="DI2" i="7"/>
  <c r="AD2" i="7"/>
  <c r="DV2" i="7"/>
  <c r="AE2" i="7"/>
  <c r="DW2" i="7"/>
  <c r="AF2" i="7"/>
  <c r="DX2" i="7"/>
  <c r="AG2" i="7"/>
  <c r="DY2" i="7"/>
  <c r="AB2" i="7"/>
  <c r="DT2" i="7"/>
  <c r="W2" i="7"/>
  <c r="DO2" i="7"/>
  <c r="AJ2" i="7"/>
  <c r="EB2" i="7"/>
  <c r="AK2" i="7"/>
  <c r="EC2" i="7"/>
  <c r="AL2" i="7"/>
  <c r="ED2" i="7"/>
  <c r="AM2" i="7"/>
  <c r="EE2" i="7"/>
  <c r="AH2" i="7"/>
  <c r="DZ2" i="7"/>
  <c r="AC2" i="7"/>
  <c r="DU2" i="7"/>
  <c r="AP2" i="7"/>
  <c r="EH2" i="7"/>
  <c r="AQ2" i="7"/>
  <c r="EI2" i="7"/>
  <c r="AR2" i="7"/>
  <c r="EJ2" i="7"/>
  <c r="AS2" i="7"/>
  <c r="EK2" i="7"/>
  <c r="AN2" i="7"/>
  <c r="EF2" i="7"/>
  <c r="AI2" i="7"/>
  <c r="EA2" i="7"/>
  <c r="R8" i="6"/>
  <c r="AC916" i="1"/>
  <c r="F8" i="6"/>
  <c r="AC907" i="1"/>
  <c r="AC1028" i="1"/>
  <c r="AD683" i="1"/>
  <c r="AD1200" i="1"/>
  <c r="AD1093" i="1"/>
  <c r="AD882" i="1"/>
  <c r="AC1199" i="1"/>
  <c r="AD988" i="1"/>
  <c r="AD1280" i="1"/>
  <c r="AD725" i="1"/>
  <c r="AD941" i="1"/>
  <c r="AD911" i="1"/>
  <c r="AC968" i="1"/>
  <c r="AC614" i="1"/>
  <c r="AC808" i="1"/>
  <c r="AC917" i="1"/>
  <c r="AD858" i="1"/>
  <c r="AD880" i="1"/>
  <c r="AD1074" i="1"/>
  <c r="X8" i="6"/>
  <c r="O8" i="6"/>
  <c r="AC1101" i="1"/>
  <c r="AC1194" i="1"/>
  <c r="AD1100" i="1"/>
  <c r="AD1154" i="1"/>
  <c r="Z9" i="6"/>
  <c r="Z8" i="6"/>
  <c r="AC1140" i="1"/>
  <c r="AD1071" i="1"/>
  <c r="AD853" i="1"/>
  <c r="AD8" i="1"/>
  <c r="AC813" i="1"/>
  <c r="AD1251" i="1"/>
  <c r="AC1072" i="1"/>
  <c r="AD886" i="1"/>
  <c r="AD610" i="1"/>
  <c r="AD1196" i="1"/>
  <c r="AD1046" i="1"/>
  <c r="D14" i="6"/>
  <c r="D30" i="6"/>
  <c r="D46" i="6"/>
  <c r="D62" i="6"/>
  <c r="D25" i="6"/>
  <c r="D41" i="6"/>
  <c r="D57" i="6"/>
  <c r="D73" i="6"/>
  <c r="D20" i="6"/>
  <c r="D36" i="6"/>
  <c r="D52" i="6"/>
  <c r="D68" i="6"/>
  <c r="D10" i="6"/>
  <c r="D26" i="6"/>
  <c r="D42" i="6"/>
  <c r="D58" i="6"/>
  <c r="D21" i="6"/>
  <c r="D37" i="6"/>
  <c r="D53" i="6"/>
  <c r="D69" i="6"/>
  <c r="D16" i="6"/>
  <c r="D32" i="6"/>
  <c r="D48" i="6"/>
  <c r="D64" i="6"/>
  <c r="D11" i="6"/>
  <c r="D27" i="6"/>
  <c r="D43" i="6"/>
  <c r="D59" i="6"/>
  <c r="D22" i="6"/>
  <c r="D38" i="6"/>
  <c r="D54" i="6"/>
  <c r="D70" i="6"/>
  <c r="D17" i="6"/>
  <c r="D33" i="6"/>
  <c r="D49" i="6"/>
  <c r="D12" i="6"/>
  <c r="D28" i="6"/>
  <c r="D44" i="6"/>
  <c r="D60" i="6"/>
  <c r="D23" i="6"/>
  <c r="D39" i="6"/>
  <c r="D55" i="6"/>
  <c r="D71" i="6"/>
  <c r="D18" i="6"/>
  <c r="D34" i="6"/>
  <c r="D50" i="6"/>
  <c r="D13" i="6"/>
  <c r="D29" i="6"/>
  <c r="D45" i="6"/>
  <c r="D61" i="6"/>
  <c r="D24" i="6"/>
  <c r="D40" i="6"/>
  <c r="D56" i="6"/>
  <c r="D19" i="6"/>
  <c r="D35" i="6"/>
  <c r="D51" i="6"/>
  <c r="D67" i="6"/>
  <c r="D76" i="6"/>
  <c r="D83" i="6"/>
  <c r="D99" i="6"/>
  <c r="D115" i="6"/>
  <c r="D131" i="6"/>
  <c r="D94" i="6"/>
  <c r="D110" i="6"/>
  <c r="D126" i="6"/>
  <c r="D31" i="6"/>
  <c r="D74" i="6"/>
  <c r="D77" i="6"/>
  <c r="D89" i="6"/>
  <c r="D105" i="6"/>
  <c r="D121" i="6"/>
  <c r="D137" i="6"/>
  <c r="D84" i="6"/>
  <c r="D100" i="6"/>
  <c r="D78" i="6"/>
  <c r="D95" i="6"/>
  <c r="D111" i="6"/>
  <c r="D127" i="6"/>
  <c r="D47" i="6"/>
  <c r="D79" i="6"/>
  <c r="D90" i="6"/>
  <c r="D106" i="6"/>
  <c r="D122" i="6"/>
  <c r="D85" i="6"/>
  <c r="D101" i="6"/>
  <c r="D117" i="6"/>
  <c r="D133" i="6"/>
  <c r="D80" i="6"/>
  <c r="D96" i="6"/>
  <c r="D112" i="6"/>
  <c r="D128" i="6"/>
  <c r="D63" i="6"/>
  <c r="D91" i="6"/>
  <c r="D107" i="6"/>
  <c r="D123" i="6"/>
  <c r="D139" i="6"/>
  <c r="D86" i="6"/>
  <c r="D102" i="6"/>
  <c r="D118" i="6"/>
  <c r="D81" i="6"/>
  <c r="D97" i="6"/>
  <c r="D113" i="6"/>
  <c r="D129" i="6"/>
  <c r="D65" i="6"/>
  <c r="D92" i="6"/>
  <c r="D108" i="6"/>
  <c r="D124" i="6"/>
  <c r="D82" i="6"/>
  <c r="D98" i="6"/>
  <c r="D114" i="6"/>
  <c r="D130" i="6"/>
  <c r="D66" i="6"/>
  <c r="D72" i="6"/>
  <c r="D93" i="6"/>
  <c r="D109" i="6"/>
  <c r="D125" i="6"/>
  <c r="D15" i="6"/>
  <c r="D75" i="6"/>
  <c r="D88" i="6"/>
  <c r="D104" i="6"/>
  <c r="D120" i="6"/>
  <c r="D136" i="6"/>
  <c r="D151" i="6"/>
  <c r="D167" i="6"/>
  <c r="D183" i="6"/>
  <c r="D199" i="6"/>
  <c r="D103" i="6"/>
  <c r="D135" i="6"/>
  <c r="D146" i="6"/>
  <c r="D162" i="6"/>
  <c r="D178" i="6"/>
  <c r="D194" i="6"/>
  <c r="D141" i="6"/>
  <c r="D157" i="6"/>
  <c r="D173" i="6"/>
  <c r="D189" i="6"/>
  <c r="D119" i="6"/>
  <c r="D152" i="6"/>
  <c r="D168" i="6"/>
  <c r="D184" i="6"/>
  <c r="D200" i="6"/>
  <c r="D147" i="6"/>
  <c r="D163" i="6"/>
  <c r="D179" i="6"/>
  <c r="D195" i="6"/>
  <c r="D142" i="6"/>
  <c r="D158" i="6"/>
  <c r="D174" i="6"/>
  <c r="D190" i="6"/>
  <c r="D138" i="6"/>
  <c r="D153" i="6"/>
  <c r="D169" i="6"/>
  <c r="D185" i="6"/>
  <c r="D148" i="6"/>
  <c r="D164" i="6"/>
  <c r="D180" i="6"/>
  <c r="D143" i="6"/>
  <c r="D159" i="6"/>
  <c r="D175" i="6"/>
  <c r="D191" i="6"/>
  <c r="D134" i="6"/>
  <c r="D154" i="6"/>
  <c r="D170" i="6"/>
  <c r="D186" i="6"/>
  <c r="D149" i="6"/>
  <c r="D165" i="6"/>
  <c r="D181" i="6"/>
  <c r="D197" i="6"/>
  <c r="D144" i="6"/>
  <c r="D160" i="6"/>
  <c r="D176" i="6"/>
  <c r="D192" i="6"/>
  <c r="D116" i="6"/>
  <c r="D155" i="6"/>
  <c r="D132" i="6"/>
  <c r="D150" i="6"/>
  <c r="D166" i="6"/>
  <c r="D182" i="6"/>
  <c r="D198" i="6"/>
  <c r="D87" i="6"/>
  <c r="D145" i="6"/>
  <c r="D161" i="6"/>
  <c r="D177" i="6"/>
  <c r="D193" i="6"/>
  <c r="D140" i="6"/>
  <c r="D156" i="6"/>
  <c r="D172" i="6"/>
  <c r="D188" i="6"/>
  <c r="D171" i="6"/>
  <c r="D201" i="6"/>
  <c r="D187" i="6"/>
  <c r="D196" i="6"/>
  <c r="AD9" i="6"/>
  <c r="AD10" i="6"/>
  <c r="E19" i="6"/>
  <c r="E35" i="6"/>
  <c r="E51" i="6"/>
  <c r="E67" i="6"/>
  <c r="E14" i="6"/>
  <c r="E30" i="6"/>
  <c r="E46" i="6"/>
  <c r="E62" i="6"/>
  <c r="E78" i="6"/>
  <c r="E25" i="6"/>
  <c r="E41" i="6"/>
  <c r="E57" i="6"/>
  <c r="E15" i="6"/>
  <c r="E31" i="6"/>
  <c r="E47" i="6"/>
  <c r="E63" i="6"/>
  <c r="E26" i="6"/>
  <c r="E42" i="6"/>
  <c r="E58" i="6"/>
  <c r="E21" i="6"/>
  <c r="E37" i="6"/>
  <c r="E53" i="6"/>
  <c r="E69" i="6"/>
  <c r="E16" i="6"/>
  <c r="E32" i="6"/>
  <c r="E48" i="6"/>
  <c r="E64" i="6"/>
  <c r="E27" i="6"/>
  <c r="E43" i="6"/>
  <c r="E59" i="6"/>
  <c r="E22" i="6"/>
  <c r="E38" i="6"/>
  <c r="E54" i="6"/>
  <c r="E17" i="6"/>
  <c r="E33" i="6"/>
  <c r="E49" i="6"/>
  <c r="E65" i="6"/>
  <c r="E28" i="6"/>
  <c r="E44" i="6"/>
  <c r="E60" i="6"/>
  <c r="E23" i="6"/>
  <c r="E39" i="6"/>
  <c r="E55" i="6"/>
  <c r="E18" i="6"/>
  <c r="E34" i="6"/>
  <c r="E50" i="6"/>
  <c r="E66" i="6"/>
  <c r="E29" i="6"/>
  <c r="E45" i="6"/>
  <c r="E61" i="6"/>
  <c r="E24" i="6"/>
  <c r="E40" i="6"/>
  <c r="E56" i="6"/>
  <c r="E72" i="6"/>
  <c r="E75" i="6"/>
  <c r="E88" i="6"/>
  <c r="E104" i="6"/>
  <c r="E120" i="6"/>
  <c r="E136" i="6"/>
  <c r="E76" i="6"/>
  <c r="E83" i="6"/>
  <c r="E99" i="6"/>
  <c r="E115" i="6"/>
  <c r="E131" i="6"/>
  <c r="E94" i="6"/>
  <c r="E110" i="6"/>
  <c r="E126" i="6"/>
  <c r="E74" i="6"/>
  <c r="E77" i="6"/>
  <c r="E89" i="6"/>
  <c r="E105" i="6"/>
  <c r="E84" i="6"/>
  <c r="E100" i="6"/>
  <c r="E116" i="6"/>
  <c r="E132" i="6"/>
  <c r="E20" i="6"/>
  <c r="E68" i="6"/>
  <c r="E95" i="6"/>
  <c r="E111" i="6"/>
  <c r="E127" i="6"/>
  <c r="E71" i="6"/>
  <c r="E79" i="6"/>
  <c r="E90" i="6"/>
  <c r="E106" i="6"/>
  <c r="E122" i="6"/>
  <c r="E138" i="6"/>
  <c r="E73" i="6"/>
  <c r="E85" i="6"/>
  <c r="E101" i="6"/>
  <c r="E117" i="6"/>
  <c r="E133" i="6"/>
  <c r="E36" i="6"/>
  <c r="E80" i="6"/>
  <c r="E96" i="6"/>
  <c r="E112" i="6"/>
  <c r="E128" i="6"/>
  <c r="E91" i="6"/>
  <c r="E107" i="6"/>
  <c r="E123" i="6"/>
  <c r="E86" i="6"/>
  <c r="E102" i="6"/>
  <c r="E118" i="6"/>
  <c r="E134" i="6"/>
  <c r="E52" i="6"/>
  <c r="E81" i="6"/>
  <c r="E97" i="6"/>
  <c r="E113" i="6"/>
  <c r="E129" i="6"/>
  <c r="E87" i="6"/>
  <c r="E103" i="6"/>
  <c r="E119" i="6"/>
  <c r="E135" i="6"/>
  <c r="E70" i="6"/>
  <c r="E82" i="6"/>
  <c r="E98" i="6"/>
  <c r="E114" i="6"/>
  <c r="E130" i="6"/>
  <c r="E93" i="6"/>
  <c r="E109" i="6"/>
  <c r="E125" i="6"/>
  <c r="E124" i="6"/>
  <c r="E140" i="6"/>
  <c r="E156" i="6"/>
  <c r="E172" i="6"/>
  <c r="E188" i="6"/>
  <c r="E139" i="6"/>
  <c r="E151" i="6"/>
  <c r="E167" i="6"/>
  <c r="E183" i="6"/>
  <c r="E199" i="6"/>
  <c r="E146" i="6"/>
  <c r="E162" i="6"/>
  <c r="E178" i="6"/>
  <c r="E194" i="6"/>
  <c r="E141" i="6"/>
  <c r="E157" i="6"/>
  <c r="E173" i="6"/>
  <c r="E189" i="6"/>
  <c r="E92" i="6"/>
  <c r="E152" i="6"/>
  <c r="E168" i="6"/>
  <c r="E184" i="6"/>
  <c r="E147" i="6"/>
  <c r="E163" i="6"/>
  <c r="E179" i="6"/>
  <c r="E195" i="6"/>
  <c r="E142" i="6"/>
  <c r="E158" i="6"/>
  <c r="E174" i="6"/>
  <c r="E190" i="6"/>
  <c r="E153" i="6"/>
  <c r="E169" i="6"/>
  <c r="E185" i="6"/>
  <c r="E121" i="6"/>
  <c r="E148" i="6"/>
  <c r="E164" i="6"/>
  <c r="E180" i="6"/>
  <c r="E196" i="6"/>
  <c r="E108" i="6"/>
  <c r="E143" i="6"/>
  <c r="E159" i="6"/>
  <c r="E175" i="6"/>
  <c r="E191" i="6"/>
  <c r="E154" i="6"/>
  <c r="E170" i="6"/>
  <c r="E186" i="6"/>
  <c r="E149" i="6"/>
  <c r="E165" i="6"/>
  <c r="E181" i="6"/>
  <c r="E197" i="6"/>
  <c r="E144" i="6"/>
  <c r="E160" i="6"/>
  <c r="E155" i="6"/>
  <c r="E171" i="6"/>
  <c r="E187" i="6"/>
  <c r="E137" i="6"/>
  <c r="E150" i="6"/>
  <c r="E166" i="6"/>
  <c r="E182" i="6"/>
  <c r="E198" i="6"/>
  <c r="E145" i="6"/>
  <c r="E161" i="6"/>
  <c r="E177" i="6"/>
  <c r="E193" i="6"/>
  <c r="E176" i="6"/>
  <c r="E200" i="6"/>
  <c r="E192" i="6"/>
  <c r="E201" i="6"/>
  <c r="R9" i="6"/>
  <c r="R10" i="6"/>
  <c r="R11" i="6"/>
  <c r="D9" i="6"/>
  <c r="D8" i="6"/>
  <c r="Y26" i="6"/>
  <c r="Y42" i="6"/>
  <c r="Y58" i="6"/>
  <c r="Y74" i="6"/>
  <c r="Y21" i="6"/>
  <c r="Y37" i="6"/>
  <c r="Y53" i="6"/>
  <c r="Y69" i="6"/>
  <c r="Y32" i="6"/>
  <c r="Y48" i="6"/>
  <c r="Y64" i="6"/>
  <c r="Y22" i="6"/>
  <c r="Y38" i="6"/>
  <c r="Y54" i="6"/>
  <c r="Y17" i="6"/>
  <c r="Y33" i="6"/>
  <c r="Y49" i="6"/>
  <c r="Y65" i="6"/>
  <c r="Y28" i="6"/>
  <c r="Y44" i="6"/>
  <c r="Y60" i="6"/>
  <c r="Y23" i="6"/>
  <c r="Y39" i="6"/>
  <c r="Y55" i="6"/>
  <c r="Y71" i="6"/>
  <c r="Y18" i="6"/>
  <c r="Y34" i="6"/>
  <c r="Y50" i="6"/>
  <c r="Y66" i="6"/>
  <c r="Y29" i="6"/>
  <c r="Y45" i="6"/>
  <c r="Y61" i="6"/>
  <c r="Y24" i="6"/>
  <c r="Y40" i="6"/>
  <c r="Y56" i="6"/>
  <c r="Y72" i="6"/>
  <c r="Y19" i="6"/>
  <c r="Y35" i="6"/>
  <c r="Y51" i="6"/>
  <c r="Y67" i="6"/>
  <c r="Y30" i="6"/>
  <c r="Y46" i="6"/>
  <c r="Y62" i="6"/>
  <c r="Y25" i="6"/>
  <c r="Y41" i="6"/>
  <c r="Y57" i="6"/>
  <c r="Y73" i="6"/>
  <c r="Y20" i="6"/>
  <c r="Y36" i="6"/>
  <c r="Y52" i="6"/>
  <c r="Y68" i="6"/>
  <c r="Y31" i="6"/>
  <c r="Y47" i="6"/>
  <c r="Y63" i="6"/>
  <c r="Y95" i="6"/>
  <c r="Y111" i="6"/>
  <c r="Y127" i="6"/>
  <c r="Y43" i="6"/>
  <c r="Y79" i="6"/>
  <c r="Y90" i="6"/>
  <c r="Y106" i="6"/>
  <c r="Y122" i="6"/>
  <c r="Y138" i="6"/>
  <c r="Y70" i="6"/>
  <c r="Y85" i="6"/>
  <c r="Y101" i="6"/>
  <c r="Y117" i="6"/>
  <c r="Y133" i="6"/>
  <c r="Y80" i="6"/>
  <c r="Y96" i="6"/>
  <c r="Y59" i="6"/>
  <c r="Y91" i="6"/>
  <c r="Y107" i="6"/>
  <c r="Y123" i="6"/>
  <c r="Y139" i="6"/>
  <c r="Y86" i="6"/>
  <c r="Y102" i="6"/>
  <c r="Y118" i="6"/>
  <c r="Y81" i="6"/>
  <c r="Y97" i="6"/>
  <c r="Y113" i="6"/>
  <c r="Y129" i="6"/>
  <c r="Y92" i="6"/>
  <c r="Y108" i="6"/>
  <c r="Y124" i="6"/>
  <c r="Y87" i="6"/>
  <c r="Y103" i="6"/>
  <c r="Y119" i="6"/>
  <c r="Y135" i="6"/>
  <c r="Y75" i="6"/>
  <c r="Y82" i="6"/>
  <c r="Y98" i="6"/>
  <c r="Y114" i="6"/>
  <c r="Y93" i="6"/>
  <c r="Y109" i="6"/>
  <c r="Y125" i="6"/>
  <c r="Y76" i="6"/>
  <c r="Y88" i="6"/>
  <c r="Y104" i="6"/>
  <c r="Y120" i="6"/>
  <c r="Y77" i="6"/>
  <c r="Y94" i="6"/>
  <c r="Y110" i="6"/>
  <c r="Y126" i="6"/>
  <c r="Y27" i="6"/>
  <c r="Y89" i="6"/>
  <c r="Y105" i="6"/>
  <c r="Y121" i="6"/>
  <c r="Y137" i="6"/>
  <c r="Y78" i="6"/>
  <c r="Y84" i="6"/>
  <c r="Y100" i="6"/>
  <c r="Y116" i="6"/>
  <c r="Y132" i="6"/>
  <c r="Y128" i="6"/>
  <c r="Y147" i="6"/>
  <c r="Y163" i="6"/>
  <c r="Y179" i="6"/>
  <c r="Y195" i="6"/>
  <c r="Y142" i="6"/>
  <c r="Y158" i="6"/>
  <c r="Y174" i="6"/>
  <c r="Y190" i="6"/>
  <c r="Y153" i="6"/>
  <c r="Y169" i="6"/>
  <c r="Y185" i="6"/>
  <c r="Y148" i="6"/>
  <c r="Y164" i="6"/>
  <c r="Y180" i="6"/>
  <c r="Y196" i="6"/>
  <c r="Y112" i="6"/>
  <c r="Y143" i="6"/>
  <c r="Y159" i="6"/>
  <c r="Y175" i="6"/>
  <c r="Y191" i="6"/>
  <c r="Y154" i="6"/>
  <c r="Y170" i="6"/>
  <c r="Y186" i="6"/>
  <c r="Y149" i="6"/>
  <c r="Y165" i="6"/>
  <c r="Y181" i="6"/>
  <c r="Y197" i="6"/>
  <c r="Y130" i="6"/>
  <c r="Y144" i="6"/>
  <c r="Y160" i="6"/>
  <c r="Y176" i="6"/>
  <c r="Y155" i="6"/>
  <c r="Y171" i="6"/>
  <c r="Y187" i="6"/>
  <c r="Y150" i="6"/>
  <c r="Y166" i="6"/>
  <c r="Y182" i="6"/>
  <c r="Y198" i="6"/>
  <c r="Y83" i="6"/>
  <c r="Y145" i="6"/>
  <c r="Y161" i="6"/>
  <c r="Y177" i="6"/>
  <c r="Y193" i="6"/>
  <c r="Y115" i="6"/>
  <c r="Y140" i="6"/>
  <c r="Y156" i="6"/>
  <c r="Y172" i="6"/>
  <c r="Y188" i="6"/>
  <c r="Y131" i="6"/>
  <c r="Y136" i="6"/>
  <c r="Y151" i="6"/>
  <c r="Y167" i="6"/>
  <c r="Y99" i="6"/>
  <c r="Y134" i="6"/>
  <c r="Y146" i="6"/>
  <c r="Y162" i="6"/>
  <c r="Y178" i="6"/>
  <c r="Y194" i="6"/>
  <c r="Y141" i="6"/>
  <c r="Y157" i="6"/>
  <c r="Y173" i="6"/>
  <c r="Y189" i="6"/>
  <c r="Y152" i="6"/>
  <c r="Y168" i="6"/>
  <c r="Y184" i="6"/>
  <c r="Y200" i="6"/>
  <c r="Y201" i="6"/>
  <c r="Y192" i="6"/>
  <c r="Y183" i="6"/>
  <c r="Y199" i="6"/>
  <c r="F24" i="6"/>
  <c r="F40" i="6"/>
  <c r="F56" i="6"/>
  <c r="F72" i="6"/>
  <c r="F19" i="6"/>
  <c r="F35" i="6"/>
  <c r="F51" i="6"/>
  <c r="F67" i="6"/>
  <c r="F14" i="6"/>
  <c r="F30" i="6"/>
  <c r="F46" i="6"/>
  <c r="F62" i="6"/>
  <c r="F20" i="6"/>
  <c r="F36" i="6"/>
  <c r="F52" i="6"/>
  <c r="F68" i="6"/>
  <c r="F15" i="6"/>
  <c r="F31" i="6"/>
  <c r="F47" i="6"/>
  <c r="F63" i="6"/>
  <c r="F10" i="6"/>
  <c r="F26" i="6"/>
  <c r="F42" i="6"/>
  <c r="F58" i="6"/>
  <c r="F21" i="6"/>
  <c r="F37" i="6"/>
  <c r="F53" i="6"/>
  <c r="F69" i="6"/>
  <c r="F16" i="6"/>
  <c r="F32" i="6"/>
  <c r="F48" i="6"/>
  <c r="F64" i="6"/>
  <c r="F11" i="6"/>
  <c r="F27" i="6"/>
  <c r="F43" i="6"/>
  <c r="F59" i="6"/>
  <c r="F22" i="6"/>
  <c r="F38" i="6"/>
  <c r="F54" i="6"/>
  <c r="F70" i="6"/>
  <c r="F17" i="6"/>
  <c r="F33" i="6"/>
  <c r="F49" i="6"/>
  <c r="F65" i="6"/>
  <c r="F12" i="6"/>
  <c r="F28" i="6"/>
  <c r="F44" i="6"/>
  <c r="F60" i="6"/>
  <c r="F23" i="6"/>
  <c r="F39" i="6"/>
  <c r="F55" i="6"/>
  <c r="F71" i="6"/>
  <c r="F18" i="6"/>
  <c r="F34" i="6"/>
  <c r="F50" i="6"/>
  <c r="F66" i="6"/>
  <c r="F13" i="6"/>
  <c r="F29" i="6"/>
  <c r="F45" i="6"/>
  <c r="F61" i="6"/>
  <c r="F93" i="6"/>
  <c r="F109" i="6"/>
  <c r="F125" i="6"/>
  <c r="F57" i="6"/>
  <c r="F75" i="6"/>
  <c r="F88" i="6"/>
  <c r="F104" i="6"/>
  <c r="F120" i="6"/>
  <c r="F136" i="6"/>
  <c r="F76" i="6"/>
  <c r="F83" i="6"/>
  <c r="F99" i="6"/>
  <c r="F115" i="6"/>
  <c r="F131" i="6"/>
  <c r="F94" i="6"/>
  <c r="F74" i="6"/>
  <c r="F77" i="6"/>
  <c r="F89" i="6"/>
  <c r="F105" i="6"/>
  <c r="F121" i="6"/>
  <c r="F137" i="6"/>
  <c r="F78" i="6"/>
  <c r="F84" i="6"/>
  <c r="F100" i="6"/>
  <c r="F116" i="6"/>
  <c r="F95" i="6"/>
  <c r="F111" i="6"/>
  <c r="F127" i="6"/>
  <c r="F79" i="6"/>
  <c r="F90" i="6"/>
  <c r="F106" i="6"/>
  <c r="F122" i="6"/>
  <c r="F9" i="6"/>
  <c r="F73" i="6"/>
  <c r="F85" i="6"/>
  <c r="F101" i="6"/>
  <c r="F117" i="6"/>
  <c r="F133" i="6"/>
  <c r="F80" i="6"/>
  <c r="F96" i="6"/>
  <c r="F112" i="6"/>
  <c r="F91" i="6"/>
  <c r="F107" i="6"/>
  <c r="F123" i="6"/>
  <c r="F139" i="6"/>
  <c r="F25" i="6"/>
  <c r="F86" i="6"/>
  <c r="F102" i="6"/>
  <c r="F118" i="6"/>
  <c r="F92" i="6"/>
  <c r="F108" i="6"/>
  <c r="F124" i="6"/>
  <c r="F41" i="6"/>
  <c r="F87" i="6"/>
  <c r="F103" i="6"/>
  <c r="F119" i="6"/>
  <c r="F135" i="6"/>
  <c r="F82" i="6"/>
  <c r="F98" i="6"/>
  <c r="F114" i="6"/>
  <c r="F130" i="6"/>
  <c r="F145" i="6"/>
  <c r="F161" i="6"/>
  <c r="F177" i="6"/>
  <c r="F193" i="6"/>
  <c r="F140" i="6"/>
  <c r="F156" i="6"/>
  <c r="F172" i="6"/>
  <c r="F188" i="6"/>
  <c r="F129" i="6"/>
  <c r="F151" i="6"/>
  <c r="F167" i="6"/>
  <c r="F183" i="6"/>
  <c r="F199" i="6"/>
  <c r="F146" i="6"/>
  <c r="F162" i="6"/>
  <c r="F178" i="6"/>
  <c r="F194" i="6"/>
  <c r="F141" i="6"/>
  <c r="F157" i="6"/>
  <c r="F173" i="6"/>
  <c r="F189" i="6"/>
  <c r="F113" i="6"/>
  <c r="F152" i="6"/>
  <c r="F168" i="6"/>
  <c r="F184" i="6"/>
  <c r="F147" i="6"/>
  <c r="F163" i="6"/>
  <c r="F179" i="6"/>
  <c r="F195" i="6"/>
  <c r="F81" i="6"/>
  <c r="F126" i="6"/>
  <c r="F138" i="6"/>
  <c r="F142" i="6"/>
  <c r="F158" i="6"/>
  <c r="F174" i="6"/>
  <c r="F153" i="6"/>
  <c r="F169" i="6"/>
  <c r="F185" i="6"/>
  <c r="F201" i="6"/>
  <c r="F148" i="6"/>
  <c r="F164" i="6"/>
  <c r="F180" i="6"/>
  <c r="F196" i="6"/>
  <c r="F97" i="6"/>
  <c r="F134" i="6"/>
  <c r="F143" i="6"/>
  <c r="F159" i="6"/>
  <c r="F175" i="6"/>
  <c r="F191" i="6"/>
  <c r="F154" i="6"/>
  <c r="F170" i="6"/>
  <c r="F186" i="6"/>
  <c r="F149" i="6"/>
  <c r="F165" i="6"/>
  <c r="F144" i="6"/>
  <c r="F160" i="6"/>
  <c r="F176" i="6"/>
  <c r="F192" i="6"/>
  <c r="F110" i="6"/>
  <c r="F128" i="6"/>
  <c r="F132" i="6"/>
  <c r="F155" i="6"/>
  <c r="F171" i="6"/>
  <c r="F187" i="6"/>
  <c r="F150" i="6"/>
  <c r="F166" i="6"/>
  <c r="F182" i="6"/>
  <c r="F198" i="6"/>
  <c r="F190" i="6"/>
  <c r="F200" i="6"/>
  <c r="F197" i="6"/>
  <c r="F181" i="6"/>
  <c r="AD14" i="6"/>
  <c r="AD30" i="6"/>
  <c r="AD46" i="6"/>
  <c r="AD62" i="6"/>
  <c r="AD25" i="6"/>
  <c r="AD41" i="6"/>
  <c r="AD57" i="6"/>
  <c r="AD73" i="6"/>
  <c r="AD20" i="6"/>
  <c r="AD36" i="6"/>
  <c r="AD52" i="6"/>
  <c r="AD68" i="6"/>
  <c r="AD26" i="6"/>
  <c r="AD42" i="6"/>
  <c r="AD58" i="6"/>
  <c r="AD21" i="6"/>
  <c r="AD37" i="6"/>
  <c r="AD53" i="6"/>
  <c r="AD16" i="6"/>
  <c r="AD32" i="6"/>
  <c r="AD48" i="6"/>
  <c r="AD64" i="6"/>
  <c r="AD11" i="6"/>
  <c r="AD27" i="6"/>
  <c r="AD43" i="6"/>
  <c r="AD59" i="6"/>
  <c r="AD22" i="6"/>
  <c r="AD38" i="6"/>
  <c r="AD54" i="6"/>
  <c r="AD17" i="6"/>
  <c r="AD33" i="6"/>
  <c r="AD49" i="6"/>
  <c r="AD12" i="6"/>
  <c r="AD28" i="6"/>
  <c r="AD44" i="6"/>
  <c r="AD60" i="6"/>
  <c r="AD23" i="6"/>
  <c r="AD39" i="6"/>
  <c r="AD55" i="6"/>
  <c r="AD71" i="6"/>
  <c r="AD18" i="6"/>
  <c r="AD34" i="6"/>
  <c r="AD50" i="6"/>
  <c r="AD13" i="6"/>
  <c r="AD29" i="6"/>
  <c r="AD45" i="6"/>
  <c r="AD61" i="6"/>
  <c r="AD24" i="6"/>
  <c r="AD40" i="6"/>
  <c r="AD56" i="6"/>
  <c r="AD19" i="6"/>
  <c r="AD35" i="6"/>
  <c r="AD51" i="6"/>
  <c r="AD67" i="6"/>
  <c r="AD15" i="6"/>
  <c r="AD83" i="6"/>
  <c r="AD99" i="6"/>
  <c r="AD115" i="6"/>
  <c r="AD131" i="6"/>
  <c r="AD66" i="6"/>
  <c r="AD77" i="6"/>
  <c r="AD94" i="6"/>
  <c r="AD110" i="6"/>
  <c r="AD126" i="6"/>
  <c r="AD89" i="6"/>
  <c r="AD105" i="6"/>
  <c r="AD121" i="6"/>
  <c r="AD31" i="6"/>
  <c r="AD78" i="6"/>
  <c r="AD84" i="6"/>
  <c r="AD100" i="6"/>
  <c r="AD70" i="6"/>
  <c r="AD79" i="6"/>
  <c r="AD95" i="6"/>
  <c r="AD111" i="6"/>
  <c r="AD127" i="6"/>
  <c r="AD90" i="6"/>
  <c r="AD106" i="6"/>
  <c r="AD122" i="6"/>
  <c r="AD47" i="6"/>
  <c r="AD72" i="6"/>
  <c r="AD85" i="6"/>
  <c r="AD101" i="6"/>
  <c r="AD117" i="6"/>
  <c r="AD133" i="6"/>
  <c r="AD80" i="6"/>
  <c r="AD96" i="6"/>
  <c r="AD112" i="6"/>
  <c r="AD128" i="6"/>
  <c r="AD91" i="6"/>
  <c r="AD107" i="6"/>
  <c r="AD123" i="6"/>
  <c r="AD63" i="6"/>
  <c r="AD86" i="6"/>
  <c r="AD102" i="6"/>
  <c r="AD118" i="6"/>
  <c r="AD81" i="6"/>
  <c r="AD97" i="6"/>
  <c r="AD113" i="6"/>
  <c r="AD129" i="6"/>
  <c r="AD92" i="6"/>
  <c r="AD108" i="6"/>
  <c r="AD124" i="6"/>
  <c r="AD65" i="6"/>
  <c r="AD69" i="6"/>
  <c r="AD75" i="6"/>
  <c r="AD82" i="6"/>
  <c r="AD98" i="6"/>
  <c r="AD114" i="6"/>
  <c r="AD130" i="6"/>
  <c r="AD93" i="6"/>
  <c r="AD109" i="6"/>
  <c r="AD125" i="6"/>
  <c r="AD76" i="6"/>
  <c r="AD88" i="6"/>
  <c r="AD104" i="6"/>
  <c r="AD120" i="6"/>
  <c r="AD136" i="6"/>
  <c r="AD74" i="6"/>
  <c r="AD151" i="6"/>
  <c r="AD167" i="6"/>
  <c r="AD183" i="6"/>
  <c r="AD199" i="6"/>
  <c r="AD132" i="6"/>
  <c r="AD146" i="6"/>
  <c r="AD162" i="6"/>
  <c r="AD178" i="6"/>
  <c r="AD194" i="6"/>
  <c r="AD103" i="6"/>
  <c r="AD141" i="6"/>
  <c r="AD157" i="6"/>
  <c r="AD173" i="6"/>
  <c r="AD189" i="6"/>
  <c r="AD152" i="6"/>
  <c r="AD168" i="6"/>
  <c r="AD184" i="6"/>
  <c r="AD200" i="6"/>
  <c r="AD137" i="6"/>
  <c r="AD147" i="6"/>
  <c r="AD163" i="6"/>
  <c r="AD179" i="6"/>
  <c r="AD195" i="6"/>
  <c r="AD119" i="6"/>
  <c r="AD142" i="6"/>
  <c r="AD158" i="6"/>
  <c r="AD174" i="6"/>
  <c r="AD190" i="6"/>
  <c r="AD153" i="6"/>
  <c r="AD169" i="6"/>
  <c r="AD185" i="6"/>
  <c r="AD135" i="6"/>
  <c r="AD148" i="6"/>
  <c r="AD164" i="6"/>
  <c r="AD180" i="6"/>
  <c r="AD143" i="6"/>
  <c r="AD159" i="6"/>
  <c r="AD175" i="6"/>
  <c r="AD191" i="6"/>
  <c r="AD154" i="6"/>
  <c r="AD170" i="6"/>
  <c r="AD186" i="6"/>
  <c r="AD149" i="6"/>
  <c r="AD165" i="6"/>
  <c r="AD181" i="6"/>
  <c r="AD197" i="6"/>
  <c r="AD144" i="6"/>
  <c r="AD160" i="6"/>
  <c r="AD176" i="6"/>
  <c r="AD192" i="6"/>
  <c r="AD139" i="6"/>
  <c r="AD155" i="6"/>
  <c r="AD150" i="6"/>
  <c r="AD166" i="6"/>
  <c r="AD182" i="6"/>
  <c r="AD198" i="6"/>
  <c r="AD116" i="6"/>
  <c r="AD145" i="6"/>
  <c r="AD161" i="6"/>
  <c r="AD177" i="6"/>
  <c r="AD193" i="6"/>
  <c r="AD87" i="6"/>
  <c r="AD134" i="6"/>
  <c r="AD138" i="6"/>
  <c r="AD140" i="6"/>
  <c r="AD156" i="6"/>
  <c r="AD172" i="6"/>
  <c r="AD188" i="6"/>
  <c r="AD196" i="6"/>
  <c r="AD201" i="6"/>
  <c r="AD171" i="6"/>
  <c r="AD187" i="6"/>
  <c r="E9" i="6"/>
  <c r="E10" i="6"/>
  <c r="E11" i="6"/>
  <c r="E12" i="6"/>
  <c r="E13" i="6"/>
  <c r="E8" i="6"/>
  <c r="Q12" i="6"/>
  <c r="Q28" i="6"/>
  <c r="Q44" i="6"/>
  <c r="Q60" i="6"/>
  <c r="Q23" i="6"/>
  <c r="Q39" i="6"/>
  <c r="Q55" i="6"/>
  <c r="Q71" i="6"/>
  <c r="Q18" i="6"/>
  <c r="Q34" i="6"/>
  <c r="Q50" i="6"/>
  <c r="Q66" i="6"/>
  <c r="Q8" i="6"/>
  <c r="Q24" i="6"/>
  <c r="Q40" i="6"/>
  <c r="Q56" i="6"/>
  <c r="Q19" i="6"/>
  <c r="Q35" i="6"/>
  <c r="Q51" i="6"/>
  <c r="Q67" i="6"/>
  <c r="Q14" i="6"/>
  <c r="Q30" i="6"/>
  <c r="Q46" i="6"/>
  <c r="Q62" i="6"/>
  <c r="Q9" i="6"/>
  <c r="Q25" i="6"/>
  <c r="Q41" i="6"/>
  <c r="Q57" i="6"/>
  <c r="Q73" i="6"/>
  <c r="Q20" i="6"/>
  <c r="Q36" i="6"/>
  <c r="Q52" i="6"/>
  <c r="Q68" i="6"/>
  <c r="Q15" i="6"/>
  <c r="Q31" i="6"/>
  <c r="Q47" i="6"/>
  <c r="Q63" i="6"/>
  <c r="Q10" i="6"/>
  <c r="Q26" i="6"/>
  <c r="Q42" i="6"/>
  <c r="Q58" i="6"/>
  <c r="Q74" i="6"/>
  <c r="Q21" i="6"/>
  <c r="Q37" i="6"/>
  <c r="Q53" i="6"/>
  <c r="Q69" i="6"/>
  <c r="Q16" i="6"/>
  <c r="Q32" i="6"/>
  <c r="Q48" i="6"/>
  <c r="Q64" i="6"/>
  <c r="Q11" i="6"/>
  <c r="Q27" i="6"/>
  <c r="Q43" i="6"/>
  <c r="Q59" i="6"/>
  <c r="Q75" i="6"/>
  <c r="Q22" i="6"/>
  <c r="Q38" i="6"/>
  <c r="Q54" i="6"/>
  <c r="Q70" i="6"/>
  <c r="Q17" i="6"/>
  <c r="Q33" i="6"/>
  <c r="Q49" i="6"/>
  <c r="Q65" i="6"/>
  <c r="Q29" i="6"/>
  <c r="Q81" i="6"/>
  <c r="Q97" i="6"/>
  <c r="Q113" i="6"/>
  <c r="Q129" i="6"/>
  <c r="Q72" i="6"/>
  <c r="Q92" i="6"/>
  <c r="Q108" i="6"/>
  <c r="Q124" i="6"/>
  <c r="Q87" i="6"/>
  <c r="Q103" i="6"/>
  <c r="Q119" i="6"/>
  <c r="Q135" i="6"/>
  <c r="Q45" i="6"/>
  <c r="Q82" i="6"/>
  <c r="Q98" i="6"/>
  <c r="Q93" i="6"/>
  <c r="Q109" i="6"/>
  <c r="Q125" i="6"/>
  <c r="Q88" i="6"/>
  <c r="Q104" i="6"/>
  <c r="Q120" i="6"/>
  <c r="Q61" i="6"/>
  <c r="Q76" i="6"/>
  <c r="Q83" i="6"/>
  <c r="Q99" i="6"/>
  <c r="Q115" i="6"/>
  <c r="Q131" i="6"/>
  <c r="Q77" i="6"/>
  <c r="Q94" i="6"/>
  <c r="Q110" i="6"/>
  <c r="Q126" i="6"/>
  <c r="Q89" i="6"/>
  <c r="Q105" i="6"/>
  <c r="Q121" i="6"/>
  <c r="Q137" i="6"/>
  <c r="Q78" i="6"/>
  <c r="Q84" i="6"/>
  <c r="Q100" i="6"/>
  <c r="Q116" i="6"/>
  <c r="Q95" i="6"/>
  <c r="Q111" i="6"/>
  <c r="Q127" i="6"/>
  <c r="Q79" i="6"/>
  <c r="Q90" i="6"/>
  <c r="Q106" i="6"/>
  <c r="Q122" i="6"/>
  <c r="Q13" i="6"/>
  <c r="Q80" i="6"/>
  <c r="Q96" i="6"/>
  <c r="Q112" i="6"/>
  <c r="Q128" i="6"/>
  <c r="Q91" i="6"/>
  <c r="Q107" i="6"/>
  <c r="Q123" i="6"/>
  <c r="Q86" i="6"/>
  <c r="Q102" i="6"/>
  <c r="Q118" i="6"/>
  <c r="Q134" i="6"/>
  <c r="Q149" i="6"/>
  <c r="Q165" i="6"/>
  <c r="Q181" i="6"/>
  <c r="Q197" i="6"/>
  <c r="Q144" i="6"/>
  <c r="Q160" i="6"/>
  <c r="Q176" i="6"/>
  <c r="Q192" i="6"/>
  <c r="Q155" i="6"/>
  <c r="Q171" i="6"/>
  <c r="Q187" i="6"/>
  <c r="Q150" i="6"/>
  <c r="Q166" i="6"/>
  <c r="Q182" i="6"/>
  <c r="Q198" i="6"/>
  <c r="Q145" i="6"/>
  <c r="Q161" i="6"/>
  <c r="Q177" i="6"/>
  <c r="Q193" i="6"/>
  <c r="Q133" i="6"/>
  <c r="Q139" i="6"/>
  <c r="Q140" i="6"/>
  <c r="Q156" i="6"/>
  <c r="Q172" i="6"/>
  <c r="Q188" i="6"/>
  <c r="Q130" i="6"/>
  <c r="Q151" i="6"/>
  <c r="Q167" i="6"/>
  <c r="Q183" i="6"/>
  <c r="Q199" i="6"/>
  <c r="Q146" i="6"/>
  <c r="Q162" i="6"/>
  <c r="Q178" i="6"/>
  <c r="Q114" i="6"/>
  <c r="Q141" i="6"/>
  <c r="Q157" i="6"/>
  <c r="Q173" i="6"/>
  <c r="Q189" i="6"/>
  <c r="Q136" i="6"/>
  <c r="Q138" i="6"/>
  <c r="Q152" i="6"/>
  <c r="Q168" i="6"/>
  <c r="Q184" i="6"/>
  <c r="Q200" i="6"/>
  <c r="Q147" i="6"/>
  <c r="Q163" i="6"/>
  <c r="Q179" i="6"/>
  <c r="Q195" i="6"/>
  <c r="Q142" i="6"/>
  <c r="Q158" i="6"/>
  <c r="Q174" i="6"/>
  <c r="Q190" i="6"/>
  <c r="Q85" i="6"/>
  <c r="Q153" i="6"/>
  <c r="Q148" i="6"/>
  <c r="Q164" i="6"/>
  <c r="Q180" i="6"/>
  <c r="Q196" i="6"/>
  <c r="Q143" i="6"/>
  <c r="Q159" i="6"/>
  <c r="Q175" i="6"/>
  <c r="Q191" i="6"/>
  <c r="Q101" i="6"/>
  <c r="Q117" i="6"/>
  <c r="Q132" i="6"/>
  <c r="Q154" i="6"/>
  <c r="Q170" i="6"/>
  <c r="Q186" i="6"/>
  <c r="Q201" i="6"/>
  <c r="Q169" i="6"/>
  <c r="Q185" i="6"/>
  <c r="Q194" i="6"/>
  <c r="X21" i="6"/>
  <c r="X37" i="6"/>
  <c r="X53" i="6"/>
  <c r="X69" i="6"/>
  <c r="X16" i="6"/>
  <c r="X32" i="6"/>
  <c r="X48" i="6"/>
  <c r="X64" i="6"/>
  <c r="X27" i="6"/>
  <c r="X43" i="6"/>
  <c r="X59" i="6"/>
  <c r="X17" i="6"/>
  <c r="X33" i="6"/>
  <c r="X49" i="6"/>
  <c r="X65" i="6"/>
  <c r="X28" i="6"/>
  <c r="X44" i="6"/>
  <c r="X60" i="6"/>
  <c r="X23" i="6"/>
  <c r="X39" i="6"/>
  <c r="X55" i="6"/>
  <c r="X71" i="6"/>
  <c r="X18" i="6"/>
  <c r="X34" i="6"/>
  <c r="X50" i="6"/>
  <c r="X66" i="6"/>
  <c r="X13" i="6"/>
  <c r="X29" i="6"/>
  <c r="X45" i="6"/>
  <c r="X61" i="6"/>
  <c r="X24" i="6"/>
  <c r="X40" i="6"/>
  <c r="X56" i="6"/>
  <c r="X19" i="6"/>
  <c r="X35" i="6"/>
  <c r="X51" i="6"/>
  <c r="X67" i="6"/>
  <c r="X14" i="6"/>
  <c r="X30" i="6"/>
  <c r="X46" i="6"/>
  <c r="X62" i="6"/>
  <c r="X25" i="6"/>
  <c r="X41" i="6"/>
  <c r="X57" i="6"/>
  <c r="X20" i="6"/>
  <c r="X36" i="6"/>
  <c r="X52" i="6"/>
  <c r="X68" i="6"/>
  <c r="X15" i="6"/>
  <c r="X31" i="6"/>
  <c r="X47" i="6"/>
  <c r="X63" i="6"/>
  <c r="X26" i="6"/>
  <c r="X42" i="6"/>
  <c r="X58" i="6"/>
  <c r="X79" i="6"/>
  <c r="X90" i="6"/>
  <c r="X106" i="6"/>
  <c r="X122" i="6"/>
  <c r="X138" i="6"/>
  <c r="X70" i="6"/>
  <c r="X85" i="6"/>
  <c r="X101" i="6"/>
  <c r="X117" i="6"/>
  <c r="X133" i="6"/>
  <c r="X80" i="6"/>
  <c r="X96" i="6"/>
  <c r="X112" i="6"/>
  <c r="X128" i="6"/>
  <c r="X91" i="6"/>
  <c r="X72" i="6"/>
  <c r="X86" i="6"/>
  <c r="X102" i="6"/>
  <c r="X118" i="6"/>
  <c r="X134" i="6"/>
  <c r="X81" i="6"/>
  <c r="X97" i="6"/>
  <c r="X113" i="6"/>
  <c r="X129" i="6"/>
  <c r="X92" i="6"/>
  <c r="X108" i="6"/>
  <c r="X124" i="6"/>
  <c r="X87" i="6"/>
  <c r="X103" i="6"/>
  <c r="X119" i="6"/>
  <c r="X22" i="6"/>
  <c r="X75" i="6"/>
  <c r="X82" i="6"/>
  <c r="X98" i="6"/>
  <c r="X114" i="6"/>
  <c r="X130" i="6"/>
  <c r="X74" i="6"/>
  <c r="X93" i="6"/>
  <c r="X109" i="6"/>
  <c r="X76" i="6"/>
  <c r="X88" i="6"/>
  <c r="X104" i="6"/>
  <c r="X120" i="6"/>
  <c r="X136" i="6"/>
  <c r="X38" i="6"/>
  <c r="X83" i="6"/>
  <c r="X99" i="6"/>
  <c r="X115" i="6"/>
  <c r="X131" i="6"/>
  <c r="X89" i="6"/>
  <c r="X105" i="6"/>
  <c r="X121" i="6"/>
  <c r="X137" i="6"/>
  <c r="X54" i="6"/>
  <c r="X73" i="6"/>
  <c r="X78" i="6"/>
  <c r="X84" i="6"/>
  <c r="X100" i="6"/>
  <c r="X116" i="6"/>
  <c r="X132" i="6"/>
  <c r="X95" i="6"/>
  <c r="X111" i="6"/>
  <c r="X127" i="6"/>
  <c r="X142" i="6"/>
  <c r="X158" i="6"/>
  <c r="X174" i="6"/>
  <c r="X190" i="6"/>
  <c r="X153" i="6"/>
  <c r="X169" i="6"/>
  <c r="X185" i="6"/>
  <c r="X201" i="6"/>
  <c r="X148" i="6"/>
  <c r="X164" i="6"/>
  <c r="X180" i="6"/>
  <c r="X196" i="6"/>
  <c r="X77" i="6"/>
  <c r="X143" i="6"/>
  <c r="X159" i="6"/>
  <c r="X175" i="6"/>
  <c r="X191" i="6"/>
  <c r="X135" i="6"/>
  <c r="X154" i="6"/>
  <c r="X170" i="6"/>
  <c r="X186" i="6"/>
  <c r="X125" i="6"/>
  <c r="X149" i="6"/>
  <c r="X165" i="6"/>
  <c r="X181" i="6"/>
  <c r="X197" i="6"/>
  <c r="X144" i="6"/>
  <c r="X160" i="6"/>
  <c r="X176" i="6"/>
  <c r="X192" i="6"/>
  <c r="X94" i="6"/>
  <c r="X155" i="6"/>
  <c r="X171" i="6"/>
  <c r="X187" i="6"/>
  <c r="X107" i="6"/>
  <c r="X150" i="6"/>
  <c r="X166" i="6"/>
  <c r="X182" i="6"/>
  <c r="X198" i="6"/>
  <c r="X126" i="6"/>
  <c r="X139" i="6"/>
  <c r="X145" i="6"/>
  <c r="X161" i="6"/>
  <c r="X177" i="6"/>
  <c r="X193" i="6"/>
  <c r="X140" i="6"/>
  <c r="X156" i="6"/>
  <c r="X172" i="6"/>
  <c r="X188" i="6"/>
  <c r="X151" i="6"/>
  <c r="X167" i="6"/>
  <c r="X183" i="6"/>
  <c r="X146" i="6"/>
  <c r="X162" i="6"/>
  <c r="X141" i="6"/>
  <c r="X157" i="6"/>
  <c r="X173" i="6"/>
  <c r="X189" i="6"/>
  <c r="X123" i="6"/>
  <c r="X152" i="6"/>
  <c r="X168" i="6"/>
  <c r="X184" i="6"/>
  <c r="X110" i="6"/>
  <c r="X147" i="6"/>
  <c r="X163" i="6"/>
  <c r="X179" i="6"/>
  <c r="X195" i="6"/>
  <c r="X178" i="6"/>
  <c r="X200" i="6"/>
  <c r="X194" i="6"/>
  <c r="X199" i="6"/>
  <c r="Y10" i="6"/>
  <c r="Y16" i="6"/>
  <c r="Y12" i="6"/>
  <c r="Y13" i="6"/>
  <c r="Y14" i="6"/>
  <c r="Y9" i="6"/>
  <c r="Y15" i="6"/>
  <c r="Y11" i="6"/>
  <c r="R17" i="6"/>
  <c r="R33" i="6"/>
  <c r="R49" i="6"/>
  <c r="R65" i="6"/>
  <c r="R12" i="6"/>
  <c r="R28" i="6"/>
  <c r="R44" i="6"/>
  <c r="R60" i="6"/>
  <c r="R76" i="6"/>
  <c r="R23" i="6"/>
  <c r="R39" i="6"/>
  <c r="R55" i="6"/>
  <c r="R13" i="6"/>
  <c r="R29" i="6"/>
  <c r="R45" i="6"/>
  <c r="R61" i="6"/>
  <c r="R24" i="6"/>
  <c r="R40" i="6"/>
  <c r="R56" i="6"/>
  <c r="R19" i="6"/>
  <c r="R35" i="6"/>
  <c r="R51" i="6"/>
  <c r="R67" i="6"/>
  <c r="R14" i="6"/>
  <c r="R30" i="6"/>
  <c r="R46" i="6"/>
  <c r="R62" i="6"/>
  <c r="R25" i="6"/>
  <c r="R41" i="6"/>
  <c r="R57" i="6"/>
  <c r="R20" i="6"/>
  <c r="R36" i="6"/>
  <c r="R52" i="6"/>
  <c r="R15" i="6"/>
  <c r="R31" i="6"/>
  <c r="R47" i="6"/>
  <c r="R63" i="6"/>
  <c r="R26" i="6"/>
  <c r="R42" i="6"/>
  <c r="R58" i="6"/>
  <c r="R74" i="6"/>
  <c r="R21" i="6"/>
  <c r="R37" i="6"/>
  <c r="R53" i="6"/>
  <c r="R16" i="6"/>
  <c r="R32" i="6"/>
  <c r="R48" i="6"/>
  <c r="R64" i="6"/>
  <c r="R27" i="6"/>
  <c r="R43" i="6"/>
  <c r="R59" i="6"/>
  <c r="R22" i="6"/>
  <c r="R38" i="6"/>
  <c r="R54" i="6"/>
  <c r="R70" i="6"/>
  <c r="R86" i="6"/>
  <c r="R102" i="6"/>
  <c r="R118" i="6"/>
  <c r="R134" i="6"/>
  <c r="R81" i="6"/>
  <c r="R97" i="6"/>
  <c r="R113" i="6"/>
  <c r="R129" i="6"/>
  <c r="R72" i="6"/>
  <c r="R92" i="6"/>
  <c r="R108" i="6"/>
  <c r="R124" i="6"/>
  <c r="R18" i="6"/>
  <c r="R87" i="6"/>
  <c r="R103" i="6"/>
  <c r="R82" i="6"/>
  <c r="R98" i="6"/>
  <c r="R114" i="6"/>
  <c r="R130" i="6"/>
  <c r="R75" i="6"/>
  <c r="R93" i="6"/>
  <c r="R109" i="6"/>
  <c r="R125" i="6"/>
  <c r="R34" i="6"/>
  <c r="R68" i="6"/>
  <c r="R88" i="6"/>
  <c r="R104" i="6"/>
  <c r="R120" i="6"/>
  <c r="R136" i="6"/>
  <c r="R71" i="6"/>
  <c r="R83" i="6"/>
  <c r="R99" i="6"/>
  <c r="R115" i="6"/>
  <c r="R131" i="6"/>
  <c r="R77" i="6"/>
  <c r="R94" i="6"/>
  <c r="R110" i="6"/>
  <c r="R126" i="6"/>
  <c r="R50" i="6"/>
  <c r="R89" i="6"/>
  <c r="R105" i="6"/>
  <c r="R121" i="6"/>
  <c r="R69" i="6"/>
  <c r="R78" i="6"/>
  <c r="R84" i="6"/>
  <c r="R100" i="6"/>
  <c r="R116" i="6"/>
  <c r="R132" i="6"/>
  <c r="R95" i="6"/>
  <c r="R111" i="6"/>
  <c r="R127" i="6"/>
  <c r="R85" i="6"/>
  <c r="R101" i="6"/>
  <c r="R117" i="6"/>
  <c r="R133" i="6"/>
  <c r="R80" i="6"/>
  <c r="R96" i="6"/>
  <c r="R112" i="6"/>
  <c r="R128" i="6"/>
  <c r="R66" i="6"/>
  <c r="R91" i="6"/>
  <c r="R107" i="6"/>
  <c r="R123" i="6"/>
  <c r="R139" i="6"/>
  <c r="R154" i="6"/>
  <c r="R170" i="6"/>
  <c r="R186" i="6"/>
  <c r="R137" i="6"/>
  <c r="R149" i="6"/>
  <c r="R165" i="6"/>
  <c r="R181" i="6"/>
  <c r="R197" i="6"/>
  <c r="R90" i="6"/>
  <c r="R135" i="6"/>
  <c r="R144" i="6"/>
  <c r="R160" i="6"/>
  <c r="R176" i="6"/>
  <c r="R192" i="6"/>
  <c r="R155" i="6"/>
  <c r="R171" i="6"/>
  <c r="R187" i="6"/>
  <c r="R119" i="6"/>
  <c r="R150" i="6"/>
  <c r="R166" i="6"/>
  <c r="R182" i="6"/>
  <c r="R79" i="6"/>
  <c r="R106" i="6"/>
  <c r="R145" i="6"/>
  <c r="R161" i="6"/>
  <c r="R177" i="6"/>
  <c r="R193" i="6"/>
  <c r="R140" i="6"/>
  <c r="R156" i="6"/>
  <c r="R172" i="6"/>
  <c r="R188" i="6"/>
  <c r="R151" i="6"/>
  <c r="R167" i="6"/>
  <c r="R183" i="6"/>
  <c r="R146" i="6"/>
  <c r="R162" i="6"/>
  <c r="R178" i="6"/>
  <c r="R194" i="6"/>
  <c r="R141" i="6"/>
  <c r="R157" i="6"/>
  <c r="R173" i="6"/>
  <c r="R189" i="6"/>
  <c r="R138" i="6"/>
  <c r="R152" i="6"/>
  <c r="R168" i="6"/>
  <c r="R184" i="6"/>
  <c r="R122" i="6"/>
  <c r="R147" i="6"/>
  <c r="R163" i="6"/>
  <c r="R179" i="6"/>
  <c r="R195" i="6"/>
  <c r="R142" i="6"/>
  <c r="R158" i="6"/>
  <c r="R153" i="6"/>
  <c r="R169" i="6"/>
  <c r="R185" i="6"/>
  <c r="R148" i="6"/>
  <c r="R164" i="6"/>
  <c r="R180" i="6"/>
  <c r="R196" i="6"/>
  <c r="R73" i="6"/>
  <c r="R143" i="6"/>
  <c r="R159" i="6"/>
  <c r="R175" i="6"/>
  <c r="R191" i="6"/>
  <c r="R201" i="6"/>
  <c r="R190" i="6"/>
  <c r="R200" i="6"/>
  <c r="R198" i="6"/>
  <c r="R199" i="6"/>
  <c r="R174" i="6"/>
  <c r="AF9" i="6"/>
  <c r="AF10" i="6"/>
  <c r="AF11" i="6"/>
  <c r="O23" i="6"/>
  <c r="O39" i="6"/>
  <c r="O55" i="6"/>
  <c r="O71" i="6"/>
  <c r="O18" i="6"/>
  <c r="O34" i="6"/>
  <c r="O50" i="6"/>
  <c r="O66" i="6"/>
  <c r="O13" i="6"/>
  <c r="O29" i="6"/>
  <c r="O45" i="6"/>
  <c r="O61" i="6"/>
  <c r="O19" i="6"/>
  <c r="O35" i="6"/>
  <c r="O51" i="6"/>
  <c r="O67" i="6"/>
  <c r="O14" i="6"/>
  <c r="O30" i="6"/>
  <c r="O46" i="6"/>
  <c r="O62" i="6"/>
  <c r="O9" i="6"/>
  <c r="O25" i="6"/>
  <c r="O41" i="6"/>
  <c r="O57" i="6"/>
  <c r="O20" i="6"/>
  <c r="O36" i="6"/>
  <c r="O52" i="6"/>
  <c r="O68" i="6"/>
  <c r="O15" i="6"/>
  <c r="O31" i="6"/>
  <c r="O47" i="6"/>
  <c r="O63" i="6"/>
  <c r="O10" i="6"/>
  <c r="O26" i="6"/>
  <c r="O42" i="6"/>
  <c r="O58" i="6"/>
  <c r="O21" i="6"/>
  <c r="O37" i="6"/>
  <c r="O53" i="6"/>
  <c r="O69" i="6"/>
  <c r="O16" i="6"/>
  <c r="O32" i="6"/>
  <c r="O48" i="6"/>
  <c r="O64" i="6"/>
  <c r="O11" i="6"/>
  <c r="O27" i="6"/>
  <c r="O43" i="6"/>
  <c r="O59" i="6"/>
  <c r="O22" i="6"/>
  <c r="O38" i="6"/>
  <c r="O54" i="6"/>
  <c r="O70" i="6"/>
  <c r="O17" i="6"/>
  <c r="O33" i="6"/>
  <c r="O49" i="6"/>
  <c r="O65" i="6"/>
  <c r="O12" i="6"/>
  <c r="O28" i="6"/>
  <c r="O44" i="6"/>
  <c r="O60" i="6"/>
  <c r="O56" i="6"/>
  <c r="O72" i="6"/>
  <c r="O92" i="6"/>
  <c r="O108" i="6"/>
  <c r="O124" i="6"/>
  <c r="O87" i="6"/>
  <c r="O103" i="6"/>
  <c r="O119" i="6"/>
  <c r="O135" i="6"/>
  <c r="O82" i="6"/>
  <c r="O98" i="6"/>
  <c r="O114" i="6"/>
  <c r="O130" i="6"/>
  <c r="O93" i="6"/>
  <c r="O75" i="6"/>
  <c r="O88" i="6"/>
  <c r="O104" i="6"/>
  <c r="O120" i="6"/>
  <c r="O136" i="6"/>
  <c r="O76" i="6"/>
  <c r="O83" i="6"/>
  <c r="O99" i="6"/>
  <c r="O115" i="6"/>
  <c r="O74" i="6"/>
  <c r="O77" i="6"/>
  <c r="O94" i="6"/>
  <c r="O110" i="6"/>
  <c r="O126" i="6"/>
  <c r="O89" i="6"/>
  <c r="O105" i="6"/>
  <c r="O121" i="6"/>
  <c r="O78" i="6"/>
  <c r="O84" i="6"/>
  <c r="O100" i="6"/>
  <c r="O116" i="6"/>
  <c r="O132" i="6"/>
  <c r="O95" i="6"/>
  <c r="O111" i="6"/>
  <c r="O24" i="6"/>
  <c r="O79" i="6"/>
  <c r="O90" i="6"/>
  <c r="O106" i="6"/>
  <c r="O122" i="6"/>
  <c r="O138" i="6"/>
  <c r="O73" i="6"/>
  <c r="O85" i="6"/>
  <c r="O101" i="6"/>
  <c r="O117" i="6"/>
  <c r="O40" i="6"/>
  <c r="O91" i="6"/>
  <c r="O107" i="6"/>
  <c r="O123" i="6"/>
  <c r="O86" i="6"/>
  <c r="O102" i="6"/>
  <c r="O118" i="6"/>
  <c r="O134" i="6"/>
  <c r="O81" i="6"/>
  <c r="O97" i="6"/>
  <c r="O113" i="6"/>
  <c r="O129" i="6"/>
  <c r="O137" i="6"/>
  <c r="O144" i="6"/>
  <c r="O160" i="6"/>
  <c r="O176" i="6"/>
  <c r="O192" i="6"/>
  <c r="O155" i="6"/>
  <c r="O171" i="6"/>
  <c r="O187" i="6"/>
  <c r="O150" i="6"/>
  <c r="O166" i="6"/>
  <c r="O182" i="6"/>
  <c r="O198" i="6"/>
  <c r="O112" i="6"/>
  <c r="O145" i="6"/>
  <c r="O161" i="6"/>
  <c r="O177" i="6"/>
  <c r="O193" i="6"/>
  <c r="O125" i="6"/>
  <c r="O133" i="6"/>
  <c r="O139" i="6"/>
  <c r="O140" i="6"/>
  <c r="O156" i="6"/>
  <c r="O172" i="6"/>
  <c r="O188" i="6"/>
  <c r="O151" i="6"/>
  <c r="O167" i="6"/>
  <c r="O183" i="6"/>
  <c r="O199" i="6"/>
  <c r="O80" i="6"/>
  <c r="O146" i="6"/>
  <c r="O162" i="6"/>
  <c r="O178" i="6"/>
  <c r="O194" i="6"/>
  <c r="O141" i="6"/>
  <c r="O157" i="6"/>
  <c r="O173" i="6"/>
  <c r="O189" i="6"/>
  <c r="O152" i="6"/>
  <c r="O168" i="6"/>
  <c r="O184" i="6"/>
  <c r="O200" i="6"/>
  <c r="O96" i="6"/>
  <c r="O147" i="6"/>
  <c r="O163" i="6"/>
  <c r="O179" i="6"/>
  <c r="O195" i="6"/>
  <c r="O131" i="6"/>
  <c r="O142" i="6"/>
  <c r="O158" i="6"/>
  <c r="O174" i="6"/>
  <c r="O190" i="6"/>
  <c r="O127" i="6"/>
  <c r="O153" i="6"/>
  <c r="O169" i="6"/>
  <c r="O185" i="6"/>
  <c r="O109" i="6"/>
  <c r="O148" i="6"/>
  <c r="O164" i="6"/>
  <c r="O143" i="6"/>
  <c r="O159" i="6"/>
  <c r="O175" i="6"/>
  <c r="O191" i="6"/>
  <c r="O154" i="6"/>
  <c r="O170" i="6"/>
  <c r="O186" i="6"/>
  <c r="O128" i="6"/>
  <c r="O149" i="6"/>
  <c r="O165" i="6"/>
  <c r="O181" i="6"/>
  <c r="O197" i="6"/>
  <c r="O196" i="6"/>
  <c r="O180" i="6"/>
  <c r="O201" i="6"/>
  <c r="AA10" i="6"/>
  <c r="AA11" i="6"/>
  <c r="AA8" i="6"/>
  <c r="AA9" i="6"/>
  <c r="U11" i="6"/>
  <c r="U27" i="6"/>
  <c r="U43" i="6"/>
  <c r="U59" i="6"/>
  <c r="U22" i="6"/>
  <c r="U38" i="6"/>
  <c r="U54" i="6"/>
  <c r="U70" i="6"/>
  <c r="U17" i="6"/>
  <c r="U33" i="6"/>
  <c r="U49" i="6"/>
  <c r="U65" i="6"/>
  <c r="U23" i="6"/>
  <c r="U39" i="6"/>
  <c r="U55" i="6"/>
  <c r="U18" i="6"/>
  <c r="U34" i="6"/>
  <c r="U50" i="6"/>
  <c r="U66" i="6"/>
  <c r="U13" i="6"/>
  <c r="U29" i="6"/>
  <c r="U45" i="6"/>
  <c r="U61" i="6"/>
  <c r="U8" i="6"/>
  <c r="U24" i="6"/>
  <c r="U40" i="6"/>
  <c r="U56" i="6"/>
  <c r="U72" i="6"/>
  <c r="U19" i="6"/>
  <c r="U35" i="6"/>
  <c r="U51" i="6"/>
  <c r="U67" i="6"/>
  <c r="U14" i="6"/>
  <c r="U30" i="6"/>
  <c r="U46" i="6"/>
  <c r="U62" i="6"/>
  <c r="U9" i="6"/>
  <c r="U25" i="6"/>
  <c r="U41" i="6"/>
  <c r="U57" i="6"/>
  <c r="U73" i="6"/>
  <c r="U20" i="6"/>
  <c r="U36" i="6"/>
  <c r="U52" i="6"/>
  <c r="U68" i="6"/>
  <c r="U15" i="6"/>
  <c r="U31" i="6"/>
  <c r="U47" i="6"/>
  <c r="U63" i="6"/>
  <c r="U10" i="6"/>
  <c r="U26" i="6"/>
  <c r="U42" i="6"/>
  <c r="U58" i="6"/>
  <c r="U74" i="6"/>
  <c r="U21" i="6"/>
  <c r="U37" i="6"/>
  <c r="U53" i="6"/>
  <c r="U69" i="6"/>
  <c r="U16" i="6"/>
  <c r="U32" i="6"/>
  <c r="U48" i="6"/>
  <c r="U64" i="6"/>
  <c r="U80" i="6"/>
  <c r="U96" i="6"/>
  <c r="U112" i="6"/>
  <c r="U128" i="6"/>
  <c r="U91" i="6"/>
  <c r="U107" i="6"/>
  <c r="U123" i="6"/>
  <c r="U44" i="6"/>
  <c r="U86" i="6"/>
  <c r="U102" i="6"/>
  <c r="U118" i="6"/>
  <c r="U134" i="6"/>
  <c r="U81" i="6"/>
  <c r="U97" i="6"/>
  <c r="U92" i="6"/>
  <c r="U108" i="6"/>
  <c r="U124" i="6"/>
  <c r="U60" i="6"/>
  <c r="U87" i="6"/>
  <c r="U103" i="6"/>
  <c r="U119" i="6"/>
  <c r="U82" i="6"/>
  <c r="U98" i="6"/>
  <c r="U114" i="6"/>
  <c r="U130" i="6"/>
  <c r="U75" i="6"/>
  <c r="U93" i="6"/>
  <c r="U109" i="6"/>
  <c r="U125" i="6"/>
  <c r="U76" i="6"/>
  <c r="U88" i="6"/>
  <c r="U104" i="6"/>
  <c r="U120" i="6"/>
  <c r="U136" i="6"/>
  <c r="U71" i="6"/>
  <c r="U83" i="6"/>
  <c r="U99" i="6"/>
  <c r="U115" i="6"/>
  <c r="U77" i="6"/>
  <c r="U94" i="6"/>
  <c r="U110" i="6"/>
  <c r="U126" i="6"/>
  <c r="U89" i="6"/>
  <c r="U105" i="6"/>
  <c r="U121" i="6"/>
  <c r="U95" i="6"/>
  <c r="U111" i="6"/>
  <c r="U127" i="6"/>
  <c r="U79" i="6"/>
  <c r="U90" i="6"/>
  <c r="U106" i="6"/>
  <c r="U122" i="6"/>
  <c r="U28" i="6"/>
  <c r="U85" i="6"/>
  <c r="U101" i="6"/>
  <c r="U117" i="6"/>
  <c r="U133" i="6"/>
  <c r="U132" i="6"/>
  <c r="U148" i="6"/>
  <c r="U164" i="6"/>
  <c r="U180" i="6"/>
  <c r="U196" i="6"/>
  <c r="U143" i="6"/>
  <c r="U159" i="6"/>
  <c r="U175" i="6"/>
  <c r="U191" i="6"/>
  <c r="U137" i="6"/>
  <c r="U154" i="6"/>
  <c r="U170" i="6"/>
  <c r="U186" i="6"/>
  <c r="U129" i="6"/>
  <c r="U135" i="6"/>
  <c r="U149" i="6"/>
  <c r="U165" i="6"/>
  <c r="U181" i="6"/>
  <c r="U197" i="6"/>
  <c r="U78" i="6"/>
  <c r="U144" i="6"/>
  <c r="U160" i="6"/>
  <c r="U176" i="6"/>
  <c r="U192" i="6"/>
  <c r="U155" i="6"/>
  <c r="U171" i="6"/>
  <c r="U187" i="6"/>
  <c r="U113" i="6"/>
  <c r="U150" i="6"/>
  <c r="U166" i="6"/>
  <c r="U182" i="6"/>
  <c r="U198" i="6"/>
  <c r="U139" i="6"/>
  <c r="U145" i="6"/>
  <c r="U161" i="6"/>
  <c r="U177" i="6"/>
  <c r="U12" i="6"/>
  <c r="U140" i="6"/>
  <c r="U156" i="6"/>
  <c r="U172" i="6"/>
  <c r="U188" i="6"/>
  <c r="U151" i="6"/>
  <c r="U167" i="6"/>
  <c r="U183" i="6"/>
  <c r="U199" i="6"/>
  <c r="U146" i="6"/>
  <c r="U162" i="6"/>
  <c r="U178" i="6"/>
  <c r="U194" i="6"/>
  <c r="U84" i="6"/>
  <c r="U131" i="6"/>
  <c r="U141" i="6"/>
  <c r="U157" i="6"/>
  <c r="U173" i="6"/>
  <c r="U189" i="6"/>
  <c r="U138" i="6"/>
  <c r="U152" i="6"/>
  <c r="U168" i="6"/>
  <c r="U116" i="6"/>
  <c r="U147" i="6"/>
  <c r="U163" i="6"/>
  <c r="U179" i="6"/>
  <c r="U195" i="6"/>
  <c r="U100" i="6"/>
  <c r="U142" i="6"/>
  <c r="U158" i="6"/>
  <c r="U174" i="6"/>
  <c r="U190" i="6"/>
  <c r="U153" i="6"/>
  <c r="U169" i="6"/>
  <c r="U185" i="6"/>
  <c r="U201" i="6"/>
  <c r="U200" i="6"/>
  <c r="U193" i="6"/>
  <c r="U184" i="6"/>
  <c r="X11" i="6"/>
  <c r="X12" i="6"/>
  <c r="X9" i="6"/>
  <c r="X10" i="6"/>
  <c r="B9" i="6"/>
  <c r="B25" i="6"/>
  <c r="B41" i="6"/>
  <c r="B57" i="6"/>
  <c r="B73" i="6"/>
  <c r="B20" i="6"/>
  <c r="B36" i="6"/>
  <c r="B52" i="6"/>
  <c r="B68" i="6"/>
  <c r="B15" i="6"/>
  <c r="B31" i="6"/>
  <c r="B47" i="6"/>
  <c r="B63" i="6"/>
  <c r="B21" i="6"/>
  <c r="B37" i="6"/>
  <c r="B53" i="6"/>
  <c r="B69" i="6"/>
  <c r="B16" i="6"/>
  <c r="B32" i="6"/>
  <c r="B48" i="6"/>
  <c r="B64" i="6"/>
  <c r="B11" i="6"/>
  <c r="B27" i="6"/>
  <c r="B43" i="6"/>
  <c r="B59" i="6"/>
  <c r="B22" i="6"/>
  <c r="B38" i="6"/>
  <c r="B54" i="6"/>
  <c r="B70" i="6"/>
  <c r="B17" i="6"/>
  <c r="B33" i="6"/>
  <c r="B49" i="6"/>
  <c r="B65" i="6"/>
  <c r="B12" i="6"/>
  <c r="B28" i="6"/>
  <c r="B44" i="6"/>
  <c r="B60" i="6"/>
  <c r="B23" i="6"/>
  <c r="B39" i="6"/>
  <c r="B55" i="6"/>
  <c r="B71" i="6"/>
  <c r="B18" i="6"/>
  <c r="B34" i="6"/>
  <c r="B50" i="6"/>
  <c r="B66" i="6"/>
  <c r="B13" i="6"/>
  <c r="B29" i="6"/>
  <c r="B45" i="6"/>
  <c r="B61" i="6"/>
  <c r="B24" i="6"/>
  <c r="B40" i="6"/>
  <c r="B56" i="6"/>
  <c r="B72" i="6"/>
  <c r="B19" i="6"/>
  <c r="B35" i="6"/>
  <c r="B51" i="6"/>
  <c r="B67" i="6"/>
  <c r="B14" i="6"/>
  <c r="B30" i="6"/>
  <c r="B46" i="6"/>
  <c r="B62" i="6"/>
  <c r="B94" i="6"/>
  <c r="B110" i="6"/>
  <c r="B126" i="6"/>
  <c r="B74" i="6"/>
  <c r="B77" i="6"/>
  <c r="B89" i="6"/>
  <c r="B105" i="6"/>
  <c r="B121" i="6"/>
  <c r="B137" i="6"/>
  <c r="B58" i="6"/>
  <c r="B84" i="6"/>
  <c r="B100" i="6"/>
  <c r="B116" i="6"/>
  <c r="B132" i="6"/>
  <c r="B78" i="6"/>
  <c r="B95" i="6"/>
  <c r="B79" i="6"/>
  <c r="B90" i="6"/>
  <c r="B106" i="6"/>
  <c r="B122" i="6"/>
  <c r="B138" i="6"/>
  <c r="B85" i="6"/>
  <c r="B101" i="6"/>
  <c r="B117" i="6"/>
  <c r="B80" i="6"/>
  <c r="B96" i="6"/>
  <c r="B112" i="6"/>
  <c r="B128" i="6"/>
  <c r="B91" i="6"/>
  <c r="B107" i="6"/>
  <c r="B123" i="6"/>
  <c r="B86" i="6"/>
  <c r="B102" i="6"/>
  <c r="B118" i="6"/>
  <c r="B134" i="6"/>
  <c r="B10" i="6"/>
  <c r="B81" i="6"/>
  <c r="B97" i="6"/>
  <c r="B113" i="6"/>
  <c r="B92" i="6"/>
  <c r="B108" i="6"/>
  <c r="B124" i="6"/>
  <c r="B87" i="6"/>
  <c r="B103" i="6"/>
  <c r="B119" i="6"/>
  <c r="B93" i="6"/>
  <c r="B109" i="6"/>
  <c r="B125" i="6"/>
  <c r="B75" i="6"/>
  <c r="B88" i="6"/>
  <c r="B104" i="6"/>
  <c r="B120" i="6"/>
  <c r="B136" i="6"/>
  <c r="B42" i="6"/>
  <c r="B76" i="6"/>
  <c r="B83" i="6"/>
  <c r="B99" i="6"/>
  <c r="B115" i="6"/>
  <c r="B131" i="6"/>
  <c r="B111" i="6"/>
  <c r="B135" i="6"/>
  <c r="B139" i="6"/>
  <c r="B146" i="6"/>
  <c r="B162" i="6"/>
  <c r="B178" i="6"/>
  <c r="B194" i="6"/>
  <c r="B129" i="6"/>
  <c r="B141" i="6"/>
  <c r="B157" i="6"/>
  <c r="B173" i="6"/>
  <c r="B189" i="6"/>
  <c r="B133" i="6"/>
  <c r="B152" i="6"/>
  <c r="B168" i="6"/>
  <c r="B184" i="6"/>
  <c r="B200" i="6"/>
  <c r="B147" i="6"/>
  <c r="B163" i="6"/>
  <c r="B179" i="6"/>
  <c r="B195" i="6"/>
  <c r="B142" i="6"/>
  <c r="B158" i="6"/>
  <c r="B174" i="6"/>
  <c r="B190" i="6"/>
  <c r="B130" i="6"/>
  <c r="B153" i="6"/>
  <c r="B169" i="6"/>
  <c r="B185" i="6"/>
  <c r="B148" i="6"/>
  <c r="B164" i="6"/>
  <c r="B180" i="6"/>
  <c r="B196" i="6"/>
  <c r="B114" i="6"/>
  <c r="B143" i="6"/>
  <c r="B159" i="6"/>
  <c r="B175" i="6"/>
  <c r="B82" i="6"/>
  <c r="B154" i="6"/>
  <c r="B170" i="6"/>
  <c r="B186" i="6"/>
  <c r="B26" i="6"/>
  <c r="B149" i="6"/>
  <c r="B165" i="6"/>
  <c r="B181" i="6"/>
  <c r="B197" i="6"/>
  <c r="B127" i="6"/>
  <c r="B144" i="6"/>
  <c r="B160" i="6"/>
  <c r="B176" i="6"/>
  <c r="B192" i="6"/>
  <c r="B98" i="6"/>
  <c r="B155" i="6"/>
  <c r="B171" i="6"/>
  <c r="B187" i="6"/>
  <c r="B150" i="6"/>
  <c r="B166" i="6"/>
  <c r="B145" i="6"/>
  <c r="B161" i="6"/>
  <c r="B177" i="6"/>
  <c r="B193" i="6"/>
  <c r="B140" i="6"/>
  <c r="B156" i="6"/>
  <c r="B172" i="6"/>
  <c r="B188" i="6"/>
  <c r="B151" i="6"/>
  <c r="B167" i="6"/>
  <c r="B183" i="6"/>
  <c r="B199" i="6"/>
  <c r="B191" i="6"/>
  <c r="B198" i="6"/>
  <c r="B182" i="6"/>
  <c r="B201" i="6"/>
  <c r="J13" i="6"/>
  <c r="J29" i="6"/>
  <c r="J45" i="6"/>
  <c r="J61" i="6"/>
  <c r="J24" i="6"/>
  <c r="J40" i="6"/>
  <c r="J56" i="6"/>
  <c r="J72" i="6"/>
  <c r="J19" i="6"/>
  <c r="J35" i="6"/>
  <c r="J51" i="6"/>
  <c r="J67" i="6"/>
  <c r="J9" i="6"/>
  <c r="J25" i="6"/>
  <c r="J41" i="6"/>
  <c r="J57" i="6"/>
  <c r="J20" i="6"/>
  <c r="J36" i="6"/>
  <c r="J52" i="6"/>
  <c r="J68" i="6"/>
  <c r="J15" i="6"/>
  <c r="J31" i="6"/>
  <c r="J47" i="6"/>
  <c r="J63" i="6"/>
  <c r="J10" i="6"/>
  <c r="J26" i="6"/>
  <c r="J42" i="6"/>
  <c r="J58" i="6"/>
  <c r="J74" i="6"/>
  <c r="J21" i="6"/>
  <c r="J37" i="6"/>
  <c r="J53" i="6"/>
  <c r="J69" i="6"/>
  <c r="J16" i="6"/>
  <c r="J32" i="6"/>
  <c r="J48" i="6"/>
  <c r="J64" i="6"/>
  <c r="J11" i="6"/>
  <c r="J27" i="6"/>
  <c r="J43" i="6"/>
  <c r="J59" i="6"/>
  <c r="J22" i="6"/>
  <c r="J38" i="6"/>
  <c r="J54" i="6"/>
  <c r="J70" i="6"/>
  <c r="J17" i="6"/>
  <c r="J33" i="6"/>
  <c r="J49" i="6"/>
  <c r="J65" i="6"/>
  <c r="J12" i="6"/>
  <c r="J28" i="6"/>
  <c r="J44" i="6"/>
  <c r="J60" i="6"/>
  <c r="J23" i="6"/>
  <c r="J39" i="6"/>
  <c r="J55" i="6"/>
  <c r="J71" i="6"/>
  <c r="J18" i="6"/>
  <c r="J34" i="6"/>
  <c r="J50" i="6"/>
  <c r="J66" i="6"/>
  <c r="J82" i="6"/>
  <c r="J98" i="6"/>
  <c r="J114" i="6"/>
  <c r="J130" i="6"/>
  <c r="J30" i="6"/>
  <c r="J93" i="6"/>
  <c r="J109" i="6"/>
  <c r="J125" i="6"/>
  <c r="J75" i="6"/>
  <c r="J88" i="6"/>
  <c r="J104" i="6"/>
  <c r="J120" i="6"/>
  <c r="J136" i="6"/>
  <c r="J76" i="6"/>
  <c r="J83" i="6"/>
  <c r="J99" i="6"/>
  <c r="J46" i="6"/>
  <c r="J94" i="6"/>
  <c r="J110" i="6"/>
  <c r="J126" i="6"/>
  <c r="J77" i="6"/>
  <c r="J89" i="6"/>
  <c r="J105" i="6"/>
  <c r="J121" i="6"/>
  <c r="J78" i="6"/>
  <c r="J84" i="6"/>
  <c r="J100" i="6"/>
  <c r="J116" i="6"/>
  <c r="J132" i="6"/>
  <c r="J62" i="6"/>
  <c r="J95" i="6"/>
  <c r="J111" i="6"/>
  <c r="J127" i="6"/>
  <c r="J79" i="6"/>
  <c r="J90" i="6"/>
  <c r="J106" i="6"/>
  <c r="J122" i="6"/>
  <c r="J138" i="6"/>
  <c r="J73" i="6"/>
  <c r="J85" i="6"/>
  <c r="J101" i="6"/>
  <c r="J117" i="6"/>
  <c r="J80" i="6"/>
  <c r="J96" i="6"/>
  <c r="J112" i="6"/>
  <c r="J128" i="6"/>
  <c r="J91" i="6"/>
  <c r="J107" i="6"/>
  <c r="J123" i="6"/>
  <c r="J81" i="6"/>
  <c r="J97" i="6"/>
  <c r="J113" i="6"/>
  <c r="J129" i="6"/>
  <c r="J14" i="6"/>
  <c r="J92" i="6"/>
  <c r="J108" i="6"/>
  <c r="J124" i="6"/>
  <c r="J87" i="6"/>
  <c r="J103" i="6"/>
  <c r="J119" i="6"/>
  <c r="J135" i="6"/>
  <c r="J102" i="6"/>
  <c r="J150" i="6"/>
  <c r="J166" i="6"/>
  <c r="J182" i="6"/>
  <c r="J198" i="6"/>
  <c r="J118" i="6"/>
  <c r="J145" i="6"/>
  <c r="J161" i="6"/>
  <c r="J177" i="6"/>
  <c r="J193" i="6"/>
  <c r="J139" i="6"/>
  <c r="J140" i="6"/>
  <c r="J156" i="6"/>
  <c r="J172" i="6"/>
  <c r="J188" i="6"/>
  <c r="J133" i="6"/>
  <c r="J151" i="6"/>
  <c r="J167" i="6"/>
  <c r="J183" i="6"/>
  <c r="J199" i="6"/>
  <c r="J146" i="6"/>
  <c r="J162" i="6"/>
  <c r="J178" i="6"/>
  <c r="J194" i="6"/>
  <c r="J141" i="6"/>
  <c r="J157" i="6"/>
  <c r="J173" i="6"/>
  <c r="J189" i="6"/>
  <c r="J152" i="6"/>
  <c r="J168" i="6"/>
  <c r="J184" i="6"/>
  <c r="J200" i="6"/>
  <c r="J147" i="6"/>
  <c r="J163" i="6"/>
  <c r="J179" i="6"/>
  <c r="J142" i="6"/>
  <c r="J158" i="6"/>
  <c r="J174" i="6"/>
  <c r="J190" i="6"/>
  <c r="J131" i="6"/>
  <c r="J153" i="6"/>
  <c r="J169" i="6"/>
  <c r="J185" i="6"/>
  <c r="J115" i="6"/>
  <c r="J148" i="6"/>
  <c r="J164" i="6"/>
  <c r="J180" i="6"/>
  <c r="J196" i="6"/>
  <c r="J134" i="6"/>
  <c r="J143" i="6"/>
  <c r="J159" i="6"/>
  <c r="J175" i="6"/>
  <c r="J191" i="6"/>
  <c r="J154" i="6"/>
  <c r="J86" i="6"/>
  <c r="J149" i="6"/>
  <c r="J165" i="6"/>
  <c r="J181" i="6"/>
  <c r="J197" i="6"/>
  <c r="J144" i="6"/>
  <c r="J160" i="6"/>
  <c r="J176" i="6"/>
  <c r="J192" i="6"/>
  <c r="J137" i="6"/>
  <c r="J155" i="6"/>
  <c r="J171" i="6"/>
  <c r="J187" i="6"/>
  <c r="J170" i="6"/>
  <c r="J186" i="6"/>
  <c r="J195" i="6"/>
  <c r="J201" i="6"/>
  <c r="V16" i="6"/>
  <c r="V32" i="6"/>
  <c r="V48" i="6"/>
  <c r="V64" i="6"/>
  <c r="V11" i="6"/>
  <c r="V27" i="6"/>
  <c r="V43" i="6"/>
  <c r="V59" i="6"/>
  <c r="V75" i="6"/>
  <c r="V22" i="6"/>
  <c r="V38" i="6"/>
  <c r="V54" i="6"/>
  <c r="V12" i="6"/>
  <c r="V28" i="6"/>
  <c r="V44" i="6"/>
  <c r="V60" i="6"/>
  <c r="V23" i="6"/>
  <c r="V39" i="6"/>
  <c r="V55" i="6"/>
  <c r="V18" i="6"/>
  <c r="V34" i="6"/>
  <c r="V50" i="6"/>
  <c r="V66" i="6"/>
  <c r="V13" i="6"/>
  <c r="V29" i="6"/>
  <c r="V45" i="6"/>
  <c r="V61" i="6"/>
  <c r="V8" i="6"/>
  <c r="V24" i="6"/>
  <c r="V40" i="6"/>
  <c r="V56" i="6"/>
  <c r="V19" i="6"/>
  <c r="V35" i="6"/>
  <c r="V51" i="6"/>
  <c r="V14" i="6"/>
  <c r="V30" i="6"/>
  <c r="V46" i="6"/>
  <c r="V62" i="6"/>
  <c r="V9" i="6"/>
  <c r="V25" i="6"/>
  <c r="V41" i="6"/>
  <c r="V57" i="6"/>
  <c r="V73" i="6"/>
  <c r="V20" i="6"/>
  <c r="V36" i="6"/>
  <c r="V52" i="6"/>
  <c r="V15" i="6"/>
  <c r="V31" i="6"/>
  <c r="V47" i="6"/>
  <c r="V63" i="6"/>
  <c r="V10" i="6"/>
  <c r="V26" i="6"/>
  <c r="V42" i="6"/>
  <c r="V58" i="6"/>
  <c r="V21" i="6"/>
  <c r="V37" i="6"/>
  <c r="V53" i="6"/>
  <c r="V69" i="6"/>
  <c r="V70" i="6"/>
  <c r="V85" i="6"/>
  <c r="V101" i="6"/>
  <c r="V117" i="6"/>
  <c r="V133" i="6"/>
  <c r="V80" i="6"/>
  <c r="V96" i="6"/>
  <c r="V112" i="6"/>
  <c r="V128" i="6"/>
  <c r="V17" i="6"/>
  <c r="V91" i="6"/>
  <c r="V107" i="6"/>
  <c r="V123" i="6"/>
  <c r="V67" i="6"/>
  <c r="V72" i="6"/>
  <c r="V86" i="6"/>
  <c r="V102" i="6"/>
  <c r="V81" i="6"/>
  <c r="V97" i="6"/>
  <c r="V113" i="6"/>
  <c r="V129" i="6"/>
  <c r="V33" i="6"/>
  <c r="V92" i="6"/>
  <c r="V108" i="6"/>
  <c r="V124" i="6"/>
  <c r="V87" i="6"/>
  <c r="V103" i="6"/>
  <c r="V119" i="6"/>
  <c r="V135" i="6"/>
  <c r="V68" i="6"/>
  <c r="V82" i="6"/>
  <c r="V98" i="6"/>
  <c r="V114" i="6"/>
  <c r="V130" i="6"/>
  <c r="V49" i="6"/>
  <c r="V74" i="6"/>
  <c r="V93" i="6"/>
  <c r="V109" i="6"/>
  <c r="V125" i="6"/>
  <c r="V76" i="6"/>
  <c r="V88" i="6"/>
  <c r="V104" i="6"/>
  <c r="V120" i="6"/>
  <c r="V71" i="6"/>
  <c r="V83" i="6"/>
  <c r="V99" i="6"/>
  <c r="V115" i="6"/>
  <c r="V131" i="6"/>
  <c r="V77" i="6"/>
  <c r="V94" i="6"/>
  <c r="V110" i="6"/>
  <c r="V126" i="6"/>
  <c r="V78" i="6"/>
  <c r="V84" i="6"/>
  <c r="V100" i="6"/>
  <c r="V116" i="6"/>
  <c r="V132" i="6"/>
  <c r="V95" i="6"/>
  <c r="V111" i="6"/>
  <c r="V127" i="6"/>
  <c r="V79" i="6"/>
  <c r="V90" i="6"/>
  <c r="V106" i="6"/>
  <c r="V122" i="6"/>
  <c r="V138" i="6"/>
  <c r="V153" i="6"/>
  <c r="V169" i="6"/>
  <c r="V185" i="6"/>
  <c r="V201" i="6"/>
  <c r="V89" i="6"/>
  <c r="V148" i="6"/>
  <c r="V164" i="6"/>
  <c r="V180" i="6"/>
  <c r="V196" i="6"/>
  <c r="V118" i="6"/>
  <c r="V143" i="6"/>
  <c r="V159" i="6"/>
  <c r="V175" i="6"/>
  <c r="V191" i="6"/>
  <c r="V137" i="6"/>
  <c r="V154" i="6"/>
  <c r="V170" i="6"/>
  <c r="V186" i="6"/>
  <c r="V105" i="6"/>
  <c r="V149" i="6"/>
  <c r="V165" i="6"/>
  <c r="V181" i="6"/>
  <c r="V144" i="6"/>
  <c r="V160" i="6"/>
  <c r="V176" i="6"/>
  <c r="V192" i="6"/>
  <c r="V155" i="6"/>
  <c r="V171" i="6"/>
  <c r="V187" i="6"/>
  <c r="V150" i="6"/>
  <c r="V166" i="6"/>
  <c r="V182" i="6"/>
  <c r="V139" i="6"/>
  <c r="V145" i="6"/>
  <c r="V161" i="6"/>
  <c r="V177" i="6"/>
  <c r="V193" i="6"/>
  <c r="V121" i="6"/>
  <c r="V140" i="6"/>
  <c r="V156" i="6"/>
  <c r="V172" i="6"/>
  <c r="V188" i="6"/>
  <c r="V151" i="6"/>
  <c r="V167" i="6"/>
  <c r="V183" i="6"/>
  <c r="V199" i="6"/>
  <c r="V136" i="6"/>
  <c r="V146" i="6"/>
  <c r="V162" i="6"/>
  <c r="V178" i="6"/>
  <c r="V194" i="6"/>
  <c r="V65" i="6"/>
  <c r="V134" i="6"/>
  <c r="V141" i="6"/>
  <c r="V157" i="6"/>
  <c r="V152" i="6"/>
  <c r="V168" i="6"/>
  <c r="V184" i="6"/>
  <c r="V147" i="6"/>
  <c r="V163" i="6"/>
  <c r="V179" i="6"/>
  <c r="V195" i="6"/>
  <c r="V142" i="6"/>
  <c r="V158" i="6"/>
  <c r="V174" i="6"/>
  <c r="V190" i="6"/>
  <c r="V189" i="6"/>
  <c r="V197" i="6"/>
  <c r="V200" i="6"/>
  <c r="V198" i="6"/>
  <c r="V173" i="6"/>
  <c r="AF19" i="6"/>
  <c r="AF35" i="6"/>
  <c r="AF51" i="6"/>
  <c r="AF67" i="6"/>
  <c r="AF14" i="6"/>
  <c r="AF30" i="6"/>
  <c r="AF46" i="6"/>
  <c r="AF62" i="6"/>
  <c r="AF78" i="6"/>
  <c r="AF25" i="6"/>
  <c r="AF41" i="6"/>
  <c r="AF57" i="6"/>
  <c r="AF15" i="6"/>
  <c r="AF31" i="6"/>
  <c r="AF47" i="6"/>
  <c r="AF63" i="6"/>
  <c r="AF26" i="6"/>
  <c r="AF42" i="6"/>
  <c r="AF58" i="6"/>
  <c r="AF21" i="6"/>
  <c r="AF37" i="6"/>
  <c r="AF53" i="6"/>
  <c r="AF69" i="6"/>
  <c r="AF16" i="6"/>
  <c r="AF32" i="6"/>
  <c r="AF48" i="6"/>
  <c r="AF64" i="6"/>
  <c r="AF27" i="6"/>
  <c r="AF43" i="6"/>
  <c r="AF59" i="6"/>
  <c r="AF22" i="6"/>
  <c r="AF38" i="6"/>
  <c r="AF54" i="6"/>
  <c r="AF17" i="6"/>
  <c r="AF33" i="6"/>
  <c r="AF49" i="6"/>
  <c r="AF65" i="6"/>
  <c r="AF12" i="6"/>
  <c r="AF28" i="6"/>
  <c r="AF44" i="6"/>
  <c r="AF60" i="6"/>
  <c r="AF23" i="6"/>
  <c r="AF39" i="6"/>
  <c r="AF55" i="6"/>
  <c r="AF18" i="6"/>
  <c r="AF34" i="6"/>
  <c r="AF50" i="6"/>
  <c r="AF66" i="6"/>
  <c r="AF13" i="6"/>
  <c r="AF29" i="6"/>
  <c r="AF45" i="6"/>
  <c r="AF61" i="6"/>
  <c r="AF24" i="6"/>
  <c r="AF40" i="6"/>
  <c r="AF56" i="6"/>
  <c r="AF72" i="6"/>
  <c r="AF73" i="6"/>
  <c r="AF76" i="6"/>
  <c r="AF88" i="6"/>
  <c r="AF104" i="6"/>
  <c r="AF120" i="6"/>
  <c r="AF136" i="6"/>
  <c r="AF83" i="6"/>
  <c r="AF99" i="6"/>
  <c r="AF115" i="6"/>
  <c r="AF131" i="6"/>
  <c r="AF77" i="6"/>
  <c r="AF94" i="6"/>
  <c r="AF110" i="6"/>
  <c r="AF126" i="6"/>
  <c r="AF89" i="6"/>
  <c r="AF105" i="6"/>
  <c r="AF84" i="6"/>
  <c r="AF100" i="6"/>
  <c r="AF116" i="6"/>
  <c r="AF132" i="6"/>
  <c r="AF70" i="6"/>
  <c r="AF79" i="6"/>
  <c r="AF95" i="6"/>
  <c r="AF111" i="6"/>
  <c r="AF127" i="6"/>
  <c r="AF20" i="6"/>
  <c r="AF90" i="6"/>
  <c r="AF106" i="6"/>
  <c r="AF122" i="6"/>
  <c r="AF138" i="6"/>
  <c r="AF85" i="6"/>
  <c r="AF101" i="6"/>
  <c r="AF117" i="6"/>
  <c r="AF68" i="6"/>
  <c r="AF80" i="6"/>
  <c r="AF96" i="6"/>
  <c r="AF112" i="6"/>
  <c r="AF128" i="6"/>
  <c r="AF36" i="6"/>
  <c r="AF91" i="6"/>
  <c r="AF107" i="6"/>
  <c r="AF86" i="6"/>
  <c r="AF102" i="6"/>
  <c r="AF118" i="6"/>
  <c r="AF134" i="6"/>
  <c r="AF81" i="6"/>
  <c r="AF97" i="6"/>
  <c r="AF113" i="6"/>
  <c r="AF129" i="6"/>
  <c r="AF71" i="6"/>
  <c r="AF74" i="6"/>
  <c r="AF87" i="6"/>
  <c r="AF103" i="6"/>
  <c r="AF119" i="6"/>
  <c r="AF135" i="6"/>
  <c r="AF75" i="6"/>
  <c r="AF82" i="6"/>
  <c r="AF98" i="6"/>
  <c r="AF114" i="6"/>
  <c r="AF130" i="6"/>
  <c r="AF93" i="6"/>
  <c r="AF109" i="6"/>
  <c r="AF125" i="6"/>
  <c r="AF140" i="6"/>
  <c r="AF156" i="6"/>
  <c r="AF172" i="6"/>
  <c r="AF188" i="6"/>
  <c r="AF151" i="6"/>
  <c r="AF167" i="6"/>
  <c r="AF183" i="6"/>
  <c r="AF199" i="6"/>
  <c r="AF146" i="6"/>
  <c r="AF162" i="6"/>
  <c r="AF178" i="6"/>
  <c r="AF194" i="6"/>
  <c r="AF124" i="6"/>
  <c r="AF141" i="6"/>
  <c r="AF157" i="6"/>
  <c r="AF173" i="6"/>
  <c r="AF189" i="6"/>
  <c r="AF152" i="6"/>
  <c r="AF168" i="6"/>
  <c r="AF184" i="6"/>
  <c r="AF92" i="6"/>
  <c r="AF137" i="6"/>
  <c r="AF147" i="6"/>
  <c r="AF163" i="6"/>
  <c r="AF179" i="6"/>
  <c r="AF195" i="6"/>
  <c r="AF142" i="6"/>
  <c r="AF158" i="6"/>
  <c r="AF174" i="6"/>
  <c r="AF190" i="6"/>
  <c r="AF153" i="6"/>
  <c r="AF169" i="6"/>
  <c r="AF185" i="6"/>
  <c r="AF133" i="6"/>
  <c r="AF148" i="6"/>
  <c r="AF164" i="6"/>
  <c r="AF180" i="6"/>
  <c r="AF196" i="6"/>
  <c r="AF143" i="6"/>
  <c r="AF159" i="6"/>
  <c r="AF175" i="6"/>
  <c r="AF191" i="6"/>
  <c r="AF121" i="6"/>
  <c r="AF154" i="6"/>
  <c r="AF170" i="6"/>
  <c r="AF186" i="6"/>
  <c r="AF52" i="6"/>
  <c r="AF108" i="6"/>
  <c r="AF149" i="6"/>
  <c r="AF165" i="6"/>
  <c r="AF181" i="6"/>
  <c r="AF144" i="6"/>
  <c r="AF160" i="6"/>
  <c r="AF139" i="6"/>
  <c r="AF155" i="6"/>
  <c r="AF171" i="6"/>
  <c r="AF187" i="6"/>
  <c r="AF150" i="6"/>
  <c r="AF166" i="6"/>
  <c r="AF182" i="6"/>
  <c r="AF198" i="6"/>
  <c r="AF123" i="6"/>
  <c r="AF145" i="6"/>
  <c r="AF161" i="6"/>
  <c r="AF177" i="6"/>
  <c r="AF193" i="6"/>
  <c r="AF176" i="6"/>
  <c r="AF197" i="6"/>
  <c r="AF201" i="6"/>
  <c r="AF192" i="6"/>
  <c r="AF200" i="6"/>
  <c r="K18" i="6"/>
  <c r="K34" i="6"/>
  <c r="K50" i="6"/>
  <c r="K66" i="6"/>
  <c r="K13" i="6"/>
  <c r="K29" i="6"/>
  <c r="K45" i="6"/>
  <c r="K61" i="6"/>
  <c r="K77" i="6"/>
  <c r="K24" i="6"/>
  <c r="K40" i="6"/>
  <c r="K56" i="6"/>
  <c r="K14" i="6"/>
  <c r="K30" i="6"/>
  <c r="K46" i="6"/>
  <c r="K62" i="6"/>
  <c r="K25" i="6"/>
  <c r="K41" i="6"/>
  <c r="K57" i="6"/>
  <c r="K20" i="6"/>
  <c r="K36" i="6"/>
  <c r="K52" i="6"/>
  <c r="K68" i="6"/>
  <c r="K15" i="6"/>
  <c r="K31" i="6"/>
  <c r="K47" i="6"/>
  <c r="K63" i="6"/>
  <c r="K26" i="6"/>
  <c r="K42" i="6"/>
  <c r="K58" i="6"/>
  <c r="K21" i="6"/>
  <c r="K37" i="6"/>
  <c r="K53" i="6"/>
  <c r="K16" i="6"/>
  <c r="K32" i="6"/>
  <c r="K48" i="6"/>
  <c r="K64" i="6"/>
  <c r="K27" i="6"/>
  <c r="K43" i="6"/>
  <c r="K59" i="6"/>
  <c r="K22" i="6"/>
  <c r="K38" i="6"/>
  <c r="K54" i="6"/>
  <c r="K17" i="6"/>
  <c r="K33" i="6"/>
  <c r="K49" i="6"/>
  <c r="K65" i="6"/>
  <c r="K12" i="6"/>
  <c r="K28" i="6"/>
  <c r="K44" i="6"/>
  <c r="K60" i="6"/>
  <c r="K23" i="6"/>
  <c r="K39" i="6"/>
  <c r="K55" i="6"/>
  <c r="K71" i="6"/>
  <c r="K87" i="6"/>
  <c r="K103" i="6"/>
  <c r="K119" i="6"/>
  <c r="K135" i="6"/>
  <c r="K82" i="6"/>
  <c r="K98" i="6"/>
  <c r="K114" i="6"/>
  <c r="K130" i="6"/>
  <c r="K67" i="6"/>
  <c r="K93" i="6"/>
  <c r="K109" i="6"/>
  <c r="K125" i="6"/>
  <c r="K75" i="6"/>
  <c r="K88" i="6"/>
  <c r="K104" i="6"/>
  <c r="K19" i="6"/>
  <c r="K76" i="6"/>
  <c r="K83" i="6"/>
  <c r="K99" i="6"/>
  <c r="K115" i="6"/>
  <c r="K131" i="6"/>
  <c r="K74" i="6"/>
  <c r="K94" i="6"/>
  <c r="K110" i="6"/>
  <c r="K126" i="6"/>
  <c r="K89" i="6"/>
  <c r="K105" i="6"/>
  <c r="K121" i="6"/>
  <c r="K137" i="6"/>
  <c r="K35" i="6"/>
  <c r="K78" i="6"/>
  <c r="K84" i="6"/>
  <c r="K100" i="6"/>
  <c r="K116" i="6"/>
  <c r="K132" i="6"/>
  <c r="K95" i="6"/>
  <c r="K111" i="6"/>
  <c r="K127" i="6"/>
  <c r="K69" i="6"/>
  <c r="K79" i="6"/>
  <c r="K90" i="6"/>
  <c r="K106" i="6"/>
  <c r="K122" i="6"/>
  <c r="K51" i="6"/>
  <c r="K73" i="6"/>
  <c r="K85" i="6"/>
  <c r="K101" i="6"/>
  <c r="K117" i="6"/>
  <c r="K133" i="6"/>
  <c r="K80" i="6"/>
  <c r="K96" i="6"/>
  <c r="K112" i="6"/>
  <c r="K128" i="6"/>
  <c r="K86" i="6"/>
  <c r="K102" i="6"/>
  <c r="K118" i="6"/>
  <c r="K134" i="6"/>
  <c r="K81" i="6"/>
  <c r="K97" i="6"/>
  <c r="K113" i="6"/>
  <c r="K129" i="6"/>
  <c r="K70" i="6"/>
  <c r="K72" i="6"/>
  <c r="K92" i="6"/>
  <c r="K108" i="6"/>
  <c r="K124" i="6"/>
  <c r="K155" i="6"/>
  <c r="K171" i="6"/>
  <c r="K187" i="6"/>
  <c r="K150" i="6"/>
  <c r="K166" i="6"/>
  <c r="K182" i="6"/>
  <c r="K198" i="6"/>
  <c r="K145" i="6"/>
  <c r="K161" i="6"/>
  <c r="K177" i="6"/>
  <c r="K193" i="6"/>
  <c r="K91" i="6"/>
  <c r="K139" i="6"/>
  <c r="K140" i="6"/>
  <c r="K156" i="6"/>
  <c r="K172" i="6"/>
  <c r="K188" i="6"/>
  <c r="K151" i="6"/>
  <c r="K167" i="6"/>
  <c r="K183" i="6"/>
  <c r="K146" i="6"/>
  <c r="K162" i="6"/>
  <c r="K178" i="6"/>
  <c r="K194" i="6"/>
  <c r="K120" i="6"/>
  <c r="K141" i="6"/>
  <c r="K157" i="6"/>
  <c r="K173" i="6"/>
  <c r="K189" i="6"/>
  <c r="K107" i="6"/>
  <c r="K152" i="6"/>
  <c r="K168" i="6"/>
  <c r="K184" i="6"/>
  <c r="K136" i="6"/>
  <c r="K138" i="6"/>
  <c r="K147" i="6"/>
  <c r="K163" i="6"/>
  <c r="K179" i="6"/>
  <c r="K195" i="6"/>
  <c r="K142" i="6"/>
  <c r="K158" i="6"/>
  <c r="K174" i="6"/>
  <c r="K190" i="6"/>
  <c r="K153" i="6"/>
  <c r="K169" i="6"/>
  <c r="K185" i="6"/>
  <c r="K148" i="6"/>
  <c r="K164" i="6"/>
  <c r="K180" i="6"/>
  <c r="K196" i="6"/>
  <c r="K143" i="6"/>
  <c r="K159" i="6"/>
  <c r="K123" i="6"/>
  <c r="K154" i="6"/>
  <c r="K170" i="6"/>
  <c r="K186" i="6"/>
  <c r="K149" i="6"/>
  <c r="K165" i="6"/>
  <c r="K181" i="6"/>
  <c r="K197" i="6"/>
  <c r="K144" i="6"/>
  <c r="K160" i="6"/>
  <c r="K176" i="6"/>
  <c r="K192" i="6"/>
  <c r="K200" i="6"/>
  <c r="K191" i="6"/>
  <c r="K199" i="6"/>
  <c r="K201" i="6"/>
  <c r="K175" i="6"/>
  <c r="AA20" i="6"/>
  <c r="AA36" i="6"/>
  <c r="AA52" i="6"/>
  <c r="AA68" i="6"/>
  <c r="AA15" i="6"/>
  <c r="AA31" i="6"/>
  <c r="AA47" i="6"/>
  <c r="AA63" i="6"/>
  <c r="AA79" i="6"/>
  <c r="AA26" i="6"/>
  <c r="AA42" i="6"/>
  <c r="AA58" i="6"/>
  <c r="AA16" i="6"/>
  <c r="AA32" i="6"/>
  <c r="AA48" i="6"/>
  <c r="AA64" i="6"/>
  <c r="AA27" i="6"/>
  <c r="AA43" i="6"/>
  <c r="AA59" i="6"/>
  <c r="AA22" i="6"/>
  <c r="AA38" i="6"/>
  <c r="AA54" i="6"/>
  <c r="AA70" i="6"/>
  <c r="AA17" i="6"/>
  <c r="AA33" i="6"/>
  <c r="AA49" i="6"/>
  <c r="AA65" i="6"/>
  <c r="AA12" i="6"/>
  <c r="AA28" i="6"/>
  <c r="AA44" i="6"/>
  <c r="AA60" i="6"/>
  <c r="AA23" i="6"/>
  <c r="AA39" i="6"/>
  <c r="AA55" i="6"/>
  <c r="AA18" i="6"/>
  <c r="AA34" i="6"/>
  <c r="AA50" i="6"/>
  <c r="AA66" i="6"/>
  <c r="AA13" i="6"/>
  <c r="AA29" i="6"/>
  <c r="AA45" i="6"/>
  <c r="AA61" i="6"/>
  <c r="AA24" i="6"/>
  <c r="AA40" i="6"/>
  <c r="AA56" i="6"/>
  <c r="AA19" i="6"/>
  <c r="AA35" i="6"/>
  <c r="AA51" i="6"/>
  <c r="AA67" i="6"/>
  <c r="AA14" i="6"/>
  <c r="AA30" i="6"/>
  <c r="AA46" i="6"/>
  <c r="AA62" i="6"/>
  <c r="AA25" i="6"/>
  <c r="AA41" i="6"/>
  <c r="AA57" i="6"/>
  <c r="AA73" i="6"/>
  <c r="AA89" i="6"/>
  <c r="AA105" i="6"/>
  <c r="AA121" i="6"/>
  <c r="AA137" i="6"/>
  <c r="AA78" i="6"/>
  <c r="AA84" i="6"/>
  <c r="AA100" i="6"/>
  <c r="AA116" i="6"/>
  <c r="AA132" i="6"/>
  <c r="AA95" i="6"/>
  <c r="AA111" i="6"/>
  <c r="AA127" i="6"/>
  <c r="AA90" i="6"/>
  <c r="AA85" i="6"/>
  <c r="AA101" i="6"/>
  <c r="AA117" i="6"/>
  <c r="AA133" i="6"/>
  <c r="AA72" i="6"/>
  <c r="AA80" i="6"/>
  <c r="AA96" i="6"/>
  <c r="AA112" i="6"/>
  <c r="AA128" i="6"/>
  <c r="AA91" i="6"/>
  <c r="AA107" i="6"/>
  <c r="AA123" i="6"/>
  <c r="AA139" i="6"/>
  <c r="AA21" i="6"/>
  <c r="AA86" i="6"/>
  <c r="AA102" i="6"/>
  <c r="AA118" i="6"/>
  <c r="AA81" i="6"/>
  <c r="AA97" i="6"/>
  <c r="AA113" i="6"/>
  <c r="AA129" i="6"/>
  <c r="AA92" i="6"/>
  <c r="AA108" i="6"/>
  <c r="AA37" i="6"/>
  <c r="AA74" i="6"/>
  <c r="AA87" i="6"/>
  <c r="AA103" i="6"/>
  <c r="AA119" i="6"/>
  <c r="AA135" i="6"/>
  <c r="AA69" i="6"/>
  <c r="AA75" i="6"/>
  <c r="AA82" i="6"/>
  <c r="AA98" i="6"/>
  <c r="AA114" i="6"/>
  <c r="AA130" i="6"/>
  <c r="AA53" i="6"/>
  <c r="AA76" i="6"/>
  <c r="AA88" i="6"/>
  <c r="AA104" i="6"/>
  <c r="AA120" i="6"/>
  <c r="AA136" i="6"/>
  <c r="AA83" i="6"/>
  <c r="AA99" i="6"/>
  <c r="AA115" i="6"/>
  <c r="AA131" i="6"/>
  <c r="AA77" i="6"/>
  <c r="AA94" i="6"/>
  <c r="AA110" i="6"/>
  <c r="AA126" i="6"/>
  <c r="AA141" i="6"/>
  <c r="AA157" i="6"/>
  <c r="AA173" i="6"/>
  <c r="AA189" i="6"/>
  <c r="AA152" i="6"/>
  <c r="AA168" i="6"/>
  <c r="AA184" i="6"/>
  <c r="AA200" i="6"/>
  <c r="AA124" i="6"/>
  <c r="AA147" i="6"/>
  <c r="AA163" i="6"/>
  <c r="AA179" i="6"/>
  <c r="AA195" i="6"/>
  <c r="AA142" i="6"/>
  <c r="AA158" i="6"/>
  <c r="AA174" i="6"/>
  <c r="AA190" i="6"/>
  <c r="AA153" i="6"/>
  <c r="AA169" i="6"/>
  <c r="AA185" i="6"/>
  <c r="AA148" i="6"/>
  <c r="AA164" i="6"/>
  <c r="AA180" i="6"/>
  <c r="AA196" i="6"/>
  <c r="AA93" i="6"/>
  <c r="AA106" i="6"/>
  <c r="AA125" i="6"/>
  <c r="AA143" i="6"/>
  <c r="AA159" i="6"/>
  <c r="AA175" i="6"/>
  <c r="AA191" i="6"/>
  <c r="AA154" i="6"/>
  <c r="AA170" i="6"/>
  <c r="AA186" i="6"/>
  <c r="AA149" i="6"/>
  <c r="AA165" i="6"/>
  <c r="AA181" i="6"/>
  <c r="AA197" i="6"/>
  <c r="AA144" i="6"/>
  <c r="AA160" i="6"/>
  <c r="AA176" i="6"/>
  <c r="AA192" i="6"/>
  <c r="AA155" i="6"/>
  <c r="AA171" i="6"/>
  <c r="AA187" i="6"/>
  <c r="AA150" i="6"/>
  <c r="AA166" i="6"/>
  <c r="AA182" i="6"/>
  <c r="AA122" i="6"/>
  <c r="AA145" i="6"/>
  <c r="AA161" i="6"/>
  <c r="AA109" i="6"/>
  <c r="AA140" i="6"/>
  <c r="AA156" i="6"/>
  <c r="AA172" i="6"/>
  <c r="AA188" i="6"/>
  <c r="AA71" i="6"/>
  <c r="AA134" i="6"/>
  <c r="AA138" i="6"/>
  <c r="AA151" i="6"/>
  <c r="AA167" i="6"/>
  <c r="AA183" i="6"/>
  <c r="AA146" i="6"/>
  <c r="AA162" i="6"/>
  <c r="AA178" i="6"/>
  <c r="AA194" i="6"/>
  <c r="AA177" i="6"/>
  <c r="AA201" i="6"/>
  <c r="AA198" i="6"/>
  <c r="AA193" i="6"/>
  <c r="AA199" i="6"/>
  <c r="Z15" i="6"/>
  <c r="Z31" i="6"/>
  <c r="Z47" i="6"/>
  <c r="Z63" i="6"/>
  <c r="Z10" i="6"/>
  <c r="Z26" i="6"/>
  <c r="Z42" i="6"/>
  <c r="Z58" i="6"/>
  <c r="Z74" i="6"/>
  <c r="Z21" i="6"/>
  <c r="Z37" i="6"/>
  <c r="Z53" i="6"/>
  <c r="Z69" i="6"/>
  <c r="Z11" i="6"/>
  <c r="Z27" i="6"/>
  <c r="Z43" i="6"/>
  <c r="Z59" i="6"/>
  <c r="Z22" i="6"/>
  <c r="Z38" i="6"/>
  <c r="Z54" i="6"/>
  <c r="Z17" i="6"/>
  <c r="Z33" i="6"/>
  <c r="Z49" i="6"/>
  <c r="Z65" i="6"/>
  <c r="Z12" i="6"/>
  <c r="Z28" i="6"/>
  <c r="Z44" i="6"/>
  <c r="Z60" i="6"/>
  <c r="Z23" i="6"/>
  <c r="Z39" i="6"/>
  <c r="Z55" i="6"/>
  <c r="Z18" i="6"/>
  <c r="Z34" i="6"/>
  <c r="Z50" i="6"/>
  <c r="Z13" i="6"/>
  <c r="Z29" i="6"/>
  <c r="Z45" i="6"/>
  <c r="Z61" i="6"/>
  <c r="Z24" i="6"/>
  <c r="Z40" i="6"/>
  <c r="Z56" i="6"/>
  <c r="Z72" i="6"/>
  <c r="Z19" i="6"/>
  <c r="Z35" i="6"/>
  <c r="Z51" i="6"/>
  <c r="Z14" i="6"/>
  <c r="Z30" i="6"/>
  <c r="Z46" i="6"/>
  <c r="Z62" i="6"/>
  <c r="Z25" i="6"/>
  <c r="Z41" i="6"/>
  <c r="Z57" i="6"/>
  <c r="Z20" i="6"/>
  <c r="Z36" i="6"/>
  <c r="Z52" i="6"/>
  <c r="Z68" i="6"/>
  <c r="Z66" i="6"/>
  <c r="Z78" i="6"/>
  <c r="Z84" i="6"/>
  <c r="Z100" i="6"/>
  <c r="Z116" i="6"/>
  <c r="Z132" i="6"/>
  <c r="Z16" i="6"/>
  <c r="Z95" i="6"/>
  <c r="Z111" i="6"/>
  <c r="Z127" i="6"/>
  <c r="Z79" i="6"/>
  <c r="Z90" i="6"/>
  <c r="Z106" i="6"/>
  <c r="Z122" i="6"/>
  <c r="Z70" i="6"/>
  <c r="Z85" i="6"/>
  <c r="Z101" i="6"/>
  <c r="Z32" i="6"/>
  <c r="Z67" i="6"/>
  <c r="Z80" i="6"/>
  <c r="Z96" i="6"/>
  <c r="Z112" i="6"/>
  <c r="Z128" i="6"/>
  <c r="Z91" i="6"/>
  <c r="Z107" i="6"/>
  <c r="Z123" i="6"/>
  <c r="Z86" i="6"/>
  <c r="Z102" i="6"/>
  <c r="Z118" i="6"/>
  <c r="Z134" i="6"/>
  <c r="Z48" i="6"/>
  <c r="Z81" i="6"/>
  <c r="Z97" i="6"/>
  <c r="Z113" i="6"/>
  <c r="Z129" i="6"/>
  <c r="Z92" i="6"/>
  <c r="Z108" i="6"/>
  <c r="Z124" i="6"/>
  <c r="Z87" i="6"/>
  <c r="Z103" i="6"/>
  <c r="Z119" i="6"/>
  <c r="Z64" i="6"/>
  <c r="Z75" i="6"/>
  <c r="Z82" i="6"/>
  <c r="Z98" i="6"/>
  <c r="Z114" i="6"/>
  <c r="Z130" i="6"/>
  <c r="Z71" i="6"/>
  <c r="Z93" i="6"/>
  <c r="Z109" i="6"/>
  <c r="Z125" i="6"/>
  <c r="Z83" i="6"/>
  <c r="Z99" i="6"/>
  <c r="Z115" i="6"/>
  <c r="Z131" i="6"/>
  <c r="Z77" i="6"/>
  <c r="Z94" i="6"/>
  <c r="Z110" i="6"/>
  <c r="Z126" i="6"/>
  <c r="Z73" i="6"/>
  <c r="Z89" i="6"/>
  <c r="Z105" i="6"/>
  <c r="Z121" i="6"/>
  <c r="Z137" i="6"/>
  <c r="Z88" i="6"/>
  <c r="Z117" i="6"/>
  <c r="Z152" i="6"/>
  <c r="Z168" i="6"/>
  <c r="Z184" i="6"/>
  <c r="Z200" i="6"/>
  <c r="Z147" i="6"/>
  <c r="Z163" i="6"/>
  <c r="Z179" i="6"/>
  <c r="Z195" i="6"/>
  <c r="Z76" i="6"/>
  <c r="Z142" i="6"/>
  <c r="Z158" i="6"/>
  <c r="Z174" i="6"/>
  <c r="Z190" i="6"/>
  <c r="Z104" i="6"/>
  <c r="Z153" i="6"/>
  <c r="Z169" i="6"/>
  <c r="Z185" i="6"/>
  <c r="Z201" i="6"/>
  <c r="Z148" i="6"/>
  <c r="Z164" i="6"/>
  <c r="Z180" i="6"/>
  <c r="Z196" i="6"/>
  <c r="Z135" i="6"/>
  <c r="Z143" i="6"/>
  <c r="Z159" i="6"/>
  <c r="Z175" i="6"/>
  <c r="Z191" i="6"/>
  <c r="Z133" i="6"/>
  <c r="Z154" i="6"/>
  <c r="Z170" i="6"/>
  <c r="Z186" i="6"/>
  <c r="Z120" i="6"/>
  <c r="Z149" i="6"/>
  <c r="Z165" i="6"/>
  <c r="Z181" i="6"/>
  <c r="Z144" i="6"/>
  <c r="Z160" i="6"/>
  <c r="Z176" i="6"/>
  <c r="Z192" i="6"/>
  <c r="Z155" i="6"/>
  <c r="Z171" i="6"/>
  <c r="Z187" i="6"/>
  <c r="Z139" i="6"/>
  <c r="Z150" i="6"/>
  <c r="Z166" i="6"/>
  <c r="Z182" i="6"/>
  <c r="Z198" i="6"/>
  <c r="Z145" i="6"/>
  <c r="Z161" i="6"/>
  <c r="Z177" i="6"/>
  <c r="Z193" i="6"/>
  <c r="Z140" i="6"/>
  <c r="Z156" i="6"/>
  <c r="Z136" i="6"/>
  <c r="Z138" i="6"/>
  <c r="Z151" i="6"/>
  <c r="Z167" i="6"/>
  <c r="Z183" i="6"/>
  <c r="Z199" i="6"/>
  <c r="Z146" i="6"/>
  <c r="Z162" i="6"/>
  <c r="Z178" i="6"/>
  <c r="Z194" i="6"/>
  <c r="Z141" i="6"/>
  <c r="Z157" i="6"/>
  <c r="Z173" i="6"/>
  <c r="Z189" i="6"/>
  <c r="Z197" i="6"/>
  <c r="Z172" i="6"/>
  <c r="Z188" i="6"/>
  <c r="AC9" i="6"/>
  <c r="AC25" i="6"/>
  <c r="AC41" i="6"/>
  <c r="AC57" i="6"/>
  <c r="AC73" i="6"/>
  <c r="AC20" i="6"/>
  <c r="AC36" i="6"/>
  <c r="AC52" i="6"/>
  <c r="AC68" i="6"/>
  <c r="AC15" i="6"/>
  <c r="AC31" i="6"/>
  <c r="AC47" i="6"/>
  <c r="AC63" i="6"/>
  <c r="AC21" i="6"/>
  <c r="AC37" i="6"/>
  <c r="AC53" i="6"/>
  <c r="AC16" i="6"/>
  <c r="AC32" i="6"/>
  <c r="AC48" i="6"/>
  <c r="AC64" i="6"/>
  <c r="AC11" i="6"/>
  <c r="AC27" i="6"/>
  <c r="AC43" i="6"/>
  <c r="AC59" i="6"/>
  <c r="AC22" i="6"/>
  <c r="AC38" i="6"/>
  <c r="AC54" i="6"/>
  <c r="AC70" i="6"/>
  <c r="AC17" i="6"/>
  <c r="AC33" i="6"/>
  <c r="AC49" i="6"/>
  <c r="AC65" i="6"/>
  <c r="AC12" i="6"/>
  <c r="AC28" i="6"/>
  <c r="AC44" i="6"/>
  <c r="AC60" i="6"/>
  <c r="AC23" i="6"/>
  <c r="AC39" i="6"/>
  <c r="AC55" i="6"/>
  <c r="AC71" i="6"/>
  <c r="AC18" i="6"/>
  <c r="AC34" i="6"/>
  <c r="AC50" i="6"/>
  <c r="AC66" i="6"/>
  <c r="AC13" i="6"/>
  <c r="AC29" i="6"/>
  <c r="AC45" i="6"/>
  <c r="AC61" i="6"/>
  <c r="AC24" i="6"/>
  <c r="AC40" i="6"/>
  <c r="AC56" i="6"/>
  <c r="AC72" i="6"/>
  <c r="AC19" i="6"/>
  <c r="AC35" i="6"/>
  <c r="AC51" i="6"/>
  <c r="AC67" i="6"/>
  <c r="AC14" i="6"/>
  <c r="AC30" i="6"/>
  <c r="AC46" i="6"/>
  <c r="AC62" i="6"/>
  <c r="AC42" i="6"/>
  <c r="AC77" i="6"/>
  <c r="AC94" i="6"/>
  <c r="AC110" i="6"/>
  <c r="AC126" i="6"/>
  <c r="AC89" i="6"/>
  <c r="AC105" i="6"/>
  <c r="AC121" i="6"/>
  <c r="AC137" i="6"/>
  <c r="AC78" i="6"/>
  <c r="AC84" i="6"/>
  <c r="AC100" i="6"/>
  <c r="AC116" i="6"/>
  <c r="AC132" i="6"/>
  <c r="AC58" i="6"/>
  <c r="AC79" i="6"/>
  <c r="AC95" i="6"/>
  <c r="AC90" i="6"/>
  <c r="AC106" i="6"/>
  <c r="AC122" i="6"/>
  <c r="AC138" i="6"/>
  <c r="AC85" i="6"/>
  <c r="AC101" i="6"/>
  <c r="AC117" i="6"/>
  <c r="AC80" i="6"/>
  <c r="AC96" i="6"/>
  <c r="AC112" i="6"/>
  <c r="AC128" i="6"/>
  <c r="AC91" i="6"/>
  <c r="AC107" i="6"/>
  <c r="AC123" i="6"/>
  <c r="AC86" i="6"/>
  <c r="AC102" i="6"/>
  <c r="AC118" i="6"/>
  <c r="AC134" i="6"/>
  <c r="AC81" i="6"/>
  <c r="AC97" i="6"/>
  <c r="AC113" i="6"/>
  <c r="AC10" i="6"/>
  <c r="AC92" i="6"/>
  <c r="AC108" i="6"/>
  <c r="AC124" i="6"/>
  <c r="AC74" i="6"/>
  <c r="AC87" i="6"/>
  <c r="AC103" i="6"/>
  <c r="AC119" i="6"/>
  <c r="AC26" i="6"/>
  <c r="AC93" i="6"/>
  <c r="AC109" i="6"/>
  <c r="AC125" i="6"/>
  <c r="AC76" i="6"/>
  <c r="AC88" i="6"/>
  <c r="AC104" i="6"/>
  <c r="AC120" i="6"/>
  <c r="AC136" i="6"/>
  <c r="AC83" i="6"/>
  <c r="AC99" i="6"/>
  <c r="AC115" i="6"/>
  <c r="AC131" i="6"/>
  <c r="AC146" i="6"/>
  <c r="AC162" i="6"/>
  <c r="AC178" i="6"/>
  <c r="AC194" i="6"/>
  <c r="AC75" i="6"/>
  <c r="AC141" i="6"/>
  <c r="AC157" i="6"/>
  <c r="AC173" i="6"/>
  <c r="AC189" i="6"/>
  <c r="AC111" i="6"/>
  <c r="AC152" i="6"/>
  <c r="AC168" i="6"/>
  <c r="AC184" i="6"/>
  <c r="AC147" i="6"/>
  <c r="AC163" i="6"/>
  <c r="AC179" i="6"/>
  <c r="AC195" i="6"/>
  <c r="AC129" i="6"/>
  <c r="AC142" i="6"/>
  <c r="AC158" i="6"/>
  <c r="AC174" i="6"/>
  <c r="AC190" i="6"/>
  <c r="AC153" i="6"/>
  <c r="AC169" i="6"/>
  <c r="AC185" i="6"/>
  <c r="AC135" i="6"/>
  <c r="AC148" i="6"/>
  <c r="AC164" i="6"/>
  <c r="AC180" i="6"/>
  <c r="AC196" i="6"/>
  <c r="AC133" i="6"/>
  <c r="AC143" i="6"/>
  <c r="AC159" i="6"/>
  <c r="AC175" i="6"/>
  <c r="AC130" i="6"/>
  <c r="AC154" i="6"/>
  <c r="AC170" i="6"/>
  <c r="AC186" i="6"/>
  <c r="AC82" i="6"/>
  <c r="AC114" i="6"/>
  <c r="AC149" i="6"/>
  <c r="AC165" i="6"/>
  <c r="AC181" i="6"/>
  <c r="AC197" i="6"/>
  <c r="AC144" i="6"/>
  <c r="AC160" i="6"/>
  <c r="AC176" i="6"/>
  <c r="AC192" i="6"/>
  <c r="AC139" i="6"/>
  <c r="AC155" i="6"/>
  <c r="AC171" i="6"/>
  <c r="AC187" i="6"/>
  <c r="AC98" i="6"/>
  <c r="AC150" i="6"/>
  <c r="AC166" i="6"/>
  <c r="AC69" i="6"/>
  <c r="AC127" i="6"/>
  <c r="AC145" i="6"/>
  <c r="AC161" i="6"/>
  <c r="AC177" i="6"/>
  <c r="AC193" i="6"/>
  <c r="AC140" i="6"/>
  <c r="AC156" i="6"/>
  <c r="AC172" i="6"/>
  <c r="AC188" i="6"/>
  <c r="AC151" i="6"/>
  <c r="AC167" i="6"/>
  <c r="AC183" i="6"/>
  <c r="AC199" i="6"/>
  <c r="AC191" i="6"/>
  <c r="AC201" i="6"/>
  <c r="AC182" i="6"/>
  <c r="AC200" i="6"/>
  <c r="AC198" i="6"/>
  <c r="AC780" i="1"/>
  <c r="S22" i="6"/>
  <c r="S38" i="6"/>
  <c r="S54" i="6"/>
  <c r="S70" i="6"/>
  <c r="S17" i="6"/>
  <c r="S33" i="6"/>
  <c r="S49" i="6"/>
  <c r="S65" i="6"/>
  <c r="S12" i="6"/>
  <c r="S28" i="6"/>
  <c r="S44" i="6"/>
  <c r="S60" i="6"/>
  <c r="S18" i="6"/>
  <c r="S34" i="6"/>
  <c r="S50" i="6"/>
  <c r="S66" i="6"/>
  <c r="S13" i="6"/>
  <c r="S29" i="6"/>
  <c r="S45" i="6"/>
  <c r="S61" i="6"/>
  <c r="S8" i="6"/>
  <c r="S24" i="6"/>
  <c r="S40" i="6"/>
  <c r="S56" i="6"/>
  <c r="S72" i="6"/>
  <c r="S19" i="6"/>
  <c r="S35" i="6"/>
  <c r="S51" i="6"/>
  <c r="S67" i="6"/>
  <c r="S14" i="6"/>
  <c r="S30" i="6"/>
  <c r="S46" i="6"/>
  <c r="S62" i="6"/>
  <c r="S9" i="6"/>
  <c r="S25" i="6"/>
  <c r="S41" i="6"/>
  <c r="S57" i="6"/>
  <c r="S20" i="6"/>
  <c r="S36" i="6"/>
  <c r="S52" i="6"/>
  <c r="S68" i="6"/>
  <c r="S15" i="6"/>
  <c r="S31" i="6"/>
  <c r="S47" i="6"/>
  <c r="S63" i="6"/>
  <c r="S10" i="6"/>
  <c r="S26" i="6"/>
  <c r="S42" i="6"/>
  <c r="S58" i="6"/>
  <c r="S21" i="6"/>
  <c r="S37" i="6"/>
  <c r="S53" i="6"/>
  <c r="S69" i="6"/>
  <c r="S16" i="6"/>
  <c r="S32" i="6"/>
  <c r="S48" i="6"/>
  <c r="S64" i="6"/>
  <c r="S11" i="6"/>
  <c r="S27" i="6"/>
  <c r="S43" i="6"/>
  <c r="S59" i="6"/>
  <c r="S91" i="6"/>
  <c r="S107" i="6"/>
  <c r="S123" i="6"/>
  <c r="S86" i="6"/>
  <c r="S102" i="6"/>
  <c r="S118" i="6"/>
  <c r="S134" i="6"/>
  <c r="S81" i="6"/>
  <c r="S97" i="6"/>
  <c r="S113" i="6"/>
  <c r="S129" i="6"/>
  <c r="S92" i="6"/>
  <c r="S87" i="6"/>
  <c r="S103" i="6"/>
  <c r="S119" i="6"/>
  <c r="S135" i="6"/>
  <c r="S82" i="6"/>
  <c r="S98" i="6"/>
  <c r="S114" i="6"/>
  <c r="S130" i="6"/>
  <c r="S75" i="6"/>
  <c r="S93" i="6"/>
  <c r="S109" i="6"/>
  <c r="S125" i="6"/>
  <c r="S74" i="6"/>
  <c r="S76" i="6"/>
  <c r="S88" i="6"/>
  <c r="S104" i="6"/>
  <c r="S120" i="6"/>
  <c r="S71" i="6"/>
  <c r="S83" i="6"/>
  <c r="S99" i="6"/>
  <c r="S115" i="6"/>
  <c r="S131" i="6"/>
  <c r="S23" i="6"/>
  <c r="S77" i="6"/>
  <c r="S94" i="6"/>
  <c r="S110" i="6"/>
  <c r="S89" i="6"/>
  <c r="S105" i="6"/>
  <c r="S121" i="6"/>
  <c r="S137" i="6"/>
  <c r="S78" i="6"/>
  <c r="S84" i="6"/>
  <c r="S100" i="6"/>
  <c r="S116" i="6"/>
  <c r="S132" i="6"/>
  <c r="S73" i="6"/>
  <c r="S79" i="6"/>
  <c r="S90" i="6"/>
  <c r="S106" i="6"/>
  <c r="S122" i="6"/>
  <c r="S85" i="6"/>
  <c r="S101" i="6"/>
  <c r="S117" i="6"/>
  <c r="S133" i="6"/>
  <c r="S55" i="6"/>
  <c r="S80" i="6"/>
  <c r="S96" i="6"/>
  <c r="S112" i="6"/>
  <c r="S128" i="6"/>
  <c r="S143" i="6"/>
  <c r="S159" i="6"/>
  <c r="S175" i="6"/>
  <c r="S191" i="6"/>
  <c r="S111" i="6"/>
  <c r="S124" i="6"/>
  <c r="S154" i="6"/>
  <c r="S170" i="6"/>
  <c r="S186" i="6"/>
  <c r="S149" i="6"/>
  <c r="S165" i="6"/>
  <c r="S181" i="6"/>
  <c r="S197" i="6"/>
  <c r="S144" i="6"/>
  <c r="S160" i="6"/>
  <c r="S176" i="6"/>
  <c r="S192" i="6"/>
  <c r="S155" i="6"/>
  <c r="S171" i="6"/>
  <c r="S187" i="6"/>
  <c r="S150" i="6"/>
  <c r="S166" i="6"/>
  <c r="S182" i="6"/>
  <c r="S198" i="6"/>
  <c r="S139" i="6"/>
  <c r="S145" i="6"/>
  <c r="S161" i="6"/>
  <c r="S177" i="6"/>
  <c r="S193" i="6"/>
  <c r="S140" i="6"/>
  <c r="S156" i="6"/>
  <c r="S172" i="6"/>
  <c r="S188" i="6"/>
  <c r="S95" i="6"/>
  <c r="S126" i="6"/>
  <c r="S151" i="6"/>
  <c r="S167" i="6"/>
  <c r="S183" i="6"/>
  <c r="S199" i="6"/>
  <c r="S146" i="6"/>
  <c r="S162" i="6"/>
  <c r="S178" i="6"/>
  <c r="S194" i="6"/>
  <c r="S39" i="6"/>
  <c r="S108" i="6"/>
  <c r="S136" i="6"/>
  <c r="S141" i="6"/>
  <c r="S157" i="6"/>
  <c r="S173" i="6"/>
  <c r="S189" i="6"/>
  <c r="S138" i="6"/>
  <c r="S152" i="6"/>
  <c r="S168" i="6"/>
  <c r="S184" i="6"/>
  <c r="S127" i="6"/>
  <c r="S147" i="6"/>
  <c r="S163" i="6"/>
  <c r="S142" i="6"/>
  <c r="S158" i="6"/>
  <c r="S174" i="6"/>
  <c r="S190" i="6"/>
  <c r="S153" i="6"/>
  <c r="S169" i="6"/>
  <c r="S185" i="6"/>
  <c r="S148" i="6"/>
  <c r="S164" i="6"/>
  <c r="S180" i="6"/>
  <c r="S196" i="6"/>
  <c r="S201" i="6"/>
  <c r="S179" i="6"/>
  <c r="S200" i="6"/>
  <c r="S195" i="6"/>
  <c r="K8" i="6"/>
  <c r="K9" i="6"/>
  <c r="K10" i="6"/>
  <c r="K11" i="6"/>
  <c r="AC1045" i="1"/>
  <c r="AE9" i="6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AP1111" i="1" s="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P994" i="1" s="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O852" i="1" s="1"/>
  <c r="AF66" i="11"/>
  <c r="I10" i="11"/>
  <c r="AO945" i="1" s="1"/>
  <c r="W41" i="11"/>
  <c r="AD48" i="11"/>
  <c r="F64" i="11"/>
  <c r="C61" i="11"/>
  <c r="AD45" i="11"/>
  <c r="W21" i="11"/>
  <c r="AO818" i="1" s="1"/>
  <c r="AC5" i="11"/>
  <c r="K66" i="11"/>
  <c r="P41" i="11"/>
  <c r="D28" i="11"/>
  <c r="AO821" i="1" s="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L39" i="11"/>
  <c r="Z68" i="11"/>
  <c r="C55" i="11"/>
  <c r="Y59" i="11"/>
  <c r="C14" i="11"/>
  <c r="AO271" i="1" s="1"/>
  <c r="B27" i="1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AO104" i="1" s="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AO948" i="1" s="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O288" i="1" s="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AO449" i="1" s="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AO320" i="1" s="1"/>
  <c r="Y21" i="11"/>
  <c r="AP1224" i="1" s="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AO802" i="1" s="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AO513" i="1" s="1"/>
  <c r="T24" i="11"/>
  <c r="J8" i="11"/>
  <c r="AO102" i="1" s="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AB24" i="11"/>
  <c r="AC455" i="1"/>
  <c r="AD467" i="1"/>
  <c r="AC383" i="1"/>
  <c r="B14" i="11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W31" i="11"/>
  <c r="D33" i="11"/>
  <c r="AA20" i="11"/>
  <c r="AC369" i="1"/>
  <c r="L10" i="11"/>
  <c r="I5" i="11"/>
  <c r="F5" i="11"/>
  <c r="F21" i="11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H23" i="11"/>
  <c r="AA23" i="11"/>
  <c r="Z10" i="11"/>
  <c r="AF31" i="11"/>
  <c r="C6" i="11"/>
  <c r="AD10" i="11"/>
  <c r="AA29" i="11"/>
  <c r="B16" i="11"/>
  <c r="O7" i="11"/>
  <c r="AD16" i="11"/>
  <c r="E22" i="11"/>
  <c r="V4" i="11"/>
  <c r="D12" i="11"/>
  <c r="P33" i="11"/>
  <c r="O30" i="11"/>
  <c r="R16" i="11"/>
  <c r="K8" i="11"/>
  <c r="T4" i="11"/>
  <c r="E21" i="11"/>
  <c r="N29" i="11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BD17" i="1" s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24" i="2"/>
  <c r="BN7" i="2"/>
  <c r="BN5" i="2"/>
  <c r="BN33" i="2"/>
  <c r="BN12" i="2"/>
  <c r="BN30" i="2"/>
  <c r="BN20" i="2"/>
  <c r="BN16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P35" i="8" s="1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4" i="2"/>
  <c r="H36" i="2"/>
  <c r="H35" i="2"/>
  <c r="H37" i="2"/>
  <c r="V35" i="2"/>
  <c r="V37" i="2"/>
  <c r="V36" i="2"/>
  <c r="T37" i="2"/>
  <c r="T36" i="2"/>
  <c r="T35" i="2"/>
  <c r="O37" i="2"/>
  <c r="O36" i="2"/>
  <c r="O35" i="2"/>
  <c r="G4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V5" i="1"/>
  <c r="BT5" i="1"/>
  <c r="AC246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AC126" i="1"/>
  <c r="AD189" i="1"/>
  <c r="AC120" i="1"/>
  <c r="AC128" i="1"/>
  <c r="AC228" i="1"/>
  <c r="AC159" i="1"/>
  <c r="AD78" i="1"/>
  <c r="AC198" i="1"/>
  <c r="AD206" i="1"/>
  <c r="AD182" i="1"/>
  <c r="AC240" i="1"/>
  <c r="AC180" i="1"/>
  <c r="AC141" i="1"/>
  <c r="BL7" i="2"/>
  <c r="BL33" i="2"/>
  <c r="BL30" i="2"/>
  <c r="AD225" i="1"/>
  <c r="AD164" i="1"/>
  <c r="BL16" i="2"/>
  <c r="AD168" i="1"/>
  <c r="AC170" i="1"/>
  <c r="AC156" i="1"/>
  <c r="AJ32" i="2"/>
  <c r="AC231" i="1"/>
  <c r="BL24" i="2"/>
  <c r="AD239" i="1"/>
  <c r="AC236" i="1"/>
  <c r="AC150" i="1"/>
  <c r="AC122" i="1"/>
  <c r="AD123" i="1"/>
  <c r="AC102" i="1"/>
  <c r="BL5" i="2"/>
  <c r="BL12" i="2"/>
  <c r="BL20" i="2"/>
  <c r="AC165" i="1"/>
  <c r="AC194" i="1"/>
  <c r="AC210" i="1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AC40" i="1"/>
  <c r="AC51" i="1"/>
  <c r="AC36" i="1"/>
  <c r="AC27" i="1"/>
  <c r="AC45" i="1"/>
  <c r="AC88" i="1"/>
  <c r="AC75" i="1"/>
  <c r="AC83" i="1"/>
  <c r="AC116" i="1"/>
  <c r="AC44" i="1"/>
  <c r="AC67" i="1"/>
  <c r="AC144" i="1"/>
  <c r="AC87" i="1"/>
  <c r="AC183" i="1"/>
  <c r="AC118" i="1"/>
  <c r="AC160" i="1"/>
  <c r="AC202" i="1"/>
  <c r="BO4" i="2"/>
  <c r="AH30" i="2"/>
  <c r="AJ30" i="2"/>
  <c r="BO18" i="2"/>
  <c r="BO9" i="2"/>
  <c r="BO17" i="2"/>
  <c r="AJ3" i="2"/>
  <c r="BO22" i="2"/>
  <c r="AJ33" i="2"/>
  <c r="AH33" i="2"/>
  <c r="AH5" i="2"/>
  <c r="BO32" i="2"/>
  <c r="AJ26" i="2"/>
  <c r="AJ5" i="2"/>
  <c r="BO3" i="2"/>
  <c r="BN19" i="2"/>
  <c r="AJ9" i="2"/>
  <c r="AG23" i="2"/>
  <c r="BO53" i="5"/>
  <c r="CY6" i="2"/>
  <c r="CY5" i="2"/>
  <c r="AE19" i="2"/>
  <c r="AI30" i="2"/>
  <c r="AI6" i="2"/>
  <c r="BO46" i="5"/>
  <c r="AI20" i="2"/>
  <c r="AH31" i="2"/>
  <c r="AJ19" i="2"/>
  <c r="BO11" i="2"/>
  <c r="AE18" i="2"/>
  <c r="AF8" i="2"/>
  <c r="AF19" i="2"/>
  <c r="BO14" i="5"/>
  <c r="BO11" i="5"/>
  <c r="BO8" i="5"/>
  <c r="CS3" i="2"/>
  <c r="CS12" i="2" s="1"/>
  <c r="BO60" i="5"/>
  <c r="BO17" i="5"/>
  <c r="BO3" i="5"/>
  <c r="BO50" i="5"/>
  <c r="BO19" i="5"/>
  <c r="BO33" i="5"/>
  <c r="BO24" i="5"/>
  <c r="AG9" i="2"/>
  <c r="BO10" i="5"/>
  <c r="AF7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24" i="2"/>
  <c r="AH7" i="2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AH23" i="2"/>
  <c r="AH11" i="2"/>
  <c r="AF29" i="2"/>
  <c r="BN4" i="2"/>
  <c r="BO2" i="2"/>
  <c r="BO42" i="5"/>
  <c r="BO31" i="2"/>
  <c r="BO27" i="2"/>
  <c r="BO21" i="5"/>
  <c r="AJ12" i="2"/>
  <c r="AI13" i="2"/>
  <c r="AG24" i="2"/>
  <c r="AI32" i="2"/>
  <c r="AE14" i="2"/>
  <c r="AI17" i="2"/>
  <c r="AI10" i="2"/>
  <c r="AG13" i="2"/>
  <c r="AC21" i="2"/>
  <c r="AC27" i="2"/>
  <c r="AC33" i="2"/>
  <c r="AG30" i="2"/>
  <c r="AI21" i="2"/>
  <c r="AI27" i="2"/>
  <c r="AG21" i="2"/>
  <c r="AC32" i="2"/>
  <c r="AE31" i="2"/>
  <c r="AE8" i="2"/>
  <c r="AI7" i="2"/>
  <c r="AI16" i="2"/>
  <c r="AE25" i="2"/>
  <c r="AC14" i="2"/>
  <c r="AC23" i="2"/>
  <c r="AC2" i="2"/>
  <c r="AE33" i="2"/>
  <c r="AE7" i="2"/>
  <c r="AI15" i="2"/>
  <c r="AF5" i="2"/>
  <c r="AE4" i="2"/>
  <c r="AI18" i="2"/>
  <c r="AE3" i="2"/>
  <c r="AG12" i="2"/>
  <c r="AG10" i="2"/>
  <c r="AE11" i="2"/>
  <c r="AI9" i="2"/>
  <c r="AC20" i="2"/>
  <c r="AE32" i="2"/>
  <c r="AC13" i="2"/>
  <c r="AI4" i="2"/>
  <c r="AG25" i="2"/>
  <c r="AE6" i="2"/>
  <c r="AE24" i="2"/>
  <c r="AE15" i="2"/>
  <c r="AI3" i="2"/>
  <c r="AF30" i="2"/>
  <c r="AE17" i="2"/>
  <c r="AI22" i="2"/>
  <c r="AE16" i="2"/>
  <c r="AC19" i="2"/>
  <c r="AC31" i="2"/>
  <c r="AE21" i="2"/>
  <c r="AE5" i="2"/>
  <c r="AI23" i="2"/>
  <c r="AI11" i="2"/>
  <c r="AE30" i="2"/>
  <c r="AE23" i="2"/>
  <c r="AF33" i="2"/>
  <c r="AC15" i="2"/>
  <c r="AG8" i="2"/>
  <c r="AI12" i="2"/>
  <c r="AI2" i="2"/>
  <c r="AG33" i="2"/>
  <c r="AC24" i="2"/>
  <c r="AI8" i="2"/>
  <c r="AE2" i="2"/>
  <c r="AE10" i="2"/>
  <c r="AG15" i="2"/>
  <c r="AI26" i="2"/>
  <c r="AE12" i="2"/>
  <c r="AE22" i="2"/>
  <c r="AC11" i="2"/>
  <c r="AI25" i="2"/>
  <c r="AI14" i="2"/>
  <c r="AC6" i="2"/>
  <c r="AI31" i="2"/>
  <c r="AE27" i="2"/>
  <c r="AG31" i="2"/>
  <c r="AI19" i="2"/>
  <c r="AC4" i="2"/>
  <c r="AC7" i="2"/>
  <c r="AC3" i="2"/>
  <c r="AC18" i="2"/>
  <c r="AG7" i="2"/>
  <c r="AI33" i="2"/>
  <c r="AI29" i="2"/>
  <c r="AC26" i="2"/>
  <c r="AC28" i="2"/>
  <c r="AC29" i="2"/>
  <c r="AG26" i="2"/>
  <c r="AG17" i="2"/>
  <c r="AI5" i="2"/>
  <c r="AC10" i="2"/>
  <c r="AE20" i="2"/>
  <c r="AG3" i="2"/>
  <c r="AG14" i="2"/>
  <c r="AG11" i="2"/>
  <c r="AC22" i="2"/>
  <c r="AC25" i="2"/>
  <c r="AG20" i="2"/>
  <c r="AE13" i="2"/>
  <c r="AG22" i="2"/>
  <c r="AE26" i="2"/>
  <c r="AG32" i="2"/>
  <c r="AG28" i="2"/>
  <c r="AG16" i="2"/>
  <c r="AC9" i="2"/>
  <c r="AC5" i="2"/>
  <c r="AC8" i="2"/>
  <c r="AC12" i="2"/>
  <c r="AE9" i="2"/>
  <c r="AG2" i="2"/>
  <c r="AG5" i="2"/>
  <c r="AG18" i="2"/>
  <c r="AE28" i="2"/>
  <c r="AH4" i="2"/>
  <c r="AG19" i="2"/>
  <c r="AC30" i="2"/>
  <c r="AC17" i="2"/>
  <c r="AC16" i="2"/>
  <c r="AJ7" i="2"/>
  <c r="AG4" i="2"/>
  <c r="AG27" i="2"/>
  <c r="AG6" i="2"/>
  <c r="AI28" i="2"/>
  <c r="AG29" i="2"/>
  <c r="AE29" i="2"/>
  <c r="AH16" i="2"/>
  <c r="BX8" i="2"/>
  <c r="J14" i="2"/>
  <c r="G14" i="2"/>
  <c r="J17" i="2"/>
  <c r="G17" i="2"/>
  <c r="J19" i="2"/>
  <c r="BX24" i="2"/>
  <c r="J24" i="2"/>
  <c r="BV11" i="2"/>
  <c r="X24" i="2"/>
  <c r="BX11" i="2"/>
  <c r="BX30" i="2"/>
  <c r="J5" i="2"/>
  <c r="X5" i="2"/>
  <c r="X17" i="2"/>
  <c r="X10" i="2"/>
  <c r="BV30" i="2"/>
  <c r="J7" i="2"/>
  <c r="BV10" i="2"/>
  <c r="BX10" i="2"/>
  <c r="X2" i="2"/>
  <c r="BV25" i="2"/>
  <c r="X3" i="2"/>
  <c r="X26" i="2"/>
  <c r="BX6" i="2"/>
  <c r="BW8" i="2"/>
  <c r="AH22" i="2"/>
  <c r="BX18" i="2"/>
  <c r="X18" i="2"/>
  <c r="BW28" i="2"/>
  <c r="X16" i="2"/>
  <c r="BV28" i="2"/>
  <c r="BX16" i="2"/>
  <c r="BX26" i="2"/>
  <c r="BX25" i="2"/>
  <c r="X14" i="2"/>
  <c r="X29" i="2"/>
  <c r="BO23" i="2"/>
  <c r="X12" i="2"/>
  <c r="BX33" i="2"/>
  <c r="BX23" i="2"/>
  <c r="BX28" i="2"/>
  <c r="X21" i="2"/>
  <c r="BX32" i="2"/>
  <c r="BX21" i="2"/>
  <c r="BX14" i="2"/>
  <c r="X23" i="2"/>
  <c r="J30" i="2"/>
  <c r="X8" i="2"/>
  <c r="X25" i="2"/>
  <c r="BV29" i="2"/>
  <c r="BX29" i="2"/>
  <c r="BW10" i="2"/>
  <c r="BV3" i="2"/>
  <c r="BV33" i="2"/>
  <c r="BW33" i="2"/>
  <c r="BV18" i="2"/>
  <c r="BV32" i="2"/>
  <c r="BV26" i="2"/>
  <c r="X9" i="2"/>
  <c r="BX3" i="2"/>
  <c r="BV14" i="2"/>
  <c r="X33" i="2"/>
  <c r="X11" i="2"/>
  <c r="BW23" i="2"/>
  <c r="BX12" i="2"/>
  <c r="BX22" i="2"/>
  <c r="BX5" i="2"/>
  <c r="BV5" i="2"/>
  <c r="BV7" i="2"/>
  <c r="X32" i="2"/>
  <c r="BX19" i="2"/>
  <c r="X19" i="2"/>
  <c r="BX17" i="2"/>
  <c r="BX31" i="2"/>
  <c r="J22" i="2"/>
  <c r="E22" i="2" s="1"/>
  <c r="X13" i="2"/>
  <c r="BV23" i="2"/>
  <c r="AF16" i="2"/>
  <c r="AF28" i="2"/>
  <c r="AJ24" i="2"/>
  <c r="AF24" i="2"/>
  <c r="AF12" i="2"/>
  <c r="BN26" i="2"/>
  <c r="AF20" i="2"/>
  <c r="AH2" i="2"/>
  <c r="BV8" i="2"/>
  <c r="P12" i="2"/>
  <c r="BV21" i="2"/>
  <c r="BV31" i="2"/>
  <c r="X15" i="2"/>
  <c r="BX15" i="2"/>
  <c r="J28" i="2"/>
  <c r="X28" i="2"/>
  <c r="J4" i="2"/>
  <c r="X27" i="2"/>
  <c r="BX27" i="2"/>
  <c r="X4" i="2"/>
  <c r="P28" i="2"/>
  <c r="BW24" i="2"/>
  <c r="BX4" i="2"/>
  <c r="P17" i="2"/>
  <c r="X22" i="2"/>
  <c r="P29" i="2"/>
  <c r="X30" i="2"/>
  <c r="P18" i="2"/>
  <c r="P21" i="2"/>
  <c r="P3" i="2"/>
  <c r="X7" i="2"/>
  <c r="P2" i="2"/>
  <c r="P31" i="2"/>
  <c r="X31" i="2"/>
  <c r="P15" i="2"/>
  <c r="P26" i="2"/>
  <c r="BV22" i="2"/>
  <c r="BV24" i="2"/>
  <c r="BV27" i="2"/>
  <c r="BV12" i="2"/>
  <c r="BV4" i="2"/>
  <c r="BV13" i="2"/>
  <c r="BX7" i="2"/>
  <c r="BW17" i="2"/>
  <c r="BV2" i="2"/>
  <c r="BV19" i="2"/>
  <c r="BV16" i="2"/>
  <c r="BW32" i="2"/>
  <c r="BW11" i="2"/>
  <c r="BV17" i="2"/>
  <c r="BW9" i="2"/>
  <c r="BV9" i="2"/>
  <c r="BV15" i="2"/>
  <c r="BW25" i="2"/>
  <c r="BW16" i="2"/>
  <c r="BW6" i="2"/>
  <c r="BV6" i="2"/>
  <c r="BX9" i="2"/>
  <c r="AH18" i="2"/>
  <c r="X6" i="2"/>
  <c r="AH24" i="2"/>
  <c r="P27" i="2"/>
  <c r="BX2" i="2"/>
  <c r="J3" i="2"/>
  <c r="BW12" i="2"/>
  <c r="J10" i="2"/>
  <c r="P16" i="2"/>
  <c r="BX13" i="2"/>
  <c r="BW5" i="2"/>
  <c r="P5" i="2"/>
  <c r="J15" i="2"/>
  <c r="BW15" i="2"/>
  <c r="BW29" i="2"/>
  <c r="J9" i="2"/>
  <c r="P9" i="2"/>
  <c r="BW19" i="2"/>
  <c r="P19" i="2"/>
  <c r="J16" i="2"/>
  <c r="J8" i="2"/>
  <c r="J21" i="2"/>
  <c r="BW30" i="2"/>
  <c r="J25" i="2"/>
  <c r="P25" i="2"/>
  <c r="P24" i="2"/>
  <c r="BW31" i="2"/>
  <c r="BW21" i="2"/>
  <c r="J23" i="2"/>
  <c r="J2" i="2"/>
  <c r="J29" i="2"/>
  <c r="P8" i="2"/>
  <c r="P30" i="2"/>
  <c r="BW3" i="2"/>
  <c r="J13" i="2"/>
  <c r="BW27" i="2"/>
  <c r="J18" i="2"/>
  <c r="P23" i="2"/>
  <c r="BW14" i="2"/>
  <c r="P22" i="2"/>
  <c r="J6" i="2"/>
  <c r="J27" i="2"/>
  <c r="J31" i="2"/>
  <c r="P6" i="2"/>
  <c r="J26" i="2"/>
  <c r="J33" i="2"/>
  <c r="J32" i="2"/>
  <c r="BW22" i="2"/>
  <c r="P10" i="2"/>
  <c r="BW26" i="2"/>
  <c r="P14" i="2"/>
  <c r="J12" i="2"/>
  <c r="P11" i="2"/>
  <c r="P32" i="2"/>
  <c r="P4" i="2"/>
  <c r="P7" i="2"/>
  <c r="BW7" i="2"/>
  <c r="J11" i="2"/>
  <c r="BW2" i="2"/>
  <c r="BW4" i="2"/>
  <c r="P13" i="2"/>
  <c r="BW18" i="2"/>
  <c r="BW13" i="2"/>
  <c r="P33" i="2"/>
  <c r="BH14" i="2"/>
  <c r="BH2" i="2"/>
  <c r="BH27" i="2"/>
  <c r="BH28" i="2"/>
  <c r="BH15" i="2"/>
  <c r="BH22" i="2"/>
  <c r="BH6" i="2"/>
  <c r="BH21" i="2"/>
  <c r="BH8" i="2"/>
  <c r="BH19" i="2"/>
  <c r="BH12" i="2"/>
  <c r="BH23" i="2"/>
  <c r="BH9" i="2"/>
  <c r="BH16" i="2"/>
  <c r="BH5" i="2"/>
  <c r="BH7" i="2"/>
  <c r="BH3" i="2"/>
  <c r="BH11" i="2"/>
  <c r="BH32" i="2"/>
  <c r="BH24" i="2"/>
  <c r="BH10" i="2"/>
  <c r="BH26" i="2"/>
  <c r="BH30" i="2"/>
  <c r="BH4" i="2"/>
  <c r="BH17" i="2"/>
  <c r="BH31" i="2"/>
  <c r="BH25" i="2"/>
  <c r="BH18" i="2"/>
  <c r="BH13" i="2"/>
  <c r="BH33" i="2"/>
  <c r="BH29" i="2"/>
  <c r="AJ20" i="2"/>
  <c r="AH20" i="2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O260" i="1" l="1"/>
  <c r="AO390" i="1"/>
  <c r="AO925" i="1"/>
  <c r="BD9" i="1"/>
  <c r="BI17" i="1"/>
  <c r="AP1104" i="1"/>
  <c r="AP389" i="1"/>
  <c r="AP638" i="1"/>
  <c r="AO1292" i="1"/>
  <c r="AP105" i="1"/>
  <c r="AO319" i="1"/>
  <c r="AO887" i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20" i="2"/>
  <c r="AL7" i="2"/>
  <c r="AL24" i="2"/>
  <c r="AL5" i="2"/>
  <c r="AL33" i="2"/>
  <c r="AL30" i="2"/>
  <c r="AP1009" i="1"/>
  <c r="AP990" i="1"/>
  <c r="AP855" i="1"/>
  <c r="AP989" i="1"/>
  <c r="AP1012" i="1"/>
  <c r="BZ18" i="2"/>
  <c r="AO1113" i="1"/>
  <c r="BZ5" i="2"/>
  <c r="BZ6" i="2"/>
  <c r="BZ4" i="2"/>
  <c r="BZ14" i="2"/>
  <c r="BZ27" i="2"/>
  <c r="BZ32" i="2"/>
  <c r="CJ12" i="2"/>
  <c r="CJ29" i="2"/>
  <c r="CJ33" i="2"/>
  <c r="BZ24" i="2"/>
  <c r="BZ7" i="2"/>
  <c r="BZ19" i="2"/>
  <c r="CI24" i="2"/>
  <c r="CI17" i="2"/>
  <c r="CJ25" i="2"/>
  <c r="BZ2" i="2"/>
  <c r="BZ29" i="2"/>
  <c r="BZ9" i="2"/>
  <c r="BZ11" i="2"/>
  <c r="BZ12" i="2"/>
  <c r="BZ30" i="2"/>
  <c r="BZ8" i="2"/>
  <c r="BZ17" i="2"/>
  <c r="BZ22" i="2"/>
  <c r="BZ33" i="2"/>
  <c r="BZ10" i="2"/>
  <c r="BZ13" i="2"/>
  <c r="BZ23" i="2"/>
  <c r="BZ3" i="2"/>
  <c r="BZ15" i="2"/>
  <c r="BZ16" i="2"/>
  <c r="BZ21" i="2"/>
  <c r="BZ26" i="2"/>
  <c r="BZ31" i="2"/>
  <c r="BZ25" i="2"/>
  <c r="BZ28" i="2"/>
  <c r="AO958" i="1"/>
  <c r="CJ19" i="2"/>
  <c r="CI5" i="2"/>
  <c r="CI4" i="2"/>
  <c r="CJ32" i="2"/>
  <c r="CI31" i="2"/>
  <c r="CJ14" i="2"/>
  <c r="CJ18" i="2"/>
  <c r="CI12" i="2"/>
  <c r="CI14" i="2"/>
  <c r="CI20" i="2"/>
  <c r="CI19" i="2"/>
  <c r="CJ16" i="2"/>
  <c r="CJ5" i="2"/>
  <c r="CJ24" i="2"/>
  <c r="CI11" i="2"/>
  <c r="CI22" i="2"/>
  <c r="CI30" i="2"/>
  <c r="CJ23" i="2"/>
  <c r="CJ6" i="2"/>
  <c r="CJ4" i="2"/>
  <c r="AP762" i="1"/>
  <c r="CI9" i="2"/>
  <c r="CI21" i="2"/>
  <c r="CJ7" i="2"/>
  <c r="CJ30" i="2"/>
  <c r="CI27" i="2"/>
  <c r="CI18" i="2"/>
  <c r="CJ27" i="2"/>
  <c r="CI16" i="2"/>
  <c r="CI10" i="2"/>
  <c r="CJ28" i="2"/>
  <c r="CI6" i="2"/>
  <c r="CI13" i="2"/>
  <c r="CI15" i="2"/>
  <c r="CJ17" i="2"/>
  <c r="CI3" i="2"/>
  <c r="CJ26" i="2"/>
  <c r="CJ15" i="2"/>
  <c r="CI33" i="2"/>
  <c r="CI7" i="2"/>
  <c r="CJ9" i="2"/>
  <c r="CI8" i="2"/>
  <c r="CI2" i="2"/>
  <c r="CJ2" i="2"/>
  <c r="CI23" i="2"/>
  <c r="CJ13" i="2"/>
  <c r="CJ10" i="2"/>
  <c r="CI32" i="2"/>
  <c r="CJ31" i="2"/>
  <c r="CI26" i="2"/>
  <c r="CJ3" i="2"/>
  <c r="CJ11" i="2"/>
  <c r="CJ21" i="2"/>
  <c r="CI25" i="2"/>
  <c r="CI28" i="2"/>
  <c r="CI29" i="2"/>
  <c r="CJ20" i="2"/>
  <c r="CJ22" i="2"/>
  <c r="CJ8" i="2"/>
  <c r="E25" i="2"/>
  <c r="BK19" i="2"/>
  <c r="E30" i="2"/>
  <c r="E26" i="2"/>
  <c r="E8" i="2"/>
  <c r="BK17" i="2"/>
  <c r="E27" i="2"/>
  <c r="E2" i="2"/>
  <c r="E16" i="2"/>
  <c r="E10" i="2"/>
  <c r="E32" i="2"/>
  <c r="E6" i="2"/>
  <c r="E23" i="2"/>
  <c r="E3" i="2"/>
  <c r="E7" i="2"/>
  <c r="E11" i="2"/>
  <c r="E12" i="2"/>
  <c r="E33" i="2"/>
  <c r="E21" i="2"/>
  <c r="E9" i="2"/>
  <c r="E31" i="2"/>
  <c r="E18" i="2"/>
  <c r="E29" i="2"/>
  <c r="E15" i="2"/>
  <c r="E24" i="2"/>
  <c r="BK14" i="2"/>
  <c r="BK5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5" i="2"/>
  <c r="AK24" i="2"/>
  <c r="AK30" i="2"/>
  <c r="AK7" i="2"/>
  <c r="AK33" i="2"/>
  <c r="AK20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U16" i="1"/>
  <c r="BS16" i="1"/>
  <c r="BW5" i="1"/>
  <c r="BL12" i="1"/>
  <c r="BL11" i="1"/>
  <c r="BO13" i="2"/>
  <c r="BN14" i="2"/>
  <c r="BN6" i="2"/>
  <c r="BO6" i="2"/>
  <c r="BN8" i="2"/>
  <c r="BN9" i="2"/>
  <c r="BN17" i="2"/>
  <c r="BO10" i="2"/>
  <c r="BN29" i="2"/>
  <c r="BO19" i="2"/>
  <c r="BN15" i="2"/>
  <c r="BN32" i="2"/>
  <c r="BO12" i="2"/>
  <c r="BO25" i="2"/>
  <c r="BN25" i="2"/>
  <c r="BN13" i="2"/>
  <c r="BO14" i="2"/>
  <c r="BN28" i="2"/>
  <c r="BN10" i="2"/>
  <c r="BN3" i="2"/>
  <c r="BO8" i="2"/>
  <c r="BO21" i="2"/>
  <c r="BO15" i="2"/>
  <c r="BO28" i="2"/>
  <c r="BN27" i="2"/>
  <c r="BN21" i="2"/>
  <c r="BO29" i="2"/>
  <c r="BO26" i="2"/>
  <c r="BN11" i="2"/>
  <c r="BO24" i="2"/>
  <c r="BO20" i="2"/>
  <c r="BN23" i="2"/>
  <c r="BO16" i="2"/>
  <c r="BN31" i="2"/>
  <c r="BN2" i="2"/>
  <c r="BN18" i="2"/>
  <c r="BO7" i="2"/>
  <c r="BO30" i="2"/>
  <c r="BO5" i="2"/>
  <c r="BO33" i="2"/>
  <c r="BN22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4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4" i="2"/>
  <c r="BM4" i="2"/>
  <c r="AP32" i="2"/>
  <c r="BL32" i="2"/>
  <c r="BM19" i="2"/>
  <c r="BL27" i="2"/>
  <c r="BL22" i="2"/>
  <c r="BM32" i="2"/>
  <c r="BM18" i="2"/>
  <c r="BM27" i="2"/>
  <c r="BL23" i="2"/>
  <c r="BL21" i="2"/>
  <c r="BM25" i="2"/>
  <c r="BL26" i="2"/>
  <c r="BM2" i="2"/>
  <c r="BM31" i="2"/>
  <c r="BL11" i="2"/>
  <c r="BM10" i="2"/>
  <c r="BM26" i="2"/>
  <c r="BM17" i="2"/>
  <c r="BL6" i="2"/>
  <c r="BM23" i="2"/>
  <c r="BM29" i="2"/>
  <c r="BM9" i="2"/>
  <c r="BL25" i="2"/>
  <c r="BM28" i="2"/>
  <c r="BL31" i="2"/>
  <c r="BL15" i="2"/>
  <c r="BL18" i="2"/>
  <c r="BM21" i="2"/>
  <c r="BM14" i="2"/>
  <c r="BM3" i="2"/>
  <c r="BM8" i="2"/>
  <c r="BM22" i="2"/>
  <c r="BL10" i="2"/>
  <c r="BL3" i="2"/>
  <c r="BM6" i="2"/>
  <c r="BL2" i="2"/>
  <c r="BM13" i="2"/>
  <c r="BL13" i="2"/>
  <c r="BL14" i="2"/>
  <c r="BM11" i="2"/>
  <c r="BL17" i="2"/>
  <c r="BL9" i="2"/>
  <c r="BM15" i="2"/>
  <c r="BM12" i="2"/>
  <c r="BM16" i="2"/>
  <c r="BL4" i="2"/>
  <c r="BL28" i="2"/>
  <c r="BM24" i="2"/>
  <c r="BL29" i="2"/>
  <c r="BM30" i="2"/>
  <c r="BM20" i="2"/>
  <c r="BM7" i="2"/>
  <c r="BM5" i="2"/>
  <c r="BL19" i="2"/>
  <c r="BL8" i="2"/>
  <c r="BM33" i="2"/>
  <c r="BD10" i="1"/>
  <c r="AP4" i="2"/>
  <c r="BD18" i="1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30" i="2"/>
  <c r="AF9" i="2"/>
  <c r="AH28" i="2"/>
  <c r="AP30" i="2"/>
  <c r="AF3" i="2"/>
  <c r="AO32" i="2"/>
  <c r="AF17" i="2"/>
  <c r="AH3" i="2"/>
  <c r="AK3" i="2" s="1"/>
  <c r="AF15" i="2"/>
  <c r="AP5" i="2"/>
  <c r="AH9" i="2"/>
  <c r="AK9" i="2" s="1"/>
  <c r="AF22" i="2"/>
  <c r="AO5" i="2"/>
  <c r="AJ18" i="2"/>
  <c r="AK18" i="2" s="1"/>
  <c r="AJ22" i="2"/>
  <c r="AK22" i="2" s="1"/>
  <c r="AP33" i="2"/>
  <c r="AF32" i="2"/>
  <c r="AO28" i="2"/>
  <c r="AP26" i="2"/>
  <c r="AO17" i="2"/>
  <c r="AJ17" i="2"/>
  <c r="AO33" i="2"/>
  <c r="AH32" i="2"/>
  <c r="AK32" i="2" s="1"/>
  <c r="AH14" i="2"/>
  <c r="AF26" i="2"/>
  <c r="AO3" i="2"/>
  <c r="AO9" i="2"/>
  <c r="AP9" i="2"/>
  <c r="AP3" i="2"/>
  <c r="AJ8" i="2"/>
  <c r="BP47" i="5"/>
  <c r="BP13" i="5"/>
  <c r="AO8" i="2"/>
  <c r="BP45" i="5"/>
  <c r="BP53" i="5"/>
  <c r="AF25" i="2"/>
  <c r="AF6" i="2"/>
  <c r="AJ29" i="2"/>
  <c r="AJ25" i="2"/>
  <c r="AW5" i="2"/>
  <c r="AW33" i="2"/>
  <c r="AW30" i="2"/>
  <c r="AW7" i="2"/>
  <c r="AW24" i="2"/>
  <c r="AW20" i="2"/>
  <c r="AH25" i="2"/>
  <c r="AF31" i="2"/>
  <c r="AP19" i="2"/>
  <c r="BP61" i="5"/>
  <c r="BP7" i="5"/>
  <c r="BP19" i="5"/>
  <c r="BP35" i="5"/>
  <c r="BP33" i="5"/>
  <c r="BP29" i="5"/>
  <c r="AO7" i="2"/>
  <c r="BP15" i="5"/>
  <c r="BP59" i="5"/>
  <c r="AP8" i="2"/>
  <c r="BP57" i="5"/>
  <c r="AH6" i="2"/>
  <c r="AF14" i="2"/>
  <c r="AJ4" i="2"/>
  <c r="AK4" i="2" s="1"/>
  <c r="BP21" i="5"/>
  <c r="E13" i="2"/>
  <c r="CY2" i="2"/>
  <c r="CZ5" i="2" s="1"/>
  <c r="AO4" i="2"/>
  <c r="AH8" i="2"/>
  <c r="AD2" i="2"/>
  <c r="BP2" i="2" s="1"/>
  <c r="AJ21" i="2"/>
  <c r="AH17" i="2"/>
  <c r="AP17" i="2"/>
  <c r="AH27" i="2"/>
  <c r="AP29" i="2"/>
  <c r="AJ2" i="2"/>
  <c r="AK2" i="2" s="1"/>
  <c r="DA5" i="2"/>
  <c r="DA6" i="2"/>
  <c r="AF18" i="2"/>
  <c r="AF21" i="2"/>
  <c r="CY3" i="2"/>
  <c r="DA3" i="2" s="1"/>
  <c r="AP7" i="2"/>
  <c r="AJ15" i="2"/>
  <c r="AF10" i="2"/>
  <c r="AJ11" i="2"/>
  <c r="AK11" i="2" s="1"/>
  <c r="AF2" i="2"/>
  <c r="AO31" i="2"/>
  <c r="AO15" i="2"/>
  <c r="AH15" i="2"/>
  <c r="AP15" i="2"/>
  <c r="AO11" i="2"/>
  <c r="AH21" i="2"/>
  <c r="AP11" i="2"/>
  <c r="AJ31" i="2"/>
  <c r="AK31" i="2" s="1"/>
  <c r="BP27" i="5"/>
  <c r="BP3" i="5"/>
  <c r="BP11" i="5"/>
  <c r="BP25" i="5"/>
  <c r="AD15" i="2"/>
  <c r="BP15" i="2" s="1"/>
  <c r="AF23" i="2"/>
  <c r="AF27" i="2"/>
  <c r="AO29" i="2"/>
  <c r="AO19" i="2"/>
  <c r="AH19" i="2"/>
  <c r="AW19" i="2" s="1"/>
  <c r="CS8" i="2"/>
  <c r="CS7" i="2"/>
  <c r="AF11" i="2"/>
  <c r="AJ14" i="2"/>
  <c r="AJ6" i="2"/>
  <c r="BP5" i="5"/>
  <c r="BP17" i="5"/>
  <c r="BP37" i="5"/>
  <c r="BP9" i="5"/>
  <c r="AH10" i="2"/>
  <c r="BP55" i="5"/>
  <c r="BP23" i="5"/>
  <c r="BP63" i="5"/>
  <c r="BP51" i="5"/>
  <c r="BP65" i="5"/>
  <c r="BP31" i="5"/>
  <c r="BP41" i="5"/>
  <c r="AO27" i="2"/>
  <c r="BP43" i="5"/>
  <c r="BP49" i="5"/>
  <c r="AH29" i="2"/>
  <c r="BP39" i="5"/>
  <c r="AP31" i="2"/>
  <c r="E28" i="2"/>
  <c r="BK9" i="2"/>
  <c r="BK28" i="2"/>
  <c r="BK16" i="2"/>
  <c r="BK3" i="2"/>
  <c r="BK27" i="2"/>
  <c r="BK24" i="2"/>
  <c r="BK31" i="2"/>
  <c r="BK6" i="2"/>
  <c r="BK2" i="2"/>
  <c r="BK26" i="2"/>
  <c r="BK18" i="2"/>
  <c r="BK8" i="2"/>
  <c r="BK13" i="2"/>
  <c r="BK29" i="2"/>
  <c r="BK23" i="2"/>
  <c r="BK7" i="2"/>
  <c r="BK12" i="2"/>
  <c r="BK10" i="2"/>
  <c r="BK32" i="2"/>
  <c r="BK21" i="2"/>
  <c r="BK33" i="2"/>
  <c r="BK4" i="2"/>
  <c r="BK15" i="2"/>
  <c r="BK11" i="2"/>
  <c r="BK22" i="2"/>
  <c r="BK25" i="2"/>
  <c r="BK30" i="2"/>
  <c r="K14" i="2"/>
  <c r="E14" i="2"/>
  <c r="BI5" i="2"/>
  <c r="E5" i="2"/>
  <c r="K19" i="2"/>
  <c r="E19" i="2"/>
  <c r="K17" i="2"/>
  <c r="E17" i="2"/>
  <c r="BJ17" i="2"/>
  <c r="AD19" i="2"/>
  <c r="BP19" i="2" s="1"/>
  <c r="BI14" i="2"/>
  <c r="BJ14" i="2"/>
  <c r="AD13" i="2"/>
  <c r="BP13" i="2" s="1"/>
  <c r="AD11" i="2"/>
  <c r="BP11" i="2" s="1"/>
  <c r="AF13" i="2"/>
  <c r="AD33" i="2"/>
  <c r="BP33" i="2" s="1"/>
  <c r="AD25" i="2"/>
  <c r="BP25" i="2" s="1"/>
  <c r="AD32" i="2"/>
  <c r="BP32" i="2" s="1"/>
  <c r="AO10" i="2"/>
  <c r="AD17" i="2"/>
  <c r="BP17" i="2" s="1"/>
  <c r="AD28" i="2"/>
  <c r="BP28" i="2" s="1"/>
  <c r="AD18" i="2"/>
  <c r="BP18" i="2" s="1"/>
  <c r="AH13" i="2"/>
  <c r="AD3" i="2"/>
  <c r="BP3" i="2" s="1"/>
  <c r="AD5" i="2"/>
  <c r="BP5" i="2" s="1"/>
  <c r="AD22" i="2"/>
  <c r="BP22" i="2" s="1"/>
  <c r="AD9" i="2"/>
  <c r="BP9" i="2" s="1"/>
  <c r="AD29" i="2"/>
  <c r="BP29" i="2" s="1"/>
  <c r="AD14" i="2"/>
  <c r="BP14" i="2" s="1"/>
  <c r="AD30" i="2"/>
  <c r="BP30" i="2" s="1"/>
  <c r="AD7" i="2"/>
  <c r="BP7" i="2" s="1"/>
  <c r="AD6" i="2"/>
  <c r="BP6" i="2" s="1"/>
  <c r="AD8" i="2"/>
  <c r="BP8" i="2" s="1"/>
  <c r="AD16" i="2"/>
  <c r="BP16" i="2" s="1"/>
  <c r="AD26" i="2"/>
  <c r="BP26" i="2" s="1"/>
  <c r="AD21" i="2"/>
  <c r="BP21" i="2" s="1"/>
  <c r="AD23" i="2"/>
  <c r="BP23" i="2" s="1"/>
  <c r="AD24" i="2"/>
  <c r="BP24" i="2" s="1"/>
  <c r="AD10" i="2"/>
  <c r="BP10" i="2" s="1"/>
  <c r="AD12" i="2"/>
  <c r="BP12" i="2" s="1"/>
  <c r="AJ13" i="2"/>
  <c r="AP12" i="2"/>
  <c r="AH12" i="2"/>
  <c r="AW12" i="2" s="1"/>
  <c r="AJ28" i="2"/>
  <c r="AO16" i="2"/>
  <c r="AJ16" i="2"/>
  <c r="AW16" i="2" s="1"/>
  <c r="AD31" i="2"/>
  <c r="BP31" i="2" s="1"/>
  <c r="AO23" i="2"/>
  <c r="AJ23" i="2"/>
  <c r="AK23" i="2" s="1"/>
  <c r="AJ27" i="2"/>
  <c r="AD27" i="2"/>
  <c r="BP27" i="2" s="1"/>
  <c r="AJ10" i="2"/>
  <c r="AD4" i="2"/>
  <c r="BP4" i="2" s="1"/>
  <c r="AH26" i="2"/>
  <c r="AK26" i="2" s="1"/>
  <c r="BI17" i="2"/>
  <c r="BY24" i="2"/>
  <c r="BY8" i="2"/>
  <c r="BJ19" i="2"/>
  <c r="BI19" i="2"/>
  <c r="BI21" i="2"/>
  <c r="K21" i="2"/>
  <c r="BI9" i="2"/>
  <c r="K9" i="2"/>
  <c r="BJ31" i="2"/>
  <c r="K31" i="2"/>
  <c r="BJ18" i="2"/>
  <c r="K18" i="2"/>
  <c r="BJ8" i="2"/>
  <c r="K8" i="2"/>
  <c r="BI4" i="2"/>
  <c r="K4" i="2"/>
  <c r="BI26" i="2"/>
  <c r="K26" i="2"/>
  <c r="BI3" i="2"/>
  <c r="K3" i="2"/>
  <c r="BI24" i="2"/>
  <c r="K24" i="2"/>
  <c r="BJ24" i="2"/>
  <c r="BI11" i="2"/>
  <c r="K11" i="2"/>
  <c r="BJ32" i="2"/>
  <c r="K32" i="2"/>
  <c r="BI6" i="2"/>
  <c r="K6" i="2"/>
  <c r="BJ2" i="2"/>
  <c r="K2" i="2"/>
  <c r="BI25" i="2"/>
  <c r="K25" i="2"/>
  <c r="BJ15" i="2"/>
  <c r="K15" i="2"/>
  <c r="BJ28" i="2"/>
  <c r="K28" i="2"/>
  <c r="BJ30" i="2"/>
  <c r="K30" i="2"/>
  <c r="BJ5" i="2"/>
  <c r="K5" i="2"/>
  <c r="BJ27" i="2"/>
  <c r="K27" i="2"/>
  <c r="BI29" i="2"/>
  <c r="K29" i="2"/>
  <c r="BJ16" i="2"/>
  <c r="K16" i="2"/>
  <c r="BJ10" i="2"/>
  <c r="K10" i="2"/>
  <c r="BJ12" i="2"/>
  <c r="K12" i="2"/>
  <c r="BI33" i="2"/>
  <c r="K33" i="2"/>
  <c r="BJ13" i="2"/>
  <c r="K13" i="2"/>
  <c r="BJ23" i="2"/>
  <c r="K23" i="2"/>
  <c r="BI22" i="2"/>
  <c r="K22" i="2"/>
  <c r="BJ7" i="2"/>
  <c r="K7" i="2"/>
  <c r="BI7" i="2"/>
  <c r="BY11" i="2"/>
  <c r="BY30" i="2"/>
  <c r="BY10" i="2"/>
  <c r="BI30" i="2"/>
  <c r="BY16" i="2"/>
  <c r="AP6" i="2"/>
  <c r="BY33" i="2"/>
  <c r="BY26" i="2"/>
  <c r="BY6" i="2"/>
  <c r="AP22" i="2"/>
  <c r="AO22" i="2"/>
  <c r="BY32" i="2"/>
  <c r="AP27" i="2"/>
  <c r="BY18" i="2"/>
  <c r="BJ22" i="2"/>
  <c r="AP14" i="2"/>
  <c r="BY31" i="2"/>
  <c r="AO25" i="2"/>
  <c r="AO14" i="2"/>
  <c r="BY21" i="2"/>
  <c r="AP16" i="2"/>
  <c r="BY14" i="2"/>
  <c r="BY25" i="2"/>
  <c r="BY28" i="2"/>
  <c r="AP23" i="2"/>
  <c r="BY23" i="2"/>
  <c r="BY29" i="2"/>
  <c r="BY19" i="2"/>
  <c r="BY5" i="2"/>
  <c r="BY3" i="2"/>
  <c r="BY22" i="2"/>
  <c r="BY17" i="2"/>
  <c r="BY12" i="2"/>
  <c r="BI28" i="2"/>
  <c r="BY15" i="2"/>
  <c r="AO21" i="2"/>
  <c r="AP28" i="2"/>
  <c r="AO13" i="2"/>
  <c r="AP2" i="2"/>
  <c r="AO2" i="2"/>
  <c r="AO24" i="2"/>
  <c r="BY27" i="2"/>
  <c r="AP21" i="2"/>
  <c r="BY4" i="2"/>
  <c r="AP25" i="2"/>
  <c r="AO26" i="2"/>
  <c r="AO6" i="2"/>
  <c r="AO12" i="2"/>
  <c r="AP18" i="2"/>
  <c r="AP20" i="2"/>
  <c r="AP10" i="2"/>
  <c r="AP24" i="2"/>
  <c r="AP13" i="2"/>
  <c r="BJ3" i="2"/>
  <c r="BJ4" i="2"/>
  <c r="BY7" i="2"/>
  <c r="BJ29" i="2"/>
  <c r="AO18" i="2"/>
  <c r="BY9" i="2"/>
  <c r="BY2" i="2"/>
  <c r="BI10" i="2"/>
  <c r="BI15" i="2"/>
  <c r="BI13" i="2"/>
  <c r="BI2" i="2"/>
  <c r="BJ9" i="2"/>
  <c r="BJ21" i="2"/>
  <c r="BY13" i="2"/>
  <c r="BI16" i="2"/>
  <c r="AO20" i="2"/>
  <c r="D2" i="9" s="1"/>
  <c r="U7" i="9" s="1"/>
  <c r="BI8" i="2"/>
  <c r="BJ25" i="2"/>
  <c r="BJ26" i="2"/>
  <c r="BI23" i="2"/>
  <c r="BI32" i="2"/>
  <c r="BI18" i="2"/>
  <c r="BJ11" i="2"/>
  <c r="BJ33" i="2"/>
  <c r="BJ6" i="2"/>
  <c r="BI27" i="2"/>
  <c r="BI31" i="2"/>
  <c r="BI12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20" i="2"/>
  <c r="BA20" i="2"/>
  <c r="BE20" i="2"/>
  <c r="P20" i="2"/>
  <c r="P36" i="2" s="1"/>
  <c r="J20" i="2"/>
  <c r="BG20" i="2"/>
  <c r="X20" i="2"/>
  <c r="X36" i="2" s="1"/>
  <c r="BW20" i="2"/>
  <c r="BV20" i="2"/>
  <c r="BX20" i="2"/>
  <c r="BX36" i="2" s="1"/>
  <c r="AM30" i="2" l="1"/>
  <c r="AN30" i="2"/>
  <c r="AM33" i="2"/>
  <c r="AN33" i="2"/>
  <c r="AM5" i="2"/>
  <c r="AN5" i="2"/>
  <c r="AM24" i="2"/>
  <c r="AN24" i="2"/>
  <c r="AM7" i="2"/>
  <c r="AN7" i="2"/>
  <c r="AM20" i="2"/>
  <c r="AN20" i="2"/>
  <c r="AB14" i="2"/>
  <c r="AB19" i="2"/>
  <c r="AB8" i="2"/>
  <c r="AB21" i="2"/>
  <c r="AB15" i="2"/>
  <c r="AB4" i="2"/>
  <c r="AB5" i="2"/>
  <c r="AB13" i="2"/>
  <c r="AB24" i="2"/>
  <c r="AB18" i="2"/>
  <c r="AB22" i="2"/>
  <c r="AB16" i="2"/>
  <c r="AB31" i="2"/>
  <c r="AB3" i="2"/>
  <c r="AB29" i="2"/>
  <c r="AB12" i="2"/>
  <c r="AB25" i="2"/>
  <c r="AB6" i="2"/>
  <c r="AB28" i="2"/>
  <c r="AB11" i="2"/>
  <c r="AB27" i="2"/>
  <c r="AB9" i="2"/>
  <c r="AB33" i="2"/>
  <c r="AB2" i="2"/>
  <c r="AB7" i="2"/>
  <c r="AB30" i="2"/>
  <c r="AB32" i="2"/>
  <c r="AB17" i="2"/>
  <c r="AB23" i="2"/>
  <c r="AB10" i="2"/>
  <c r="AB26" i="2"/>
  <c r="CW11" i="2"/>
  <c r="AL29" i="2"/>
  <c r="AL21" i="2"/>
  <c r="AL17" i="2"/>
  <c r="AL13" i="2"/>
  <c r="AL8" i="2"/>
  <c r="AL28" i="2"/>
  <c r="AL25" i="2"/>
  <c r="AL27" i="2"/>
  <c r="AL14" i="2"/>
  <c r="AL15" i="2"/>
  <c r="AL10" i="2"/>
  <c r="AL6" i="2"/>
  <c r="AL18" i="2"/>
  <c r="AL3" i="2"/>
  <c r="AL12" i="2"/>
  <c r="AL22" i="2"/>
  <c r="AL23" i="2"/>
  <c r="AL11" i="2"/>
  <c r="AL32" i="2"/>
  <c r="AL9" i="2"/>
  <c r="AL2" i="2"/>
  <c r="AL19" i="2"/>
  <c r="AL26" i="2"/>
  <c r="AL31" i="2"/>
  <c r="AL16" i="2"/>
  <c r="AL4" i="2"/>
  <c r="BO36" i="2"/>
  <c r="BN35" i="2"/>
  <c r="BO35" i="2"/>
  <c r="BR11" i="2"/>
  <c r="BS11" i="2" s="1"/>
  <c r="BR27" i="2"/>
  <c r="BS27" i="2" s="1"/>
  <c r="BR9" i="2"/>
  <c r="BS9" i="2" s="1"/>
  <c r="BR13" i="2"/>
  <c r="BS13" i="2" s="1"/>
  <c r="BR25" i="2"/>
  <c r="BS25" i="2" s="1"/>
  <c r="BN37" i="2"/>
  <c r="BR5" i="2"/>
  <c r="BS5" i="2" s="1"/>
  <c r="BR32" i="2"/>
  <c r="BS32" i="2" s="1"/>
  <c r="BR17" i="2"/>
  <c r="BS17" i="2" s="1"/>
  <c r="BR31" i="2"/>
  <c r="BS31" i="2" s="1"/>
  <c r="BR21" i="2"/>
  <c r="BS21" i="2" s="1"/>
  <c r="BN36" i="2"/>
  <c r="BR16" i="2"/>
  <c r="BS16" i="2" s="1"/>
  <c r="BR14" i="2"/>
  <c r="BS14" i="2" s="1"/>
  <c r="BR19" i="2"/>
  <c r="BS19" i="2" s="1"/>
  <c r="BR6" i="2"/>
  <c r="BS6" i="2" s="1"/>
  <c r="BR24" i="2"/>
  <c r="BS24" i="2" s="1"/>
  <c r="BR2" i="2"/>
  <c r="BS2" i="2" s="1"/>
  <c r="BR15" i="2"/>
  <c r="BS15" i="2" s="1"/>
  <c r="BR4" i="2"/>
  <c r="BS4" i="2" s="1"/>
  <c r="BR7" i="2"/>
  <c r="BR3" i="2"/>
  <c r="BS3" i="2" s="1"/>
  <c r="BO37" i="2"/>
  <c r="BR33" i="2"/>
  <c r="BS33" i="2" s="1"/>
  <c r="BR18" i="2"/>
  <c r="BS18" i="2" s="1"/>
  <c r="BR22" i="2"/>
  <c r="BS22" i="2" s="1"/>
  <c r="BR26" i="2"/>
  <c r="BS26" i="2" s="1"/>
  <c r="BR28" i="2"/>
  <c r="BS28" i="2" s="1"/>
  <c r="BR23" i="2"/>
  <c r="BS23" i="2" s="1"/>
  <c r="BR8" i="2"/>
  <c r="BS8" i="2" s="1"/>
  <c r="BR29" i="2"/>
  <c r="BS29" i="2" s="1"/>
  <c r="BR12" i="2"/>
  <c r="BS12" i="2" s="1"/>
  <c r="BR10" i="2"/>
  <c r="BS10" i="2" s="1"/>
  <c r="BR30" i="2"/>
  <c r="BS30" i="2" s="1"/>
  <c r="BL35" i="2"/>
  <c r="BL36" i="2"/>
  <c r="BL37" i="2"/>
  <c r="BM35" i="2"/>
  <c r="BM36" i="2"/>
  <c r="BM37" i="2"/>
  <c r="CK29" i="2"/>
  <c r="CL29" i="2" s="1"/>
  <c r="CK12" i="2"/>
  <c r="CL12" i="2" s="1"/>
  <c r="CK17" i="2"/>
  <c r="CL17" i="2" s="1"/>
  <c r="CK33" i="2"/>
  <c r="CL33" i="2" s="1"/>
  <c r="CK31" i="2"/>
  <c r="CL31" i="2" s="1"/>
  <c r="CK24" i="2"/>
  <c r="CL24" i="2" s="1"/>
  <c r="CK25" i="2"/>
  <c r="CL25" i="2" s="1"/>
  <c r="CK7" i="2"/>
  <c r="CL7" i="2" s="1"/>
  <c r="BV37" i="2"/>
  <c r="BZ20" i="2"/>
  <c r="BZ37" i="2" s="1"/>
  <c r="CK32" i="2"/>
  <c r="CL32" i="2" s="1"/>
  <c r="CK16" i="2"/>
  <c r="CL16" i="2" s="1"/>
  <c r="CK18" i="2"/>
  <c r="CL18" i="2" s="1"/>
  <c r="CK5" i="2"/>
  <c r="CL5" i="2" s="1"/>
  <c r="CK4" i="2"/>
  <c r="CL4" i="2" s="1"/>
  <c r="CK30" i="2"/>
  <c r="CL30" i="2" s="1"/>
  <c r="CK19" i="2"/>
  <c r="CL19" i="2" s="1"/>
  <c r="CK14" i="2"/>
  <c r="CL14" i="2" s="1"/>
  <c r="CK22" i="2"/>
  <c r="CL22" i="2" s="1"/>
  <c r="CK20" i="2"/>
  <c r="CL20" i="2" s="1"/>
  <c r="CK11" i="2"/>
  <c r="CL11" i="2" s="1"/>
  <c r="CK3" i="2"/>
  <c r="CL3" i="2" s="1"/>
  <c r="CK27" i="2"/>
  <c r="CL27" i="2" s="1"/>
  <c r="CK2" i="2"/>
  <c r="CL2" i="2" s="1"/>
  <c r="CK15" i="2"/>
  <c r="CL15" i="2" s="1"/>
  <c r="CK10" i="2"/>
  <c r="CL10" i="2" s="1"/>
  <c r="CK23" i="2"/>
  <c r="CL23" i="2" s="1"/>
  <c r="CK13" i="2"/>
  <c r="CL13" i="2" s="1"/>
  <c r="CK6" i="2"/>
  <c r="CL6" i="2" s="1"/>
  <c r="CK28" i="2"/>
  <c r="CL28" i="2" s="1"/>
  <c r="CK8" i="2"/>
  <c r="CL8" i="2" s="1"/>
  <c r="CK9" i="2"/>
  <c r="CL9" i="2" s="1"/>
  <c r="CK26" i="2"/>
  <c r="CL26" i="2" s="1"/>
  <c r="CK21" i="2"/>
  <c r="CL21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15" i="2"/>
  <c r="AK29" i="2"/>
  <c r="AK8" i="2"/>
  <c r="AK28" i="2"/>
  <c r="AK21" i="2"/>
  <c r="AK27" i="2"/>
  <c r="AK6" i="2"/>
  <c r="AK14" i="2"/>
  <c r="AK10" i="2"/>
  <c r="AK17" i="2"/>
  <c r="AK25" i="2"/>
  <c r="AK13" i="2"/>
  <c r="AK19" i="2"/>
  <c r="AK16" i="2"/>
  <c r="AK12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27" i="2"/>
  <c r="AV27" i="2" s="1"/>
  <c r="AR11" i="2"/>
  <c r="AV11" i="2" s="1"/>
  <c r="AQ9" i="2"/>
  <c r="AQ26" i="2"/>
  <c r="AR8" i="2"/>
  <c r="AV8" i="2" s="1"/>
  <c r="AQ3" i="2"/>
  <c r="AR5" i="2"/>
  <c r="AV5" i="2" s="1"/>
  <c r="AR21" i="2"/>
  <c r="AV21" i="2" s="1"/>
  <c r="AQ22" i="2"/>
  <c r="AQ23" i="2"/>
  <c r="AQ11" i="2"/>
  <c r="AR29" i="2"/>
  <c r="AV29" i="2" s="1"/>
  <c r="AQ10" i="2"/>
  <c r="AR9" i="2"/>
  <c r="AV9" i="2" s="1"/>
  <c r="AR25" i="2"/>
  <c r="AV25" i="2" s="1"/>
  <c r="AR22" i="2"/>
  <c r="AV22" i="2" s="1"/>
  <c r="AQ27" i="2"/>
  <c r="AR15" i="2"/>
  <c r="AV15" i="2" s="1"/>
  <c r="AR4" i="2"/>
  <c r="AQ18" i="2"/>
  <c r="AQ24" i="2"/>
  <c r="AR23" i="2"/>
  <c r="AV23" i="2" s="1"/>
  <c r="AR17" i="2"/>
  <c r="AV17" i="2" s="1"/>
  <c r="AQ7" i="2"/>
  <c r="AQ15" i="2"/>
  <c r="AQ33" i="2"/>
  <c r="AQ32" i="2"/>
  <c r="AQ19" i="2"/>
  <c r="AQ31" i="2"/>
  <c r="AQ16" i="2"/>
  <c r="AQ29" i="2"/>
  <c r="AQ17" i="2"/>
  <c r="AR30" i="2"/>
  <c r="AV30" i="2" s="1"/>
  <c r="AR13" i="2"/>
  <c r="AV13" i="2" s="1"/>
  <c r="AR28" i="2"/>
  <c r="AV28" i="2" s="1"/>
  <c r="AR16" i="2"/>
  <c r="AV16" i="2" s="1"/>
  <c r="AR12" i="2"/>
  <c r="AV12" i="2" s="1"/>
  <c r="AR26" i="2"/>
  <c r="AV26" i="2" s="1"/>
  <c r="AQ13" i="2"/>
  <c r="AQ21" i="2"/>
  <c r="AQ28" i="2"/>
  <c r="AR10" i="2"/>
  <c r="AV10" i="2" s="1"/>
  <c r="AQ8" i="2"/>
  <c r="AQ30" i="2"/>
  <c r="AR7" i="2"/>
  <c r="AV7" i="2" s="1"/>
  <c r="AR19" i="2"/>
  <c r="AV19" i="2" s="1"/>
  <c r="AR33" i="2"/>
  <c r="AV33" i="2" s="1"/>
  <c r="AQ2" i="2"/>
  <c r="AR2" i="2"/>
  <c r="AV2" i="2" s="1"/>
  <c r="AR6" i="2"/>
  <c r="AV6" i="2" s="1"/>
  <c r="AR24" i="2"/>
  <c r="AV24" i="2" s="1"/>
  <c r="AQ4" i="2"/>
  <c r="BQ4" i="2" s="1"/>
  <c r="AQ14" i="2"/>
  <c r="AQ25" i="2"/>
  <c r="AR18" i="2"/>
  <c r="AV18" i="2" s="1"/>
  <c r="AR32" i="2"/>
  <c r="AV32" i="2" s="1"/>
  <c r="AQ12" i="2"/>
  <c r="AR14" i="2"/>
  <c r="AV14" i="2" s="1"/>
  <c r="AQ6" i="2"/>
  <c r="AR31" i="2"/>
  <c r="AV31" i="2" s="1"/>
  <c r="AR3" i="2"/>
  <c r="AV3" i="2" s="1"/>
  <c r="AQ5" i="2"/>
  <c r="AW4" i="2"/>
  <c r="AR20" i="2"/>
  <c r="AW18" i="2"/>
  <c r="AW3" i="2"/>
  <c r="AW9" i="2"/>
  <c r="AW28" i="2"/>
  <c r="AW32" i="2"/>
  <c r="AW17" i="2"/>
  <c r="AW22" i="2"/>
  <c r="AT26" i="2"/>
  <c r="AS17" i="2"/>
  <c r="AW26" i="2"/>
  <c r="AW8" i="2"/>
  <c r="AW29" i="2"/>
  <c r="AW15" i="2"/>
  <c r="AW25" i="2"/>
  <c r="AW6" i="2"/>
  <c r="AW13" i="2"/>
  <c r="AW14" i="2"/>
  <c r="AW31" i="2"/>
  <c r="AW10" i="2"/>
  <c r="AW11" i="2"/>
  <c r="AW27" i="2"/>
  <c r="AW23" i="2"/>
  <c r="AW2" i="2"/>
  <c r="AW21" i="2"/>
  <c r="CR18" i="2"/>
  <c r="CZ6" i="2"/>
  <c r="CY4" i="2"/>
  <c r="DA4" i="2" s="1"/>
  <c r="AS19" i="2"/>
  <c r="BP67" i="5"/>
  <c r="AT14" i="2"/>
  <c r="AT17" i="2"/>
  <c r="BK20" i="2"/>
  <c r="BK36" i="2" s="1"/>
  <c r="AT19" i="2"/>
  <c r="K20" i="2"/>
  <c r="E20" i="2"/>
  <c r="E35" i="2" s="1"/>
  <c r="AT12" i="2"/>
  <c r="AD20" i="2"/>
  <c r="AS14" i="2"/>
  <c r="AQ20" i="2"/>
  <c r="AT2" i="2"/>
  <c r="AT18" i="2"/>
  <c r="AT21" i="2"/>
  <c r="AS8" i="2"/>
  <c r="AT8" i="2"/>
  <c r="AS7" i="2"/>
  <c r="AT7" i="2"/>
  <c r="AS10" i="2"/>
  <c r="AT10" i="2"/>
  <c r="AS28" i="2"/>
  <c r="AT28" i="2"/>
  <c r="AS11" i="2"/>
  <c r="AT11" i="2"/>
  <c r="AS33" i="2"/>
  <c r="AT33" i="2"/>
  <c r="AS5" i="2"/>
  <c r="AT5" i="2"/>
  <c r="AT6" i="2"/>
  <c r="AT24" i="2"/>
  <c r="AS4" i="2"/>
  <c r="AT4" i="2"/>
  <c r="AS31" i="2"/>
  <c r="AT31" i="2"/>
  <c r="AS3" i="2"/>
  <c r="AT3" i="2"/>
  <c r="AS9" i="2"/>
  <c r="AT9" i="2"/>
  <c r="AT13" i="2"/>
  <c r="AS27" i="2"/>
  <c r="AT27" i="2"/>
  <c r="AT22" i="2"/>
  <c r="AS16" i="2"/>
  <c r="AT16" i="2"/>
  <c r="AS15" i="2"/>
  <c r="AT15" i="2"/>
  <c r="AS23" i="2"/>
  <c r="AT23" i="2"/>
  <c r="AS29" i="2"/>
  <c r="AT29" i="2"/>
  <c r="AS30" i="2"/>
  <c r="AT30" i="2"/>
  <c r="AT25" i="2"/>
  <c r="AS32" i="2"/>
  <c r="AT32" i="2"/>
  <c r="AS18" i="2"/>
  <c r="AS21" i="2"/>
  <c r="AS22" i="2"/>
  <c r="AS6" i="2"/>
  <c r="AS24" i="2"/>
  <c r="AS26" i="2"/>
  <c r="AS12" i="2"/>
  <c r="AS25" i="2"/>
  <c r="AS13" i="2"/>
  <c r="AS2" i="2"/>
  <c r="BI20" i="2"/>
  <c r="BI35" i="2" s="1"/>
  <c r="BJ20" i="2"/>
  <c r="BJ36" i="2" s="1"/>
  <c r="BQ67" i="4"/>
  <c r="BQ68" i="4" s="1"/>
  <c r="BP67" i="4"/>
  <c r="BP68" i="4" s="1"/>
  <c r="BY20" i="2"/>
  <c r="BY37" i="2" s="1"/>
  <c r="BH20" i="2"/>
  <c r="AM9" i="2" l="1"/>
  <c r="AN9" i="2"/>
  <c r="AM13" i="2"/>
  <c r="AN13" i="2"/>
  <c r="AM11" i="2"/>
  <c r="AN11" i="2"/>
  <c r="AM21" i="2"/>
  <c r="AN21" i="2"/>
  <c r="AM23" i="2"/>
  <c r="AN23" i="2"/>
  <c r="AM29" i="2"/>
  <c r="AN29" i="2"/>
  <c r="AM22" i="2"/>
  <c r="AN22" i="2"/>
  <c r="AM17" i="2"/>
  <c r="AN17" i="2"/>
  <c r="AM12" i="2"/>
  <c r="AN12" i="2"/>
  <c r="AM3" i="2"/>
  <c r="AN3" i="2"/>
  <c r="AM18" i="2"/>
  <c r="AN18" i="2"/>
  <c r="AM6" i="2"/>
  <c r="AN6" i="2"/>
  <c r="AM10" i="2"/>
  <c r="AN10" i="2"/>
  <c r="AM32" i="2"/>
  <c r="AN32" i="2"/>
  <c r="AM4" i="2"/>
  <c r="AN4" i="2"/>
  <c r="AM15" i="2"/>
  <c r="AN15" i="2"/>
  <c r="AM16" i="2"/>
  <c r="AN16" i="2"/>
  <c r="AM14" i="2"/>
  <c r="AN14" i="2"/>
  <c r="AM31" i="2"/>
  <c r="AN31" i="2"/>
  <c r="AM27" i="2"/>
  <c r="AN27" i="2"/>
  <c r="AM26" i="2"/>
  <c r="AN26" i="2"/>
  <c r="AM25" i="2"/>
  <c r="AN25" i="2"/>
  <c r="AM19" i="2"/>
  <c r="AN19" i="2"/>
  <c r="AM28" i="2"/>
  <c r="AN28" i="2"/>
  <c r="AM2" i="2"/>
  <c r="AN2" i="2"/>
  <c r="AM8" i="2"/>
  <c r="AN8" i="2"/>
  <c r="BR20" i="2"/>
  <c r="BR37" i="2" s="1"/>
  <c r="AB20" i="2"/>
  <c r="CX7" i="2"/>
  <c r="CW9" i="2" s="1"/>
  <c r="CX10" i="2" s="1"/>
  <c r="BS7" i="2"/>
  <c r="BP20" i="2"/>
  <c r="BZ35" i="2"/>
  <c r="BZ36" i="2"/>
  <c r="CS11" i="2"/>
  <c r="CS15" i="2"/>
  <c r="CS13" i="2"/>
  <c r="AT20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20" i="2"/>
  <c r="AU2" i="2"/>
  <c r="BQ2" i="2"/>
  <c r="AU17" i="2"/>
  <c r="BQ17" i="2"/>
  <c r="AU5" i="2"/>
  <c r="BQ5" i="2"/>
  <c r="AU16" i="2"/>
  <c r="BQ16" i="2"/>
  <c r="AU30" i="2"/>
  <c r="BQ30" i="2"/>
  <c r="AU19" i="2"/>
  <c r="BQ19" i="2"/>
  <c r="AU6" i="2"/>
  <c r="BQ6" i="2"/>
  <c r="AU8" i="2"/>
  <c r="BQ8" i="2"/>
  <c r="AU32" i="2"/>
  <c r="BQ32" i="2"/>
  <c r="AU11" i="2"/>
  <c r="BQ11" i="2"/>
  <c r="AU33" i="2"/>
  <c r="BQ33" i="2"/>
  <c r="AU23" i="2"/>
  <c r="BQ23" i="2"/>
  <c r="AU12" i="2"/>
  <c r="BQ12" i="2"/>
  <c r="AU28" i="2"/>
  <c r="BQ28" i="2"/>
  <c r="AU15" i="2"/>
  <c r="BQ15" i="2"/>
  <c r="AU22" i="2"/>
  <c r="BQ22" i="2"/>
  <c r="AU21" i="2"/>
  <c r="BQ21" i="2"/>
  <c r="AU7" i="2"/>
  <c r="BQ7" i="2"/>
  <c r="AU13" i="2"/>
  <c r="BQ13" i="2"/>
  <c r="AU10" i="2"/>
  <c r="BQ10" i="2"/>
  <c r="AU25" i="2"/>
  <c r="BQ25" i="2"/>
  <c r="AU3" i="2"/>
  <c r="BQ3" i="2"/>
  <c r="AU14" i="2"/>
  <c r="BQ14" i="2"/>
  <c r="AU24" i="2"/>
  <c r="BQ24" i="2"/>
  <c r="AU18" i="2"/>
  <c r="BQ18" i="2"/>
  <c r="AU26" i="2"/>
  <c r="BQ26" i="2"/>
  <c r="AU31" i="2"/>
  <c r="BQ31" i="2"/>
  <c r="AU9" i="2"/>
  <c r="BQ9" i="2"/>
  <c r="AU29" i="2"/>
  <c r="BQ29" i="2"/>
  <c r="AU27" i="2"/>
  <c r="BQ27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4" i="2"/>
  <c r="AR35" i="2"/>
  <c r="AR37" i="2"/>
  <c r="AR36" i="2"/>
  <c r="AU4" i="2"/>
  <c r="AQ35" i="2"/>
  <c r="AQ37" i="2"/>
  <c r="AQ36" i="2"/>
  <c r="K35" i="2"/>
  <c r="AV20" i="2"/>
  <c r="AU20" i="2"/>
  <c r="DA7" i="2"/>
  <c r="DB4" i="2" s="1"/>
  <c r="AS20" i="2"/>
  <c r="AS37" i="2" s="1"/>
  <c r="BS20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<sst xmlns="http://schemas.openxmlformats.org/spreadsheetml/2006/main" count="5169" uniqueCount="751">
  <si>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</si>
  <si>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</si>
  <si>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</si>
  <si>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</si>
  <si>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</si>
  <si>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</si>
  <si>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</si>
  <si>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</si>
  <si>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</si>
  <si>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</si>
  <si>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</si>
  <si>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</si>
  <si>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</si>
  <si>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</si>
  <si>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</si>
  <si>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</si>
  <si>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</si>
  <si>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</si>
  <si>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</si>
  <si>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</si>
  <si>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</si>
  <si>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</si>
  <si>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</si>
  <si>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</si>
  <si>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</si>
  <si>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</si>
  <si>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</si>
  <si>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</si>
  <si>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</si>
  <si>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</si>
  <si>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</si>
  <si>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</si>
  <si>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</si>
  <si>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</si>
  <si>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</si>
  <si>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</si>
  <si>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</si>
  <si>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</si>
  <si>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</si>
  <si>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</si>
  <si>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</si>
  <si>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</si>
  <si>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</si>
  <si>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</si>
  <si>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</si>
  <si>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</si>
  <si>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</si>
  <si>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</si>
  <si>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</si>
  <si>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</si>
  <si>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</si>
  <si>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</si>
  <si>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</si>
  <si>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</si>
  <si>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</si>
  <si>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</si>
  <si>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</si>
  <si>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</si>
  <si>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</si>
  <si>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</si>
  <si>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</si>
  <si>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</si>
  <si>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</si>
  <si>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</si>
  <si>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</si>
  <si>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</si>
  <si>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</si>
  <si>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</si>
  <si>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</si>
  <si>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</si>
  <si>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</si>
  <si>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</si>
  <si>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</si>
  <si>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</si>
  <si>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</si>
  <si>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</si>
  <si>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</si>
  <si>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</si>
  <si>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</si>
  <si>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</si>
  <si>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</si>
  <si>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</si>
  <si>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</si>
  <si>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</si>
  <si>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</si>
  <si>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</si>
  <si>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</si>
  <si>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</si>
  <si>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</si>
  <si>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</si>
  <si>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</si>
  <si>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</si>
  <si>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</si>
  <si>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</si>
  <si>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</si>
  <si>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</si>
  <si>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</si>
  <si>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</si>
  <si>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</si>
  <si>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</si>
  <si>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</si>
  <si>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</si>
  <si>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</si>
  <si>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</si>
  <si>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</si>
  <si>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</si>
  <si>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</si>
  <si>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</si>
  <si>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</si>
  <si>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</si>
  <si>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</si>
  <si>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</si>
  <si>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</si>
  <si>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</si>
  <si>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</si>
  <si>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</si>
  <si>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</si>
  <si>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</si>
  <si>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</si>
  <si>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</si>
  <si>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</si>
  <si>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</si>
  <si>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</si>
  <si>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</si>
  <si>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</si>
  <si>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</si>
  <si>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</si>
  <si>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</si>
  <si>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</si>
  <si>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</si>
  <si>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</si>
  <si>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</si>
  <si>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</si>
  <si>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</si>
  <si>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</si>
  <si>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</si>
  <si>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</si>
  <si>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</si>
  <si>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</si>
  <si>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</si>
  <si>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</si>
  <si>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</si>
  <si>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</si>
  <si>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</si>
  <si>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</si>
  <si>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</si>
  <si>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</si>
  <si>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</si>
  <si>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</si>
  <si>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</si>
  <si>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</si>
  <si>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</si>
  <si>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</si>
  <si>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</si>
  <si>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</si>
  <si>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</si>
  <si>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</si>
  <si>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</si>
  <si>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</si>
  <si>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</si>
  <si>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</si>
  <si>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</si>
  <si>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</si>
  <si>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</si>
  <si>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</si>
  <si>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</si>
  <si>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</si>
  <si>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</si>
  <si>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</si>
  <si>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</si>
  <si>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</si>
  <si>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</si>
  <si>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</si>
  <si>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</si>
  <si>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</si>
  <si>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</si>
  <si>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</si>
  <si>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</si>
  <si>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</si>
  <si>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</si>
  <si>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</si>
  <si>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</si>
  <si>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</si>
  <si>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</si>
  <si>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</si>
  <si>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</si>
  <si>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</si>
  <si>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</si>
  <si>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</si>
  <si>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</si>
  <si>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</si>
  <si>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</si>
  <si>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</si>
  <si>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</si>
  <si>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</si>
  <si>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</si>
  <si>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</si>
  <si>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</si>
  <si>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</si>
  <si>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</si>
  <si>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</si>
  <si>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</si>
  <si>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</si>
  <si>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</si>
  <si>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</si>
  <si>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</si>
  <si>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</si>
  <si>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</si>
  <si>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</si>
  <si>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</si>
  <si>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</si>
  <si>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</si>
  <si>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</si>
  <si>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</si>
  <si>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</si>
  <si>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</si>
  <si>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</si>
  <si>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</si>
  <si>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</si>
  <si>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</si>
  <si>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</si>
  <si>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</si>
  <si>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</si>
  <si>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</si>
  <si>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</si>
  <si>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</si>
  <si>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</si>
  <si>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</si>
  <si>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</si>
  <si>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</si>
  <si>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</si>
  <si>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</si>
  <si>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</si>
  <si>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</si>
  <si>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</si>
  <si>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</si>
  <si>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</si>
  <si>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</si>
  <si>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</si>
  <si>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</si>
  <si>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</si>
  <si>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</si>
  <si>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</si>
  <si>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</si>
  <si>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</si>
  <si>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</si>
  <si>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</si>
  <si>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</si>
  <si>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</si>
  <si>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</si>
  <si>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</si>
  <si>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</si>
  <si>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</si>
  <si>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</si>
  <si>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</si>
  <si>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</si>
  <si>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</si>
  <si>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</si>
  <si>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</si>
  <si>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</si>
  <si>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</si>
  <si>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</si>
  <si>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</si>
  <si>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</si>
  <si>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</si>
  <si>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</si>
  <si>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</si>
  <si>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</si>
  <si>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</si>
  <si>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</si>
  <si>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</si>
  <si>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</si>
  <si>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</si>
  <si>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</si>
  <si>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</si>
  <si>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</si>
  <si>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</si>
  <si>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</si>
  <si>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</si>
  <si>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</si>
  <si>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</si>
  <si>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</si>
  <si>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</si>
  <si>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</si>
  <si>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</si>
  <si>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</si>
  <si>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</si>
  <si>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</si>
  <si>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</si>
  <si>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</si>
  <si>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</si>
  <si>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</si>
  <si>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</si>
  <si>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</si>
  <si>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</si>
  <si>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</si>
  <si>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</si>
  <si>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</si>
  <si>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</si>
  <si>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</si>
  <si>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</si>
  <si>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</si>
  <si>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</si>
  <si>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</si>
  <si>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</si>
  <si>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</si>
  <si>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</si>
  <si>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</si>
  <si>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</si>
  <si>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</si>
  <si>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</si>
  <si>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</si>
  <si>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</si>
  <si>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</si>
  <si>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</si>
  <si>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</si>
  <si>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</si>
  <si>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</si>
  <si>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</si>
  <si>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</si>
  <si>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</si>
  <si>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</si>
  <si>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</si>
  <si>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</si>
  <si>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</si>
  <si>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</si>
  <si>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</si>
  <si>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</si>
  <si>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</si>
  <si>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</si>
  <si>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</si>
  <si>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</si>
  <si>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</si>
  <si>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</si>
  <si>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</si>
  <si>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</si>
  <si>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</si>
  <si>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</si>
  <si>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</si>
  <si>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</si>
  <si>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</si>
  <si>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</si>
  <si>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</si>
  <si>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</si>
  <si>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</si>
  <si>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</si>
  <si>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</si>
  <si>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</si>
  <si>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</si>
  <si>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</si>
  <si>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</si>
  <si>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</si>
  <si>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</si>
  <si>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</si>
  <si>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</si>
  <si>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</si>
  <si>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</si>
  <si>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</si>
  <si>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</si>
  <si>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</si>
  <si>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</si>
  <si>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</si>
  <si>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</si>
  <si>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</si>
  <si>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</si>
  <si>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</si>
  <si>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</si>
  <si>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</si>
  <si>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</si>
  <si>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</si>
  <si>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</si>
  <si>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</si>
  <si>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</si>
  <si>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</si>
  <si>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</si>
  <si>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</si>
  <si>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</si>
  <si>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</si>
  <si>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</si>
  <si>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</si>
  <si>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</si>
  <si>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</si>
  <si>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</si>
  <si>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</si>
  <si>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</si>
  <si>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</si>
  <si>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</si>
  <si>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</si>
  <si>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</si>
  <si>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</si>
  <si>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</si>
  <si>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</si>
  <si>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</si>
  <si>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</si>
  <si>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</si>
  <si>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</si>
  <si>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</si>
  <si>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</si>
  <si>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</si>
  <si>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</si>
  <si>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</si>
  <si>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</si>
  <si>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</si>
  <si>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</si>
  <si>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</si>
  <si>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</si>
  <si>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</si>
  <si>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</si>
  <si>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</si>
  <si>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</si>
  <si>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</si>
  <si>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</si>
  <si>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</si>
  <si>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</si>
  <si>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</si>
  <si>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</si>
  <si>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</si>
  <si>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</si>
  <si>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</si>
  <si>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</si>
  <si>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</si>
  <si>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</si>
  <si>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</si>
  <si>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</si>
  <si>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</si>
  <si>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</si>
  <si>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</si>
  <si>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</si>
  <si>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</si>
  <si>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</si>
  <si>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</si>
  <si>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</si>
  <si>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</si>
  <si>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</si>
  <si>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</si>
  <si>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</si>
  <si>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</si>
  <si>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</si>
  <si>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</si>
  <si>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</si>
  <si>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</si>
  <si>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</si>
  <si>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</si>
  <si>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</si>
  <si>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</si>
  <si>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</si>
  <si>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</si>
  <si>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</si>
  <si>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</si>
  <si>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</si>
  <si>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</si>
  <si>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</si>
  <si>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</si>
  <si>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</si>
  <si>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</si>
  <si>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</si>
  <si>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</si>
  <si>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</si>
  <si>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</si>
  <si>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</si>
  <si>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</si>
  <si>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</si>
  <si>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</si>
  <si>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</si>
  <si>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</si>
  <si>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</si>
  <si>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</si>
  <si>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</si>
  <si>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</si>
  <si>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</si>
  <si>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</si>
  <si>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</si>
  <si>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</si>
  <si>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</si>
  <si>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</si>
  <si>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</si>
  <si>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</si>
  <si>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</si>
  <si>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</si>
  <si>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</si>
  <si>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</si>
  <si>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</si>
  <si>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</si>
  <si>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</si>
  <si>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</si>
  <si>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</si>
  <si>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</si>
  <si>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</si>
  <si>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</si>
  <si>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</si>
  <si>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</si>
  <si>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</si>
  <si>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</si>
  <si>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</si>
  <si>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</si>
  <si>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</si>
  <si>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</si>
  <si>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</si>
  <si>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</si>
  <si>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</si>
  <si>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</si>
  <si>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</si>
  <si>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</si>
  <si>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</si>
  <si>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</si>
  <si>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</si>
  <si>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</si>
  <si>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</si>
  <si>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</si>
  <si>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</si>
  <si>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</si>
  <si>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</si>
  <si>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</si>
  <si>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</si>
  <si>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</si>
  <si>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</si>
  <si>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</si>
  <si>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</si>
  <si>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</si>
  <si>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</si>
  <si>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</si>
  <si>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</si>
  <si>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</si>
  <si>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</si>
  <si>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</si>
  <si>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</si>
  <si>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</si>
  <si>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</si>
  <si>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</si>
  <si>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</si>
  <si>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</si>
  <si>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</si>
  <si>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</si>
  <si>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</si>
  <si>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</si>
  <si>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</si>
  <si>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</si>
  <si>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</si>
  <si>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</si>
  <si>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</si>
  <si>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</si>
  <si>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</si>
  <si>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</si>
  <si>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cgy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</si>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</sst>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77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4" fillId="0" borderId="16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937">
    <dxf>
      <font>
        <color theme="1"/>
      </font>
      <fill>
        <patternFill>
          <bgColor theme="5" tint="0.39994506668294322"/>
        </patternFill>
      </fill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general" vertical="bottom" textRotation="70" wrapText="0" indent="0" justifyLastLine="0" shrinkToFit="0" readingOrder="0"/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DataRegularSeason20242025!$AF$2:$AF$1317</c:f>
              <c:numCache>
                <c:formatCode>General</c:formatCode>
                <c:ptCount val="13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-3</c:v>
                </c:pt>
                <c:pt idx="9">
                  <c:v>-3</c:v>
                </c:pt>
                <c:pt idx="10">
                  <c:v>-3</c:v>
                </c:pt>
                <c:pt idx="11">
                  <c:v>-2</c:v>
                </c:pt>
                <c:pt idx="12">
                  <c:v>-1</c:v>
                </c:pt>
                <c:pt idx="13">
                  <c:v>-2</c:v>
                </c:pt>
                <c:pt idx="14">
                  <c:v>-2</c:v>
                </c:pt>
                <c:pt idx="15">
                  <c:v>-5</c:v>
                </c:pt>
                <c:pt idx="16">
                  <c:v>-3</c:v>
                </c:pt>
                <c:pt idx="17">
                  <c:v>-4</c:v>
                </c:pt>
                <c:pt idx="18">
                  <c:v>-3</c:v>
                </c:pt>
                <c:pt idx="19">
                  <c:v>-2</c:v>
                </c:pt>
                <c:pt idx="20">
                  <c:v>-4</c:v>
                </c:pt>
                <c:pt idx="21">
                  <c:v>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DataRegularSeason20242025!$AG$2:$AG$1317</c:f>
              <c:numCache>
                <c:formatCode>General</c:formatCode>
                <c:ptCount val="131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-4</c:v>
                </c:pt>
                <c:pt idx="9">
                  <c:v>-6</c:v>
                </c:pt>
                <c:pt idx="10">
                  <c:v>-2</c:v>
                </c:pt>
                <c:pt idx="11">
                  <c:v>-5</c:v>
                </c:pt>
                <c:pt idx="12">
                  <c:v>-4</c:v>
                </c:pt>
                <c:pt idx="13">
                  <c:v>-4</c:v>
                </c:pt>
                <c:pt idx="14">
                  <c:v>-4</c:v>
                </c:pt>
                <c:pt idx="15">
                  <c:v>-3</c:v>
                </c:pt>
                <c:pt idx="16">
                  <c:v>-4</c:v>
                </c:pt>
                <c:pt idx="17">
                  <c:v>-2</c:v>
                </c:pt>
                <c:pt idx="18">
                  <c:v>-6</c:v>
                </c:pt>
                <c:pt idx="19">
                  <c:v>-4</c:v>
                </c:pt>
                <c:pt idx="20">
                  <c:v>-3</c:v>
                </c:pt>
                <c:pt idx="21">
                  <c:v>-5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22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</c:strCache>
            </c:strRef>
          </c:cat>
          <c:val>
            <c:numRef>
              <c:f>DataRegularSeason20242025!$AH$2:$AH$1317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-41</c:v>
                </c:pt>
                <c:pt idx="9">
                  <c:v>-41</c:v>
                </c:pt>
                <c:pt idx="10">
                  <c:v>-41</c:v>
                </c:pt>
                <c:pt idx="11">
                  <c:v>-41</c:v>
                </c:pt>
                <c:pt idx="12">
                  <c:v>-41</c:v>
                </c:pt>
                <c:pt idx="13">
                  <c:v>-41</c:v>
                </c:pt>
                <c:pt idx="14">
                  <c:v>-41</c:v>
                </c:pt>
                <c:pt idx="15">
                  <c:v>-41</c:v>
                </c:pt>
                <c:pt idx="16">
                  <c:v>-41</c:v>
                </c:pt>
                <c:pt idx="17">
                  <c:v>-41</c:v>
                </c:pt>
                <c:pt idx="18">
                  <c:v>-41</c:v>
                </c:pt>
                <c:pt idx="19">
                  <c:v>-41</c:v>
                </c:pt>
                <c:pt idx="20">
                  <c:v>-41</c:v>
                </c:pt>
                <c:pt idx="21">
                  <c:v>-41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22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</c:strCache>
            </c:strRef>
          </c:cat>
          <c:val>
            <c:numRef>
              <c:f>DataRegularSeason20242025!$AI$2:$AI$1317</c:f>
              <c:numCache>
                <c:formatCode>General</c:formatCode>
                <c:ptCount val="1316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-56</c:v>
                </c:pt>
                <c:pt idx="9">
                  <c:v>-56</c:v>
                </c:pt>
                <c:pt idx="10">
                  <c:v>-56</c:v>
                </c:pt>
                <c:pt idx="11">
                  <c:v>-56</c:v>
                </c:pt>
                <c:pt idx="12">
                  <c:v>-56</c:v>
                </c:pt>
                <c:pt idx="13">
                  <c:v>-56</c:v>
                </c:pt>
                <c:pt idx="14">
                  <c:v>-56</c:v>
                </c:pt>
                <c:pt idx="15">
                  <c:v>-56</c:v>
                </c:pt>
                <c:pt idx="16">
                  <c:v>-56</c:v>
                </c:pt>
                <c:pt idx="17">
                  <c:v>-56</c:v>
                </c:pt>
                <c:pt idx="18">
                  <c:v>-56</c:v>
                </c:pt>
                <c:pt idx="19">
                  <c:v>-56</c:v>
                </c:pt>
                <c:pt idx="20">
                  <c:v>-56</c:v>
                </c:pt>
                <c:pt idx="21">
                  <c:v>-56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Sheet1!$B$3:$B$201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Sheet1!$C$3:$C$201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Sheet1!$D$3:$D$201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Sheet1!$E$3:$E$201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Sheet1!$F$3:$F$201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Sheet1!$G$3:$G$201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Sheet1!$H$3:$H$201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Sheet1!$I$3:$I$201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Sheet1!$J$3:$J$201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Sheet1!$K$3:$K$201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Sheet1!$L$3:$L$201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Sheet1!$M$3:$M$201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Sheet1!$N$3:$N$201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Sheet1!$O$3:$O$201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Sheet1!$P$3:$P$201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Sheet1!$Q$3:$Q$201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Sheet1!$R$3:$R$201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Sheet1!$S$3:$S$201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Sheet1!$T$3:$T$201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Sheet1!$U$3:$U$201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Sheet1!$V$3:$V$201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Sheet1!$W$3:$W$201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Sheet1!$X$3:$X$201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Sheet1!$Y$3:$Y$201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Sheet1!$Z$3:$Z$201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Sheet1!$AA$3:$AA$201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Sheet1!$AB$3:$AB$201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Sheet1!$AC$3:$AC$201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Sheet1!$AD$3:$AD$201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Sheet1!$AE$3:$AE$201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Sheet1!$AF$3:$AF$201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Sheet1!$AG$3:$AG$201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T1314" headerRowDxfId="93" dataDxfId="92" headerRowBorderDxfId="91">
  <autoFilter ref="A2:AT1314" xr:uid="{5B054025-4CD5-437B-A2B1-4953810278F9}"/>
  <tableColumns count="46">
    <tableColumn id="1" xr3:uid="{4F0EF3E3-5ED2-413B-9486-9498BEF02C85}" name=" PredictionDate" totalsRowLabel="Total" dataDxfId="89" totalsRowDxfId="90"/>
    <tableColumn id="2" xr3:uid="{39F623AD-0A71-404E-ACB2-FF5C232C4B60}" name="GameDate" dataDxfId="88"/>
    <tableColumn id="3" xr3:uid="{F9CBDD2B-6977-478D-B9B1-48132BC29B8D}" name="GameID" dataDxfId="86" totalsRowDxfId="87"/>
    <tableColumn id="4" xr3:uid="{2B6D103E-CF04-4221-A032-6566D087A240}" name="AwayTeam" totalsRowFunction="count" dataDxfId="84" totalsRowDxfId="85"/>
    <tableColumn id="5" xr3:uid="{E9B83039-5C7E-45B4-A5F1-F54DF85D8DB5}" name="HomeTeam" totalsRowFunction="count" dataDxfId="82" totalsRowDxfId="83"/>
    <tableColumn id="6" xr3:uid="{CA60FB2E-C878-4F57-9486-8FFAB21268D1}" name="PredictedAwayScore" totalsRowFunction="count" dataDxfId="80" totalsRowDxfId="81"/>
    <tableColumn id="7" xr3:uid="{BDE84EDC-079B-4057-84F6-42C28780CF56}" name="PredictedHomeScore" totalsRowFunction="count" dataDxfId="78" totalsRowDxfId="79"/>
    <tableColumn id="8" xr3:uid="{AB1145B6-73D2-4952-891E-2532100229DC}" name="PredictedWinner" totalsRowFunction="count" dataDxfId="76" totalsRowDxfId="77"/>
    <tableColumn id="9" xr3:uid="{0FDA5C85-1339-41A1-AEB6-455F4E077F46}" name="PredictedResult" totalsRowFunction="count" dataDxfId="74" totalsRowDxfId="75"/>
    <tableColumn id="10" xr3:uid="{6C6A6DF0-F9AE-4DAF-8957-8621DF7520A2}" name="ActualAwayScore" totalsRowFunction="count" dataDxfId="73"/>
    <tableColumn id="11" xr3:uid="{B8B678E5-1823-43AE-95CC-BEE79D908CEE}" name="ActualHomeScore" totalsRowFunction="count" dataDxfId="71" totalsRowDxfId="72"/>
    <tableColumn id="12" xr3:uid="{C650F2F7-7978-49EE-8737-DCE1A6311E23}" name="ActualWinner" totalsRowFunction="count" dataDxfId="69" totalsRowDxfId="70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67" totalsRowDxfId="68"/>
    <tableColumn id="17" xr3:uid="{239B68C2-07A2-4506-9EC8-00E52DD7178A}" name="GameIsOver" totalsRowFunction="count" dataDxfId="65" totalsRowDxfId="66">
      <calculatedColumnFormula>IF(ISBLANK(Table2[[#This Row],[ActualResult]]), 0, 1)</calculatedColumnFormula>
    </tableColumn>
    <tableColumn id="14" xr3:uid="{C40BC093-C7BF-4F78-9D28-E8E87FFCAD46}" name="CorrectWinnerPrediction" totalsRowFunction="count" dataDxfId="63" totalsRowDxfId="64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61" totalsRowDxfId="62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59" totalsRowDxfId="60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57" totalsRowDxfId="58"/>
    <tableColumn id="19" xr3:uid="{665B4234-0C9B-451F-996C-0671FAEA8ED7}" name="LosingTeam" totalsRowFunction="count" dataDxfId="55" totalsRowDxfId="56">
      <calculatedColumnFormula>IF($L3="_", "_", IF($L3=$D3,$E3,$D3))</calculatedColumnFormula>
    </tableColumn>
    <tableColumn id="20" xr3:uid="{44E37CA6-669F-47CA-95D2-B831EB8B3628}" name="InterConf" totalsRowFunction="count" dataDxfId="53" totalsRowDxfId="54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51" totalsRowDxfId="52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49" totalsRowDxfId="50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47" totalsRowDxfId="48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45" totalsRowDxfId="46"/>
    <tableColumn id="25" xr3:uid="{5D6968E6-45CE-4B45-818F-1A4B201A39D4}" name="PostGameNotes" totalsRowFunction="count" dataDxfId="43" totalsRowDxfId="44"/>
    <tableColumn id="26" xr3:uid="{4CC012EB-DB6C-4853-A5B9-75650FDCD78B}" name="GameHasShutOut" dataDxfId="41" totalsRowDxfId="42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39" totalsRowDxfId="40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37" totalsRowDxfId="38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35" totalsRowDxfId="36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33" totalsRowDxfId="34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31" totalsRowDxfId="32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29" totalsRowDxfId="30">
      <calculatedColumnFormula>Table2[[#This Row],[ActualAwayScore]]-Table2[[#This Row],[PredictedAwayScore]]</calculatedColumnFormula>
    </tableColumn>
    <tableColumn id="33" xr3:uid="{6DAB8D33-9AC0-4212-9CC7-EE429158576E}" name="PredictedHomeScorePlusMinus" dataDxfId="27" totalsRowDxfId="28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25" totalsRowDxfId="26">
      <calculatedColumnFormula>SUMIF($B$3:$B$1315, $B3, $AF$3:$AF$1315)</calculatedColumnFormula>
    </tableColumn>
    <tableColumn id="35" xr3:uid="{438B3C73-5C9F-4061-9177-ADA21EB41F1F}" name="PredictedHomeScorePlusMinusByDate" dataDxfId="23" totalsRowDxfId="24">
      <calculatedColumnFormula>SUMIF($B$3:$B$1315, $B3, $AG$3:$AG$1315)</calculatedColumnFormula>
    </tableColumn>
    <tableColumn id="36" xr3:uid="{4D822B59-35DC-4091-9231-8369AB949EE5}" name="WatchOrder" dataDxfId="21" totalsRowDxfId="22"/>
    <tableColumn id="37" xr3:uid="{B77EE501-1744-4AD0-B258-0585548DBA89}" name="WatchDate" dataDxfId="19" totalsRowDxfId="20"/>
    <tableColumn id="38" xr3:uid="{6E91C3FB-94AE-4E5D-952D-6DEEE0AE52C5}" name="AwayWon" dataDxfId="17" totalsRowDxfId="18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15" totalsRowDxfId="16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13" totalsRowDxfId="14">
      <calculatedColumnFormula>IF(IFERROR(FIND(Table2[[#This Row],[AwayTeam]], _xlfn.TEXTJOIN(";", 1, $BD$31:$BD$40)), 0) &gt; 0, 1, 0) + IF(IFERROR(FIND(Table2[[#This Row],[HomeTeam]], _xlfn.TEXTJOIN(";", 1, $BD$31:$BD$40)), 0) &gt; 0, 1, 0)</calculatedColumnFormula>
    </tableColumn>
    <tableColumn id="41" xr3:uid="{C0D8E96D-C185-4F49-8512-18CC8A612DB7}" name="AwayVsHomeRecord" dataDxfId="11" totalsRowDxfId="12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9" totalsRowDxfId="10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7" totalsRowDxfId="8">
      <calculatedColumnFormula>IF(Table2[[#This Row],[GameHasShutOut]], 1, 0)</calculatedColumnFormula>
    </tableColumn>
    <tableColumn id="46" xr3:uid="{BBFBDF87-36DE-484F-86A2-55ABF6AE31FC}" name="THG_80sGame" dataDxfId="5" totalsRowDxfId="6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3" totalsRowDxfId="4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1" totalsRowDxfId="2">
      <calculatedColumnFormula>IF(Table2[[#This Row],[ActualAwayScore]] + Table2[[#This Row],[ActualHomeScore]] &lt;= 3,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936" dataDxfId="935">
  <autoFilter ref="A1:AG273" xr:uid="{74EEDFCB-ED7A-4BB1-A2EE-67F4F56372D2}"/>
  <tableColumns count="33">
    <tableColumn id="1" xr3:uid="{A49AAD1C-7D7D-45B8-A139-0779BA31A77E}" name="Date" dataDxfId="934"/>
    <tableColumn id="2" xr3:uid="{730CD6D2-246F-432B-8EEB-0203EE317A26}" name="ANA" dataDxfId="933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932"/>
    <tableColumn id="4" xr3:uid="{87F00FE4-13FE-4967-9AA3-C167D9305BF9}" name="BUF" dataDxfId="931"/>
    <tableColumn id="5" xr3:uid="{E4871159-5731-4550-8344-84BE83ED01F0}" name="CAR" dataDxfId="930"/>
    <tableColumn id="6" xr3:uid="{5725D175-4124-4B24-993F-7A6EFE1491AC}" name="CBJ" dataDxfId="929"/>
    <tableColumn id="7" xr3:uid="{C13EFE5D-116B-45F1-A9D9-40B119CB0AD5}" name="CGY" dataDxfId="928"/>
    <tableColumn id="8" xr3:uid="{64E13E1C-E642-404F-86A4-5519B5259476}" name="CHI" dataDxfId="927"/>
    <tableColumn id="9" xr3:uid="{36E64709-D15B-46B3-A7DE-B98D6486B271}" name="COL" dataDxfId="926"/>
    <tableColumn id="10" xr3:uid="{1CD1FEAC-B353-4165-A857-F8E64B61D6BA}" name="DAL" dataDxfId="925"/>
    <tableColumn id="11" xr3:uid="{23CC1A05-CF3C-41D9-ADFE-F115BEFC985F}" name="DET" dataDxfId="924"/>
    <tableColumn id="12" xr3:uid="{1C5CEC72-E9F1-43F8-A2AB-965A58C697FF}" name="EDM" dataDxfId="923"/>
    <tableColumn id="13" xr3:uid="{CC6E7C18-A903-499F-B324-61FD69F457D3}" name="FLA" dataDxfId="922"/>
    <tableColumn id="14" xr3:uid="{EA30EDB7-6072-42F9-B2C0-5015D88CD405}" name="LAK" dataDxfId="921"/>
    <tableColumn id="15" xr3:uid="{43F59676-0F92-4F04-B89B-D52DE8300412}" name="MIN" dataDxfId="920"/>
    <tableColumn id="16" xr3:uid="{74052D50-F767-4835-96C3-D812137B6B78}" name="MTL" dataDxfId="919"/>
    <tableColumn id="17" xr3:uid="{090B024D-8AC7-4C1B-9B31-4454C3F37CB3}" name="NJD" dataDxfId="918"/>
    <tableColumn id="18" xr3:uid="{526C0944-F465-462A-8ECA-BF074D7EB1DE}" name="NSH" dataDxfId="917"/>
    <tableColumn id="19" xr3:uid="{7C20E30B-1AA1-48BD-A65C-DE528BA72FE6}" name="NYI" dataDxfId="916"/>
    <tableColumn id="20" xr3:uid="{27A2F177-CC7A-4B19-977F-CEA1C51D6C0E}" name="NYR" dataDxfId="915"/>
    <tableColumn id="21" xr3:uid="{073FE83E-0AF1-44C3-AE3C-5BD26992F7D5}" name="OTT" dataDxfId="914"/>
    <tableColumn id="22" xr3:uid="{6370A811-7903-4DD2-9DE8-8D7B816BE146}" name="PHI" dataDxfId="913"/>
    <tableColumn id="23" xr3:uid="{37BEE05D-28D8-4538-8285-29B64599DD4E}" name="PIT" dataDxfId="912"/>
    <tableColumn id="24" xr3:uid="{132755F5-4605-4136-9380-5C1921B33212}" name="SEA" dataDxfId="911"/>
    <tableColumn id="25" xr3:uid="{0468EE05-8CDF-4319-BE9D-D89F14C8E183}" name="SJS" dataDxfId="910"/>
    <tableColumn id="26" xr3:uid="{C0A1252B-B678-413D-B72A-E409CAA4D568}" name="STL" dataDxfId="909"/>
    <tableColumn id="27" xr3:uid="{2FCCA5C4-ADEA-43B2-980E-C95A408B8B92}" name="TBL" dataDxfId="908"/>
    <tableColumn id="28" xr3:uid="{399BA29B-CDF9-4FB4-9C8F-90EF3231D634}" name="TOR" dataDxfId="907"/>
    <tableColumn id="29" xr3:uid="{3FD60A86-C15C-4F59-96BA-7D808B5C7AF7}" name="UTA" dataDxfId="906"/>
    <tableColumn id="30" xr3:uid="{E95E1BF9-F880-45B8-BABE-2E3FFD2EB59F}" name="VAN" dataDxfId="905"/>
    <tableColumn id="31" xr3:uid="{14971F10-0533-4026-A0C3-1CD757193D21}" name="VGK" dataDxfId="904"/>
    <tableColumn id="32" xr3:uid="{78F9574A-44B1-4063-8869-88AD0333E712}" name="WPG" dataDxfId="903"/>
    <tableColumn id="33" xr3:uid="{E013F70D-43E1-4AE8-99B8-77027202A8A5}" name="WSH" dataDxfId="90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901" dataDxfId="900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GU2:GU33"/>
  </sortState>
  <tableColumns count="275">
    <tableColumn id="1" xr3:uid="{6A7086D0-711A-41B7-A4B8-9D377B70EC26}" name="Team" totalsRowLabel="Total" dataDxfId="899"/>
    <tableColumn id="274" xr3:uid="{010ED52E-0419-4863-94F8-9AF3356A2738}" name="Conf" dataDxfId="898"/>
    <tableColumn id="275" xr3:uid="{72531E18-55CF-4588-B22F-9093ECF8BF1A}" name="Div" dataDxfId="897"/>
    <tableColumn id="2" xr3:uid="{BD7886D5-3240-48F9-AD10-972D3E8FE85B}" name="2025-10-03" totalsRowFunction="average" dataDxfId="896">
      <calculatedColumnFormula>SUMIFS(DataRegularSeason20242025!$AA$3:$AA$1314,DataRegularSeason20242025!$B$3:$B$1314, "&lt;=" &amp; D$1, DataRegularSeason20242025!$D$3:$D$1314, $A2)+SUMIFS(DataRegularSeason20242025!$AB$3:$AB$1314,DataRegularSeason20242025!$B$3:$B$1314, "&lt;=" &amp; D$1, DataRegularSeason20242025!$E$3:$E$1314, $A2)</calculatedColumnFormula>
    </tableColumn>
    <tableColumn id="3" xr3:uid="{98872052-16D8-4D05-BDBE-D54E37CF6945}" name="2025-10-04" totalsRowFunction="average" dataDxfId="895">
      <calculatedColumnFormula>SUMIFS(DataRegularSeason20242025!$AA$3:$AA$1314,DataRegularSeason20242025!$B$3:$B$1314, "&lt;=" &amp; E$1, DataRegularSeason20242025!$D$3:$D$1314, $A2)+SUMIFS(DataRegularSeason20242025!$AB$3:$AB$1314,DataRegularSeason20242025!$B$3:$B$1314, "&lt;=" &amp; E$1, DataRegularSeason20242025!$E$3:$E$1314, $A2)</calculatedColumnFormula>
    </tableColumn>
    <tableColumn id="4" xr3:uid="{D5ACFDFE-ED1B-4A91-97E1-53311E3027C1}" name="2025-10-05" totalsRowFunction="average" dataDxfId="894">
      <calculatedColumnFormula>SUMIFS(DataRegularSeason20242025!$AA$3:$AA$1314,DataRegularSeason20242025!$B$3:$B$1314, "&lt;=" &amp; F$1, DataRegularSeason20242025!$D$3:$D$1314, $A2)+SUMIFS(DataRegularSeason20242025!$AB$3:$AB$1314,DataRegularSeason20242025!$B$3:$B$1314, "&lt;=" &amp; F$1, DataRegularSeason20242025!$E$3:$E$1314, $A2)</calculatedColumnFormula>
    </tableColumn>
    <tableColumn id="5" xr3:uid="{A356CF2C-0F71-43B2-A14E-A13CE133DCC5}" name="2025-10-06" totalsRowFunction="average" dataDxfId="893">
      <calculatedColumnFormula>SUMIFS(DataRegularSeason20242025!$AA$3:$AA$1314,DataRegularSeason20242025!$B$3:$B$1314, "&lt;=" &amp; G$1, DataRegularSeason20242025!$D$3:$D$1314, $A2)+SUMIFS(DataRegularSeason20242025!$AB$3:$AB$1314,DataRegularSeason20242025!$B$3:$B$1314, "&lt;=" &amp; G$1, DataRegularSeason20242025!$E$3:$E$1314, $A2)</calculatedColumnFormula>
    </tableColumn>
    <tableColumn id="6" xr3:uid="{B95D3FBD-0F27-4BFA-9F98-A94D29B2C0C8}" name="2025-10-07" totalsRowFunction="average" dataDxfId="892">
      <calculatedColumnFormula>SUMIFS(DataRegularSeason20242025!$AA$3:$AA$1314,DataRegularSeason20242025!$B$3:$B$1314, "&lt;=" &amp; H$1, DataRegularSeason20242025!$D$3:$D$1314, $A2)+SUMIFS(DataRegularSeason20242025!$AB$3:$AB$1314,DataRegularSeason20242025!$B$3:$B$1314, "&lt;=" &amp; H$1, DataRegularSeason20242025!$E$3:$E$1314, $A2)</calculatedColumnFormula>
    </tableColumn>
    <tableColumn id="7" xr3:uid="{615E00D5-C751-4DD4-9D8B-D110FDE454F9}" name="2025-10-08" totalsRowFunction="average" dataDxfId="891">
      <calculatedColumnFormula>SUMIFS(DataRegularSeason20242025!$AA$3:$AA$1314,DataRegularSeason20242025!$B$3:$B$1314, "&lt;=" &amp; I$1, DataRegularSeason20242025!$D$3:$D$1314, $A2)+SUMIFS(DataRegularSeason20242025!$AB$3:$AB$1314,DataRegularSeason20242025!$B$3:$B$1314, "&lt;=" &amp; I$1, DataRegularSeason20242025!$E$3:$E$1314, $A2)</calculatedColumnFormula>
    </tableColumn>
    <tableColumn id="8" xr3:uid="{8C265840-7DD3-482E-A38C-56655BAFED80}" name="2025-10-09" totalsRowFunction="average" dataDxfId="890">
      <calculatedColumnFormula>SUMIFS(DataRegularSeason20242025!$AA$3:$AA$1314,DataRegularSeason20242025!$B$3:$B$1314, "&lt;=" &amp; J$1, DataRegularSeason20242025!$D$3:$D$1314, $A2)+SUMIFS(DataRegularSeason20242025!$AB$3:$AB$1314,DataRegularSeason20242025!$B$3:$B$1314, "&lt;=" &amp; J$1, DataRegularSeason20242025!$E$3:$E$1314, $A2)</calculatedColumnFormula>
    </tableColumn>
    <tableColumn id="9" xr3:uid="{77E16772-BE39-4320-B6D0-1FB729516296}" name="2025-10-10" totalsRowFunction="average" dataDxfId="889">
      <calculatedColumnFormula>SUMIFS(DataRegularSeason20242025!$AA$3:$AA$1314,DataRegularSeason20242025!$B$3:$B$1314, "&lt;=" &amp; K$1, DataRegularSeason20242025!$D$3:$D$1314, $A2)+SUMIFS(DataRegularSeason20242025!$AB$3:$AB$1314,DataRegularSeason20242025!$B$3:$B$1314, "&lt;=" &amp; K$1, DataRegularSeason20242025!$E$3:$E$1314, $A2)</calculatedColumnFormula>
    </tableColumn>
    <tableColumn id="10" xr3:uid="{BF068027-B669-435F-8B89-997826EB1736}" name="2025-10-11" totalsRowFunction="average" dataDxfId="888">
      <calculatedColumnFormula>SUMIFS(DataRegularSeason20242025!$AA$3:$AA$1314,DataRegularSeason20242025!$B$3:$B$1314, "&lt;=" &amp; L$1, DataRegularSeason20242025!$D$3:$D$1314, $A2)+SUMIFS(DataRegularSeason20242025!$AB$3:$AB$1314,DataRegularSeason20242025!$B$3:$B$1314, "&lt;=" &amp; L$1, DataRegularSeason20242025!$E$3:$E$1314, $A2)</calculatedColumnFormula>
    </tableColumn>
    <tableColumn id="11" xr3:uid="{6F95A614-148D-46FA-8D42-515195170DA5}" name="2025-10-12" totalsRowFunction="average" dataDxfId="887">
      <calculatedColumnFormula>SUMIFS(DataRegularSeason20242025!$AA$3:$AA$1314,DataRegularSeason20242025!$B$3:$B$1314, "&lt;=" &amp; M$1, DataRegularSeason20242025!$D$3:$D$1314, $A2)+SUMIFS(DataRegularSeason20242025!$AB$3:$AB$1314,DataRegularSeason20242025!$B$3:$B$1314, "&lt;=" &amp; M$1, DataRegularSeason20242025!$E$3:$E$1314, $A2)</calculatedColumnFormula>
    </tableColumn>
    <tableColumn id="12" xr3:uid="{266683A8-AAFE-41A8-B9F7-80A97D2F1A86}" name="2025-10-13" totalsRowFunction="average" dataDxfId="886">
      <calculatedColumnFormula>SUMIFS(DataRegularSeason20242025!$AA$3:$AA$1314,DataRegularSeason20242025!$B$3:$B$1314, "&lt;=" &amp; N$1, DataRegularSeason20242025!$D$3:$D$1314, $A2)+SUMIFS(DataRegularSeason20242025!$AB$3:$AB$1314,DataRegularSeason20242025!$B$3:$B$1314, "&lt;=" &amp; N$1, DataRegularSeason20242025!$E$3:$E$1314, $A2)</calculatedColumnFormula>
    </tableColumn>
    <tableColumn id="13" xr3:uid="{D323786C-FC1E-4608-8DC5-107EC190FA67}" name="2025-10-14" totalsRowFunction="average" dataDxfId="885">
      <calculatedColumnFormula>SUMIFS(DataRegularSeason20242025!$AA$3:$AA$1314,DataRegularSeason20242025!$B$3:$B$1314, "&lt;=" &amp; O$1, DataRegularSeason20242025!$D$3:$D$1314, $A2)+SUMIFS(DataRegularSeason20242025!$AB$3:$AB$1314,DataRegularSeason20242025!$B$3:$B$1314, "&lt;=" &amp; O$1, DataRegularSeason20242025!$E$3:$E$1314, $A2)</calculatedColumnFormula>
    </tableColumn>
    <tableColumn id="14" xr3:uid="{10EA0AA8-0DB3-4C8E-83A6-6AC8BD43E2A1}" name="2025-10-15" totalsRowFunction="average" dataDxfId="884">
      <calculatedColumnFormula>SUMIFS(DataRegularSeason20242025!$AA$3:$AA$1314,DataRegularSeason20242025!$B$3:$B$1314, "&lt;=" &amp; P$1, DataRegularSeason20242025!$D$3:$D$1314, $A2)+SUMIFS(DataRegularSeason20242025!$AB$3:$AB$1314,DataRegularSeason20242025!$B$3:$B$1314, "&lt;=" &amp; P$1, DataRegularSeason20242025!$E$3:$E$1314, $A2)</calculatedColumnFormula>
    </tableColumn>
    <tableColumn id="15" xr3:uid="{DB007DCA-B1C3-4BC0-AB89-888CC72735DB}" name="2025-10-16" totalsRowFunction="average" dataDxfId="883">
      <calculatedColumnFormula>SUMIFS(DataRegularSeason20242025!$AA$3:$AA$1314,DataRegularSeason20242025!$B$3:$B$1314, "&lt;=" &amp; Q$1, DataRegularSeason20242025!$D$3:$D$1314, $A2)+SUMIFS(DataRegularSeason20242025!$AB$3:$AB$1314,DataRegularSeason20242025!$B$3:$B$1314, "&lt;=" &amp; Q$1, DataRegularSeason20242025!$E$3:$E$1314, $A2)</calculatedColumnFormula>
    </tableColumn>
    <tableColumn id="16" xr3:uid="{C4E3B126-6494-441D-A7C5-C6EDECB68881}" name="2025-10-17" totalsRowFunction="average" dataDxfId="882">
      <calculatedColumnFormula>SUMIFS(DataRegularSeason20242025!$AA$3:$AA$1314,DataRegularSeason20242025!$B$3:$B$1314, "&lt;=" &amp; R$1, DataRegularSeason20242025!$D$3:$D$1314, $A2)+SUMIFS(DataRegularSeason20242025!$AB$3:$AB$1314,DataRegularSeason20242025!$B$3:$B$1314, "&lt;=" &amp; R$1, DataRegularSeason20242025!$E$3:$E$1314, $A2)</calculatedColumnFormula>
    </tableColumn>
    <tableColumn id="17" xr3:uid="{B60C321B-62AB-419A-BAF8-E891FE9B36B9}" name="2025-10-18" totalsRowFunction="average" dataDxfId="881">
      <calculatedColumnFormula>SUMIFS(DataRegularSeason20242025!$AA$3:$AA$1314,DataRegularSeason20242025!$B$3:$B$1314, "&lt;=" &amp; S$1, DataRegularSeason20242025!$D$3:$D$1314, $A2)+SUMIFS(DataRegularSeason20242025!$AB$3:$AB$1314,DataRegularSeason20242025!$B$3:$B$1314, "&lt;=" &amp; S$1, DataRegularSeason20242025!$E$3:$E$1314, $A2)</calculatedColumnFormula>
    </tableColumn>
    <tableColumn id="18" xr3:uid="{1105728A-0673-40EE-811A-C3DAA6D6E777}" name="2025-10-19" totalsRowFunction="average" dataDxfId="880">
      <calculatedColumnFormula>SUMIFS(DataRegularSeason20242025!$AA$3:$AA$1314,DataRegularSeason20242025!$B$3:$B$1314, "&lt;=" &amp; T$1, DataRegularSeason20242025!$D$3:$D$1314, $A2)+SUMIFS(DataRegularSeason20242025!$AB$3:$AB$1314,DataRegularSeason20242025!$B$3:$B$1314, "&lt;=" &amp; T$1, DataRegularSeason20242025!$E$3:$E$1314, $A2)</calculatedColumnFormula>
    </tableColumn>
    <tableColumn id="19" xr3:uid="{F2668510-5B78-4284-AA0A-9CBE65D63E66}" name="2025-10-20" totalsRowFunction="average" dataDxfId="879">
      <calculatedColumnFormula>SUMIFS(DataRegularSeason20242025!$AA$3:$AA$1314,DataRegularSeason20242025!$B$3:$B$1314, "&lt;=" &amp; U$1, DataRegularSeason20242025!$D$3:$D$1314, $A2)+SUMIFS(DataRegularSeason20242025!$AB$3:$AB$1314,DataRegularSeason20242025!$B$3:$B$1314, "&lt;=" &amp; U$1, DataRegularSeason20242025!$E$3:$E$1314, $A2)</calculatedColumnFormula>
    </tableColumn>
    <tableColumn id="20" xr3:uid="{580C97A8-3CD3-4165-B591-83027D120B9A}" name="2025-10-21" totalsRowFunction="average" dataDxfId="878">
      <calculatedColumnFormula>SUMIFS(DataRegularSeason20242025!$AA$3:$AA$1314,DataRegularSeason20242025!$B$3:$B$1314, "&lt;=" &amp; V$1, DataRegularSeason20242025!$D$3:$D$1314, $A2)+SUMIFS(DataRegularSeason20242025!$AB$3:$AB$1314,DataRegularSeason20242025!$B$3:$B$1314, "&lt;=" &amp; V$1, DataRegularSeason20242025!$E$3:$E$1314, $A2)</calculatedColumnFormula>
    </tableColumn>
    <tableColumn id="21" xr3:uid="{8123FFB0-AEAA-4E5D-A769-79C111873BF4}" name="2025-10-22" totalsRowFunction="average" dataDxfId="877">
      <calculatedColumnFormula>SUMIFS(DataRegularSeason20242025!$AA$3:$AA$1314,DataRegularSeason20242025!$B$3:$B$1314, "&lt;=" &amp; W$1, DataRegularSeason20242025!$D$3:$D$1314, $A2)+SUMIFS(DataRegularSeason20242025!$AB$3:$AB$1314,DataRegularSeason20242025!$B$3:$B$1314, "&lt;=" &amp; W$1, DataRegularSeason20242025!$E$3:$E$1314, $A2)</calculatedColumnFormula>
    </tableColumn>
    <tableColumn id="22" xr3:uid="{7C205C36-288E-4FA6-9D90-C4748C1C2609}" name="2025-10-23" totalsRowFunction="average" dataDxfId="876">
      <calculatedColumnFormula>SUMIFS(DataRegularSeason20242025!$AA$3:$AA$1314,DataRegularSeason20242025!$B$3:$B$1314, "&lt;=" &amp; X$1, DataRegularSeason20242025!$D$3:$D$1314, $A2)+SUMIFS(DataRegularSeason20242025!$AB$3:$AB$1314,DataRegularSeason20242025!$B$3:$B$1314, "&lt;=" &amp; X$1, DataRegularSeason20242025!$E$3:$E$1314, $A2)</calculatedColumnFormula>
    </tableColumn>
    <tableColumn id="23" xr3:uid="{AE7E17DD-0AED-40B5-B1E9-D21DFD82C613}" name="2025-10-24" totalsRowFunction="average" dataDxfId="875">
      <calculatedColumnFormula>SUMIFS(DataRegularSeason20242025!$AA$3:$AA$1314,DataRegularSeason20242025!$B$3:$B$1314, "&lt;=" &amp; Y$1, DataRegularSeason20242025!$D$3:$D$1314, $A2)+SUMIFS(DataRegularSeason20242025!$AB$3:$AB$1314,DataRegularSeason20242025!$B$3:$B$1314, "&lt;=" &amp; Y$1, DataRegularSeason20242025!$E$3:$E$1314, $A2)</calculatedColumnFormula>
    </tableColumn>
    <tableColumn id="24" xr3:uid="{A8E04E8B-8CB6-4F89-9DA3-F9F2A9368AAE}" name="2025-10-25" totalsRowFunction="average" dataDxfId="874">
      <calculatedColumnFormula>SUMIFS(DataRegularSeason20242025!$AA$3:$AA$1314,DataRegularSeason20242025!$B$3:$B$1314, "&lt;=" &amp; Z$1, DataRegularSeason20242025!$D$3:$D$1314, $A2)+SUMIFS(DataRegularSeason20242025!$AB$3:$AB$1314,DataRegularSeason20242025!$B$3:$B$1314, "&lt;=" &amp; Z$1, DataRegularSeason20242025!$E$3:$E$1314, $A2)</calculatedColumnFormula>
    </tableColumn>
    <tableColumn id="25" xr3:uid="{654DFB94-6B2E-40D1-AA9B-65A51F25CAD4}" name="2025-10-26" totalsRowFunction="average" dataDxfId="873">
      <calculatedColumnFormula>SUMIFS(DataRegularSeason20242025!$AA$3:$AA$1314,DataRegularSeason20242025!$B$3:$B$1314, "&lt;=" &amp; AA$1, DataRegularSeason20242025!$D$3:$D$1314, $A2)+SUMIFS(DataRegularSeason20242025!$AB$3:$AB$1314,DataRegularSeason20242025!$B$3:$B$1314, "&lt;=" &amp; AA$1, DataRegularSeason20242025!$E$3:$E$1314, $A2)</calculatedColumnFormula>
    </tableColumn>
    <tableColumn id="26" xr3:uid="{8C2555ED-7616-4B53-A26C-3F2A23098B5F}" name="2025-10-27" totalsRowFunction="average" dataDxfId="872">
      <calculatedColumnFormula>SUMIFS(DataRegularSeason20242025!$AA$3:$AA$1314,DataRegularSeason20242025!$B$3:$B$1314, "&lt;=" &amp; AB$1, DataRegularSeason20242025!$D$3:$D$1314, $A2)+SUMIFS(DataRegularSeason20242025!$AB$3:$AB$1314,DataRegularSeason20242025!$B$3:$B$1314, "&lt;=" &amp; AB$1, DataRegularSeason20242025!$E$3:$E$1314, $A2)</calculatedColumnFormula>
    </tableColumn>
    <tableColumn id="27" xr3:uid="{47843C4F-1DC6-40D5-8DD4-7D2A8AED524D}" name="2025-10-28" totalsRowFunction="average" dataDxfId="871">
      <calculatedColumnFormula>SUMIFS(DataRegularSeason20242025!$AA$3:$AA$1314,DataRegularSeason20242025!$B$3:$B$1314, "&lt;=" &amp; AC$1, DataRegularSeason20242025!$D$3:$D$1314, $A2)+SUMIFS(DataRegularSeason20242025!$AB$3:$AB$1314,DataRegularSeason20242025!$B$3:$B$1314, "&lt;=" &amp; AC$1, DataRegularSeason20242025!$E$3:$E$1314, $A2)</calculatedColumnFormula>
    </tableColumn>
    <tableColumn id="28" xr3:uid="{84ADAE9F-4348-4478-B7D7-E62908F64F4A}" name="2025-10-29" totalsRowFunction="average" dataDxfId="870">
      <calculatedColumnFormula>SUMIFS(DataRegularSeason20242025!$AA$3:$AA$1314,DataRegularSeason20242025!$B$3:$B$1314, "&lt;=" &amp; AD$1, DataRegularSeason20242025!$D$3:$D$1314, $A2)+SUMIFS(DataRegularSeason20242025!$AB$3:$AB$1314,DataRegularSeason20242025!$B$3:$B$1314, "&lt;=" &amp; AD$1, DataRegularSeason20242025!$E$3:$E$1314, $A2)</calculatedColumnFormula>
    </tableColumn>
    <tableColumn id="29" xr3:uid="{567DFD2D-DBC8-4AC5-9A82-340A1E4F4F3F}" name="2025-10-30" totalsRowFunction="average" dataDxfId="869">
      <calculatedColumnFormula>SUMIFS(DataRegularSeason20242025!$AA$3:$AA$1314,DataRegularSeason20242025!$B$3:$B$1314, "&lt;=" &amp; AE$1, DataRegularSeason20242025!$D$3:$D$1314, $A2)+SUMIFS(DataRegularSeason20242025!$AB$3:$AB$1314,DataRegularSeason20242025!$B$3:$B$1314, "&lt;=" &amp; AE$1, DataRegularSeason20242025!$E$3:$E$1314, $A2)</calculatedColumnFormula>
    </tableColumn>
    <tableColumn id="30" xr3:uid="{24678FE0-D8A8-48BB-8003-91BAC9CAF45C}" name="2025-10-31" totalsRowFunction="average" dataDxfId="868">
      <calculatedColumnFormula>SUMIFS(DataRegularSeason20242025!$AA$3:$AA$1314,DataRegularSeason20242025!$B$3:$B$1314, "&lt;=" &amp; AF$1, DataRegularSeason20242025!$D$3:$D$1314, $A2)+SUMIFS(DataRegularSeason20242025!$AB$3:$AB$1314,DataRegularSeason20242025!$B$3:$B$1314, "&lt;=" &amp; AF$1, DataRegularSeason20242025!$E$3:$E$1314, $A2)</calculatedColumnFormula>
    </tableColumn>
    <tableColumn id="31" xr3:uid="{2ED49638-4D8B-4061-A51D-A53AC5E086BB}" name="2025-11-01" totalsRowFunction="average" dataDxfId="867">
      <calculatedColumnFormula>SUMIFS(DataRegularSeason20242025!$AA$3:$AA$1314,DataRegularSeason20242025!$B$3:$B$1314, "&lt;=" &amp; AG$1, DataRegularSeason20242025!$D$3:$D$1314, $A2)+SUMIFS(DataRegularSeason20242025!$AB$3:$AB$1314,DataRegularSeason20242025!$B$3:$B$1314, "&lt;=" &amp; AG$1, DataRegularSeason20242025!$E$3:$E$1314, $A2)</calculatedColumnFormula>
    </tableColumn>
    <tableColumn id="32" xr3:uid="{B92E68DF-6D47-4947-8E2C-943FDC61DFBB}" name="2025-11-02" totalsRowFunction="average" dataDxfId="866">
      <calculatedColumnFormula>SUMIFS(DataRegularSeason20242025!$AA$3:$AA$1314,DataRegularSeason20242025!$B$3:$B$1314, "&lt;=" &amp; AH$1, DataRegularSeason20242025!$D$3:$D$1314, $A2)+SUMIFS(DataRegularSeason20242025!$AB$3:$AB$1314,DataRegularSeason20242025!$B$3:$B$1314, "&lt;=" &amp; AH$1, DataRegularSeason20242025!$E$3:$E$1314, $A2)</calculatedColumnFormula>
    </tableColumn>
    <tableColumn id="33" xr3:uid="{E1DF895E-61D7-4B18-B587-7D64FE11C0DA}" name="2025-11-03" totalsRowFunction="average" dataDxfId="865">
      <calculatedColumnFormula>SUMIFS(DataRegularSeason20242025!$AA$3:$AA$1314,DataRegularSeason20242025!$B$3:$B$1314, "&lt;=" &amp; AI$1, DataRegularSeason20242025!$D$3:$D$1314, $A2)+SUMIFS(DataRegularSeason20242025!$AB$3:$AB$1314,DataRegularSeason20242025!$B$3:$B$1314, "&lt;=" &amp; AI$1, DataRegularSeason20242025!$E$3:$E$1314, $A2)</calculatedColumnFormula>
    </tableColumn>
    <tableColumn id="34" xr3:uid="{BC0CDC0E-2823-475D-9D32-E83A07748A3E}" name="2025-11-04" totalsRowFunction="average" dataDxfId="864">
      <calculatedColumnFormula>SUMIFS(DataRegularSeason20242025!$AA$3:$AA$1314,DataRegularSeason20242025!$B$3:$B$1314, "&lt;=" &amp; AJ$1, DataRegularSeason20242025!$D$3:$D$1314, $A2)+SUMIFS(DataRegularSeason20242025!$AB$3:$AB$1314,DataRegularSeason20242025!$B$3:$B$1314, "&lt;=" &amp; AJ$1, DataRegularSeason20242025!$E$3:$E$1314, $A2)</calculatedColumnFormula>
    </tableColumn>
    <tableColumn id="35" xr3:uid="{5FA69CE6-1C9F-4DF5-850D-7F9173B564F2}" name="2025-11-05" totalsRowFunction="average" dataDxfId="863">
      <calculatedColumnFormula>SUMIFS(DataRegularSeason20242025!$AA$3:$AA$1314,DataRegularSeason20242025!$B$3:$B$1314, "&lt;=" &amp; AK$1, DataRegularSeason20242025!$D$3:$D$1314, $A2)+SUMIFS(DataRegularSeason20242025!$AB$3:$AB$1314,DataRegularSeason20242025!$B$3:$B$1314, "&lt;=" &amp; AK$1, DataRegularSeason20242025!$E$3:$E$1314, $A2)</calculatedColumnFormula>
    </tableColumn>
    <tableColumn id="36" xr3:uid="{AF9675FF-F877-41A8-ABB1-0F0284F51706}" name="2025-11-06" totalsRowFunction="average" dataDxfId="862">
      <calculatedColumnFormula>SUMIFS(DataRegularSeason20242025!$AA$3:$AA$1314,DataRegularSeason20242025!$B$3:$B$1314, "&lt;=" &amp; AL$1, DataRegularSeason20242025!$D$3:$D$1314, $A2)+SUMIFS(DataRegularSeason20242025!$AB$3:$AB$1314,DataRegularSeason20242025!$B$3:$B$1314, "&lt;=" &amp; AL$1, DataRegularSeason20242025!$E$3:$E$1314, $A2)</calculatedColumnFormula>
    </tableColumn>
    <tableColumn id="37" xr3:uid="{38505C0A-B69D-4B15-8701-259E07616D3B}" name="2025-11-07" totalsRowFunction="average" dataDxfId="861">
      <calculatedColumnFormula>SUMIFS(DataRegularSeason20242025!$AA$3:$AA$1314,DataRegularSeason20242025!$B$3:$B$1314, "&lt;=" &amp; AM$1, DataRegularSeason20242025!$D$3:$D$1314, $A2)+SUMIFS(DataRegularSeason20242025!$AB$3:$AB$1314,DataRegularSeason20242025!$B$3:$B$1314, "&lt;=" &amp; AM$1, DataRegularSeason20242025!$E$3:$E$1314, $A2)</calculatedColumnFormula>
    </tableColumn>
    <tableColumn id="38" xr3:uid="{E434E468-D74B-4637-BFE5-E9CF7094BEB3}" name="2025-11-08" totalsRowFunction="average" dataDxfId="860">
      <calculatedColumnFormula>SUMIFS(DataRegularSeason20242025!$AA$3:$AA$1314,DataRegularSeason20242025!$B$3:$B$1314, "&lt;=" &amp; AN$1, DataRegularSeason20242025!$D$3:$D$1314, $A2)+SUMIFS(DataRegularSeason20242025!$AB$3:$AB$1314,DataRegularSeason20242025!$B$3:$B$1314, "&lt;=" &amp; AN$1, DataRegularSeason20242025!$E$3:$E$1314, $A2)</calculatedColumnFormula>
    </tableColumn>
    <tableColumn id="39" xr3:uid="{F356F8F7-22A0-43E3-A40B-69F4B94399B3}" name="2025-11-09" totalsRowFunction="average" dataDxfId="859">
      <calculatedColumnFormula>SUMIFS(DataRegularSeason20242025!$AA$3:$AA$1314,DataRegularSeason20242025!$B$3:$B$1314, "&lt;=" &amp; AO$1, DataRegularSeason20242025!$D$3:$D$1314, $A2)+SUMIFS(DataRegularSeason20242025!$AB$3:$AB$1314,DataRegularSeason20242025!$B$3:$B$1314, "&lt;=" &amp; AO$1, DataRegularSeason20242025!$E$3:$E$1314, $A2)</calculatedColumnFormula>
    </tableColumn>
    <tableColumn id="40" xr3:uid="{7C173272-B556-4AA0-8050-A0A15ED20ABB}" name="2025-11-10" totalsRowFunction="average" dataDxfId="858">
      <calculatedColumnFormula>SUMIFS(DataRegularSeason20242025!$AA$3:$AA$1314,DataRegularSeason20242025!$B$3:$B$1314, "&lt;=" &amp; AP$1, DataRegularSeason20242025!$D$3:$D$1314, $A2)+SUMIFS(DataRegularSeason20242025!$AB$3:$AB$1314,DataRegularSeason20242025!$B$3:$B$1314, "&lt;=" &amp; AP$1, DataRegularSeason20242025!$E$3:$E$1314, $A2)</calculatedColumnFormula>
    </tableColumn>
    <tableColumn id="41" xr3:uid="{759B593C-F00D-49CD-AA69-B8A88B37054D}" name="2025-11-11" totalsRowFunction="average" dataDxfId="857">
      <calculatedColumnFormula>SUMIFS(DataRegularSeason20242025!$AA$3:$AA$1314,DataRegularSeason20242025!$B$3:$B$1314, "&lt;=" &amp; AQ$1, DataRegularSeason20242025!$D$3:$D$1314, $A2)+SUMIFS(DataRegularSeason20242025!$AB$3:$AB$1314,DataRegularSeason20242025!$B$3:$B$1314, "&lt;=" &amp; AQ$1, DataRegularSeason20242025!$E$3:$E$1314, $A2)</calculatedColumnFormula>
    </tableColumn>
    <tableColumn id="42" xr3:uid="{24678BB6-74BB-4018-B1DA-FFF88F1000A3}" name="2025-11-12" totalsRowFunction="average" dataDxfId="856">
      <calculatedColumnFormula>SUMIFS(DataRegularSeason20242025!$AA$3:$AA$1314,DataRegularSeason20242025!$B$3:$B$1314, "&lt;=" &amp; AR$1, DataRegularSeason20242025!$D$3:$D$1314, $A2)+SUMIFS(DataRegularSeason20242025!$AB$3:$AB$1314,DataRegularSeason20242025!$B$3:$B$1314, "&lt;=" &amp; AR$1, DataRegularSeason20242025!$E$3:$E$1314, $A2)</calculatedColumnFormula>
    </tableColumn>
    <tableColumn id="43" xr3:uid="{EE285D9A-6BD3-4FCE-B9FD-A092A39B93F6}" name="2025-11-13" totalsRowFunction="average" dataDxfId="855">
      <calculatedColumnFormula>SUMIFS(DataRegularSeason20242025!$AA$3:$AA$1314,DataRegularSeason20242025!$B$3:$B$1314, "&lt;=" &amp; AS$1, DataRegularSeason20242025!$D$3:$D$1314, $A2)+SUMIFS(DataRegularSeason20242025!$AB$3:$AB$1314,DataRegularSeason20242025!$B$3:$B$1314, "&lt;=" &amp; AS$1, DataRegularSeason20242025!$E$3:$E$1314, $A2)</calculatedColumnFormula>
    </tableColumn>
    <tableColumn id="44" xr3:uid="{B694F843-AF45-4D34-8EC5-69CB944019F8}" name="2025-11-14" totalsRowFunction="average" dataDxfId="854">
      <calculatedColumnFormula>SUMIFS(DataRegularSeason20242025!$AA$3:$AA$1314,DataRegularSeason20242025!$B$3:$B$1314, "&lt;=" &amp; AT$1, DataRegularSeason20242025!$D$3:$D$1314, $A2)+SUMIFS(DataRegularSeason20242025!$AB$3:$AB$1314,DataRegularSeason20242025!$B$3:$B$1314, "&lt;=" &amp; AT$1, DataRegularSeason20242025!$E$3:$E$1314, $A2)</calculatedColumnFormula>
    </tableColumn>
    <tableColumn id="45" xr3:uid="{C5584BCF-C922-476A-B7B9-0B329D3BF2D8}" name="2025-11-15" totalsRowFunction="average" dataDxfId="853">
      <calculatedColumnFormula>SUMIFS(DataRegularSeason20242025!$AA$3:$AA$1314,DataRegularSeason20242025!$B$3:$B$1314, "&lt;=" &amp; AU$1, DataRegularSeason20242025!$D$3:$D$1314, $A2)+SUMIFS(DataRegularSeason20242025!$AB$3:$AB$1314,DataRegularSeason20242025!$B$3:$B$1314, "&lt;=" &amp; AU$1, DataRegularSeason20242025!$E$3:$E$1314, $A2)</calculatedColumnFormula>
    </tableColumn>
    <tableColumn id="46" xr3:uid="{B6DB5E6F-3C1F-4B47-957B-A0B97F61D5DD}" name="2025-11-16" totalsRowFunction="average" dataDxfId="852">
      <calculatedColumnFormula>SUMIFS(DataRegularSeason20242025!$AA$3:$AA$1314,DataRegularSeason20242025!$B$3:$B$1314, "&lt;=" &amp; AV$1, DataRegularSeason20242025!$D$3:$D$1314, $A2)+SUMIFS(DataRegularSeason20242025!$AB$3:$AB$1314,DataRegularSeason20242025!$B$3:$B$1314, "&lt;=" &amp; AV$1, DataRegularSeason20242025!$E$3:$E$1314, $A2)</calculatedColumnFormula>
    </tableColumn>
    <tableColumn id="47" xr3:uid="{69E22271-475A-4990-BADA-E71895865FF2}" name="2025-11-17" totalsRowFunction="average" dataDxfId="851">
      <calculatedColumnFormula>SUMIFS(DataRegularSeason20242025!$AA$3:$AA$1314,DataRegularSeason20242025!$B$3:$B$1314, "&lt;=" &amp; AW$1, DataRegularSeason20242025!$D$3:$D$1314, $A2)+SUMIFS(DataRegularSeason20242025!$AB$3:$AB$1314,DataRegularSeason20242025!$B$3:$B$1314, "&lt;=" &amp; AW$1, DataRegularSeason20242025!$E$3:$E$1314, $A2)</calculatedColumnFormula>
    </tableColumn>
    <tableColumn id="48" xr3:uid="{CC2A82C5-924F-456F-9096-5CD18123AFBB}" name="2025-11-18" totalsRowFunction="average" dataDxfId="850">
      <calculatedColumnFormula>SUMIFS(DataRegularSeason20242025!$AA$3:$AA$1314,DataRegularSeason20242025!$B$3:$B$1314, "&lt;=" &amp; AX$1, DataRegularSeason20242025!$D$3:$D$1314, $A2)+SUMIFS(DataRegularSeason20242025!$AB$3:$AB$1314,DataRegularSeason20242025!$B$3:$B$1314, "&lt;=" &amp; AX$1, DataRegularSeason20242025!$E$3:$E$1314, $A2)</calculatedColumnFormula>
    </tableColumn>
    <tableColumn id="49" xr3:uid="{F2BAED3E-3E15-4CED-9FEE-4DF119C73226}" name="2025-11-19" totalsRowFunction="average" dataDxfId="849">
      <calculatedColumnFormula>SUMIFS(DataRegularSeason20242025!$AA$3:$AA$1314,DataRegularSeason20242025!$B$3:$B$1314, "&lt;=" &amp; AY$1, DataRegularSeason20242025!$D$3:$D$1314, $A2)+SUMIFS(DataRegularSeason20242025!$AB$3:$AB$1314,DataRegularSeason20242025!$B$3:$B$1314, "&lt;=" &amp; AY$1, DataRegularSeason20242025!$E$3:$E$1314, $A2)</calculatedColumnFormula>
    </tableColumn>
    <tableColumn id="50" xr3:uid="{BB0F28AB-E508-4687-B375-8E41078ADA7F}" name="2025-11-20" totalsRowFunction="average" dataDxfId="848">
      <calculatedColumnFormula>SUMIFS(DataRegularSeason20242025!$AA$3:$AA$1314,DataRegularSeason20242025!$B$3:$B$1314, "&lt;=" &amp; AZ$1, DataRegularSeason20242025!$D$3:$D$1314, $A2)+SUMIFS(DataRegularSeason20242025!$AB$3:$AB$1314,DataRegularSeason20242025!$B$3:$B$1314, "&lt;=" &amp; AZ$1, DataRegularSeason20242025!$E$3:$E$1314, $A2)</calculatedColumnFormula>
    </tableColumn>
    <tableColumn id="51" xr3:uid="{3FAC5280-4BC5-4551-AEF8-33703681749E}" name="2025-11-21" totalsRowFunction="average" dataDxfId="847">
      <calculatedColumnFormula>SUMIFS(DataRegularSeason20242025!$AA$3:$AA$1314,DataRegularSeason20242025!$B$3:$B$1314, "&lt;=" &amp; BA$1, DataRegularSeason20242025!$D$3:$D$1314, $A2)+SUMIFS(DataRegularSeason20242025!$AB$3:$AB$1314,DataRegularSeason20242025!$B$3:$B$1314, "&lt;=" &amp; BA$1, DataRegularSeason20242025!$E$3:$E$1314, $A2)</calculatedColumnFormula>
    </tableColumn>
    <tableColumn id="52" xr3:uid="{A7227F21-1546-429E-8503-F1DCD292C9E4}" name="2025-11-22" totalsRowFunction="average" dataDxfId="846">
      <calculatedColumnFormula>SUMIFS(DataRegularSeason20242025!$AA$3:$AA$1314,DataRegularSeason20242025!$B$3:$B$1314, "&lt;=" &amp; BB$1, DataRegularSeason20242025!$D$3:$D$1314, $A2)+SUMIFS(DataRegularSeason20242025!$AB$3:$AB$1314,DataRegularSeason20242025!$B$3:$B$1314, "&lt;=" &amp; BB$1, DataRegularSeason20242025!$E$3:$E$1314, $A2)</calculatedColumnFormula>
    </tableColumn>
    <tableColumn id="53" xr3:uid="{BEAD8B65-B5C3-498D-90CA-9C1FB2C8C086}" name="2025-11-23" totalsRowFunction="average" dataDxfId="845">
      <calculatedColumnFormula>SUMIFS(DataRegularSeason20242025!$AA$3:$AA$1314,DataRegularSeason20242025!$B$3:$B$1314, "&lt;=" &amp; BC$1, DataRegularSeason20242025!$D$3:$D$1314, $A2)+SUMIFS(DataRegularSeason20242025!$AB$3:$AB$1314,DataRegularSeason20242025!$B$3:$B$1314, "&lt;=" &amp; BC$1, DataRegularSeason20242025!$E$3:$E$1314, $A2)</calculatedColumnFormula>
    </tableColumn>
    <tableColumn id="54" xr3:uid="{53742A36-0FAF-4662-ABAB-3E6F2FFF8D97}" name="2025-11-24" totalsRowFunction="average" dataDxfId="844">
      <calculatedColumnFormula>SUMIFS(DataRegularSeason20242025!$AA$3:$AA$1314,DataRegularSeason20242025!$B$3:$B$1314, "&lt;=" &amp; BD$1, DataRegularSeason20242025!$D$3:$D$1314, $A2)+SUMIFS(DataRegularSeason20242025!$AB$3:$AB$1314,DataRegularSeason20242025!$B$3:$B$1314, "&lt;=" &amp; BD$1, DataRegularSeason20242025!$E$3:$E$1314, $A2)</calculatedColumnFormula>
    </tableColumn>
    <tableColumn id="55" xr3:uid="{F28F73D7-4563-4BEA-B5C0-052490B7A5CB}" name="2025-11-25" totalsRowFunction="average" dataDxfId="843">
      <calculatedColumnFormula>SUMIFS(DataRegularSeason20242025!$AA$3:$AA$1314,DataRegularSeason20242025!$B$3:$B$1314, "&lt;=" &amp; BE$1, DataRegularSeason20242025!$D$3:$D$1314, $A2)+SUMIFS(DataRegularSeason20242025!$AB$3:$AB$1314,DataRegularSeason20242025!$B$3:$B$1314, "&lt;=" &amp; BE$1, DataRegularSeason20242025!$E$3:$E$1314, $A2)</calculatedColumnFormula>
    </tableColumn>
    <tableColumn id="56" xr3:uid="{ADDEC79F-70CA-47A3-A354-CE508C58D577}" name="2025-11-26" totalsRowFunction="average" dataDxfId="842">
      <calculatedColumnFormula>SUMIFS(DataRegularSeason20242025!$AA$3:$AA$1314,DataRegularSeason20242025!$B$3:$B$1314, "&lt;=" &amp; BF$1, DataRegularSeason20242025!$D$3:$D$1314, $A2)+SUMIFS(DataRegularSeason20242025!$AB$3:$AB$1314,DataRegularSeason20242025!$B$3:$B$1314, "&lt;=" &amp; BF$1, DataRegularSeason20242025!$E$3:$E$1314, $A2)</calculatedColumnFormula>
    </tableColumn>
    <tableColumn id="57" xr3:uid="{CB2CA39B-3184-4D8E-86F7-ACC5A0E6BFC7}" name="2025-11-27" totalsRowFunction="average" dataDxfId="841">
      <calculatedColumnFormula>SUMIFS(DataRegularSeason20242025!$AA$3:$AA$1314,DataRegularSeason20242025!$B$3:$B$1314, "&lt;=" &amp; BG$1, DataRegularSeason20242025!$D$3:$D$1314, $A2)+SUMIFS(DataRegularSeason20242025!$AB$3:$AB$1314,DataRegularSeason20242025!$B$3:$B$1314, "&lt;=" &amp; BG$1, DataRegularSeason20242025!$E$3:$E$1314, $A2)</calculatedColumnFormula>
    </tableColumn>
    <tableColumn id="58" xr3:uid="{864F055F-1F21-4BA8-A425-C414ED0B8519}" name="2025-11-28" totalsRowFunction="average" dataDxfId="840">
      <calculatedColumnFormula>SUMIFS(DataRegularSeason20242025!$AA$3:$AA$1314,DataRegularSeason20242025!$B$3:$B$1314, "&lt;=" &amp; BH$1, DataRegularSeason20242025!$D$3:$D$1314, $A2)+SUMIFS(DataRegularSeason20242025!$AB$3:$AB$1314,DataRegularSeason20242025!$B$3:$B$1314, "&lt;=" &amp; BH$1, DataRegularSeason20242025!$E$3:$E$1314, $A2)</calculatedColumnFormula>
    </tableColumn>
    <tableColumn id="59" xr3:uid="{92BFB5D7-C970-4F1A-9B77-FF9C5585F6F0}" name="2025-11-29" totalsRowFunction="average" dataDxfId="839">
      <calculatedColumnFormula>SUMIFS(DataRegularSeason20242025!$AA$3:$AA$1314,DataRegularSeason20242025!$B$3:$B$1314, "&lt;=" &amp; BI$1, DataRegularSeason20242025!$D$3:$D$1314, $A2)+SUMIFS(DataRegularSeason20242025!$AB$3:$AB$1314,DataRegularSeason20242025!$B$3:$B$1314, "&lt;=" &amp; BI$1, DataRegularSeason20242025!$E$3:$E$1314, $A2)</calculatedColumnFormula>
    </tableColumn>
    <tableColumn id="60" xr3:uid="{8DE9FAA1-2B40-418E-8201-E74E39A755E9}" name="2025-11-30" totalsRowFunction="average" dataDxfId="838">
      <calculatedColumnFormula>SUMIFS(DataRegularSeason20242025!$AA$3:$AA$1314,DataRegularSeason20242025!$B$3:$B$1314, "&lt;=" &amp; BJ$1, DataRegularSeason20242025!$D$3:$D$1314, $A2)+SUMIFS(DataRegularSeason20242025!$AB$3:$AB$1314,DataRegularSeason20242025!$B$3:$B$1314, "&lt;=" &amp; BJ$1, DataRegularSeason20242025!$E$3:$E$1314, $A2)</calculatedColumnFormula>
    </tableColumn>
    <tableColumn id="61" xr3:uid="{B342B5C6-0BD3-4158-9BC7-1F872AA72767}" name="2025-12-01" totalsRowFunction="average" dataDxfId="837">
      <calculatedColumnFormula>SUMIFS(DataRegularSeason20242025!$AA$3:$AA$1314,DataRegularSeason20242025!$B$3:$B$1314, "&lt;=" &amp; BK$1, DataRegularSeason20242025!$D$3:$D$1314, $A2)+SUMIFS(DataRegularSeason20242025!$AB$3:$AB$1314,DataRegularSeason20242025!$B$3:$B$1314, "&lt;=" &amp; BK$1, DataRegularSeason20242025!$E$3:$E$1314, $A2)</calculatedColumnFormula>
    </tableColumn>
    <tableColumn id="62" xr3:uid="{E4627D1E-0EF2-4B0B-894D-0C5E66704490}" name="2025-12-02" totalsRowFunction="average" dataDxfId="836">
      <calculatedColumnFormula>SUMIFS(DataRegularSeason20242025!$AA$3:$AA$1314,DataRegularSeason20242025!$B$3:$B$1314, "&lt;=" &amp; BL$1, DataRegularSeason20242025!$D$3:$D$1314, $A2)+SUMIFS(DataRegularSeason20242025!$AB$3:$AB$1314,DataRegularSeason20242025!$B$3:$B$1314, "&lt;=" &amp; BL$1, DataRegularSeason20242025!$E$3:$E$1314, $A2)</calculatedColumnFormula>
    </tableColumn>
    <tableColumn id="63" xr3:uid="{163D1184-1401-4CBF-8BFE-29E9A3C9226F}" name="2025-12-03" totalsRowFunction="average" dataDxfId="835">
      <calculatedColumnFormula>SUMIFS(DataRegularSeason20242025!$AA$3:$AA$1314,DataRegularSeason20242025!$B$3:$B$1314, "&lt;=" &amp; BM$1, DataRegularSeason20242025!$D$3:$D$1314, $A2)+SUMIFS(DataRegularSeason20242025!$AB$3:$AB$1314,DataRegularSeason20242025!$B$3:$B$1314, "&lt;=" &amp; BM$1, DataRegularSeason20242025!$E$3:$E$1314, $A2)</calculatedColumnFormula>
    </tableColumn>
    <tableColumn id="64" xr3:uid="{D3EA8505-1695-4DBA-86C2-EA9CFCF6067E}" name="2025-12-04" totalsRowFunction="average" dataDxfId="834">
      <calculatedColumnFormula>SUMIFS(DataRegularSeason20242025!$AA$3:$AA$1314,DataRegularSeason20242025!$B$3:$B$1314, "&lt;=" &amp; BN$1, DataRegularSeason20242025!$D$3:$D$1314, $A2)+SUMIFS(DataRegularSeason20242025!$AB$3:$AB$1314,DataRegularSeason20242025!$B$3:$B$1314, "&lt;=" &amp; BN$1, DataRegularSeason20242025!$E$3:$E$1314, $A2)</calculatedColumnFormula>
    </tableColumn>
    <tableColumn id="65" xr3:uid="{6F8ECB29-F619-4A1B-8A07-512E078E5E39}" name="2025-12-05" totalsRowFunction="average" dataDxfId="833">
      <calculatedColumnFormula>SUMIFS(DataRegularSeason20242025!$AA$3:$AA$1314,DataRegularSeason20242025!$B$3:$B$1314, "&lt;=" &amp; BO$1, DataRegularSeason20242025!$D$3:$D$1314, $A2)+SUMIFS(DataRegularSeason20242025!$AB$3:$AB$1314,DataRegularSeason20242025!$B$3:$B$1314, "&lt;=" &amp; BO$1, DataRegularSeason20242025!$E$3:$E$1314, $A2)</calculatedColumnFormula>
    </tableColumn>
    <tableColumn id="66" xr3:uid="{D9E287CC-DC6C-4024-B19E-13A2EA85FF91}" name="2025-12-06" totalsRowFunction="average" dataDxfId="832">
      <calculatedColumnFormula>SUMIFS(DataRegularSeason20242025!$AA$3:$AA$1314,DataRegularSeason20242025!$B$3:$B$1314, "&lt;=" &amp; BP$1, DataRegularSeason20242025!$D$3:$D$1314, $A2)+SUMIFS(DataRegularSeason20242025!$AB$3:$AB$1314,DataRegularSeason20242025!$B$3:$B$1314, "&lt;=" &amp; BP$1, DataRegularSeason20242025!$E$3:$E$1314, $A2)</calculatedColumnFormula>
    </tableColumn>
    <tableColumn id="67" xr3:uid="{C54932F3-E7B5-40E0-BEB7-C1321366A9D8}" name="2025-12-07" totalsRowFunction="average" dataDxfId="831">
      <calculatedColumnFormula>SUMIFS(DataRegularSeason20242025!$AA$3:$AA$1314,DataRegularSeason20242025!$B$3:$B$1314, "&lt;=" &amp; BQ$1, DataRegularSeason20242025!$D$3:$D$1314, $A2)+SUMIFS(DataRegularSeason20242025!$AB$3:$AB$1314,DataRegularSeason20242025!$B$3:$B$1314, "&lt;=" &amp; BQ$1, DataRegularSeason20242025!$E$3:$E$1314, $A2)</calculatedColumnFormula>
    </tableColumn>
    <tableColumn id="68" xr3:uid="{D014A1A7-4BB4-4327-AD63-BE38E4D041F8}" name="2025-12-08" totalsRowFunction="average" dataDxfId="830">
      <calculatedColumnFormula>SUMIFS(DataRegularSeason20242025!$AA$3:$AA$1314,DataRegularSeason20242025!$B$3:$B$1314, "&lt;=" &amp; BR$1, DataRegularSeason20242025!$D$3:$D$1314, $A2)+SUMIFS(DataRegularSeason20242025!$AB$3:$AB$1314,DataRegularSeason20242025!$B$3:$B$1314, "&lt;=" &amp; BR$1, DataRegularSeason20242025!$E$3:$E$1314, $A2)</calculatedColumnFormula>
    </tableColumn>
    <tableColumn id="69" xr3:uid="{AF06BE0F-BF7B-4446-A097-45BE1DD3413C}" name="2025-12-09" totalsRowFunction="average" dataDxfId="829">
      <calculatedColumnFormula>SUMIFS(DataRegularSeason20242025!$AA$3:$AA$1314,DataRegularSeason20242025!$B$3:$B$1314, "&lt;=" &amp; BS$1, DataRegularSeason20242025!$D$3:$D$1314, $A2)+SUMIFS(DataRegularSeason20242025!$AB$3:$AB$1314,DataRegularSeason20242025!$B$3:$B$1314, "&lt;=" &amp; BS$1, DataRegularSeason20242025!$E$3:$E$1314, $A2)</calculatedColumnFormula>
    </tableColumn>
    <tableColumn id="70" xr3:uid="{7F28D057-1608-480A-8D89-6E7DF5CA4166}" name="2025-12-10" totalsRowFunction="average" dataDxfId="828">
      <calculatedColumnFormula>SUMIFS(DataRegularSeason20242025!$AA$3:$AA$1314,DataRegularSeason20242025!$B$3:$B$1314, "&lt;=" &amp; BT$1, DataRegularSeason20242025!$D$3:$D$1314, $A2)+SUMIFS(DataRegularSeason20242025!$AB$3:$AB$1314,DataRegularSeason20242025!$B$3:$B$1314, "&lt;=" &amp; BT$1, DataRegularSeason20242025!$E$3:$E$1314, $A2)</calculatedColumnFormula>
    </tableColumn>
    <tableColumn id="71" xr3:uid="{9092ED2A-8686-4667-B05E-B82B623883CD}" name="2025-12-11" totalsRowFunction="average" dataDxfId="827">
      <calculatedColumnFormula>SUMIFS(DataRegularSeason20242025!$AA$3:$AA$1314,DataRegularSeason20242025!$B$3:$B$1314, "&lt;=" &amp; BU$1, DataRegularSeason20242025!$D$3:$D$1314, $A2)+SUMIFS(DataRegularSeason20242025!$AB$3:$AB$1314,DataRegularSeason20242025!$B$3:$B$1314, "&lt;=" &amp; BU$1, DataRegularSeason20242025!$E$3:$E$1314, $A2)</calculatedColumnFormula>
    </tableColumn>
    <tableColumn id="72" xr3:uid="{237478AF-39DF-4FA4-AF65-15CFCBB9B088}" name="2025-12-12" totalsRowFunction="average" dataDxfId="826">
      <calculatedColumnFormula>SUMIFS(DataRegularSeason20242025!$AA$3:$AA$1314,DataRegularSeason20242025!$B$3:$B$1314, "&lt;=" &amp; BV$1, DataRegularSeason20242025!$D$3:$D$1314, $A2)+SUMIFS(DataRegularSeason20242025!$AB$3:$AB$1314,DataRegularSeason20242025!$B$3:$B$1314, "&lt;=" &amp; BV$1, DataRegularSeason20242025!$E$3:$E$1314, $A2)</calculatedColumnFormula>
    </tableColumn>
    <tableColumn id="73" xr3:uid="{7F99B0C1-C105-4796-B09E-2D2F77E0D99C}" name="2025-12-13" totalsRowFunction="average" dataDxfId="825">
      <calculatedColumnFormula>SUMIFS(DataRegularSeason20242025!$AA$3:$AA$1314,DataRegularSeason20242025!$B$3:$B$1314, "&lt;=" &amp; BW$1, DataRegularSeason20242025!$D$3:$D$1314, $A2)+SUMIFS(DataRegularSeason20242025!$AB$3:$AB$1314,DataRegularSeason20242025!$B$3:$B$1314, "&lt;=" &amp; BW$1, DataRegularSeason20242025!$E$3:$E$1314, $A2)</calculatedColumnFormula>
    </tableColumn>
    <tableColumn id="74" xr3:uid="{279BADF4-F815-4351-A63A-0FC031FD75C9}" name="2025-12-14" totalsRowFunction="average" dataDxfId="824">
      <calculatedColumnFormula>SUMIFS(DataRegularSeason20242025!$AA$3:$AA$1314,DataRegularSeason20242025!$B$3:$B$1314, "&lt;=" &amp; BX$1, DataRegularSeason20242025!$D$3:$D$1314, $A2)+SUMIFS(DataRegularSeason20242025!$AB$3:$AB$1314,DataRegularSeason20242025!$B$3:$B$1314, "&lt;=" &amp; BX$1, DataRegularSeason20242025!$E$3:$E$1314, $A2)</calculatedColumnFormula>
    </tableColumn>
    <tableColumn id="75" xr3:uid="{14296C8D-B070-4A9C-A453-204A0832C2C6}" name="2025-12-15" totalsRowFunction="average" dataDxfId="823">
      <calculatedColumnFormula>SUMIFS(DataRegularSeason20242025!$AA$3:$AA$1314,DataRegularSeason20242025!$B$3:$B$1314, "&lt;=" &amp; BY$1, DataRegularSeason20242025!$D$3:$D$1314, $A2)+SUMIFS(DataRegularSeason20242025!$AB$3:$AB$1314,DataRegularSeason20242025!$B$3:$B$1314, "&lt;=" &amp; BY$1, DataRegularSeason20242025!$E$3:$E$1314, $A2)</calculatedColumnFormula>
    </tableColumn>
    <tableColumn id="76" xr3:uid="{A3A384FF-811B-4E97-A485-4304C1015A1B}" name="2025-12-16" totalsRowFunction="average" dataDxfId="822">
      <calculatedColumnFormula>SUMIFS(DataRegularSeason20242025!$AA$3:$AA$1314,DataRegularSeason20242025!$B$3:$B$1314, "&lt;=" &amp; BZ$1, DataRegularSeason20242025!$D$3:$D$1314, $A2)+SUMIFS(DataRegularSeason20242025!$AB$3:$AB$1314,DataRegularSeason20242025!$B$3:$B$1314, "&lt;=" &amp; BZ$1, DataRegularSeason20242025!$E$3:$E$1314, $A2)</calculatedColumnFormula>
    </tableColumn>
    <tableColumn id="77" xr3:uid="{1B125B53-1055-4C16-8B5C-F237F5E66E30}" name="2025-12-17" totalsRowFunction="average" dataDxfId="821">
      <calculatedColumnFormula>SUMIFS(DataRegularSeason20242025!$AA$3:$AA$1314,DataRegularSeason20242025!$B$3:$B$1314, "&lt;=" &amp; CA$1, DataRegularSeason20242025!$D$3:$D$1314, $A2)+SUMIFS(DataRegularSeason20242025!$AB$3:$AB$1314,DataRegularSeason20242025!$B$3:$B$1314, "&lt;=" &amp; CA$1, DataRegularSeason20242025!$E$3:$E$1314, $A2)</calculatedColumnFormula>
    </tableColumn>
    <tableColumn id="78" xr3:uid="{B6EC563C-E168-4AD3-81D9-3E4124B74538}" name="2025-12-18" totalsRowFunction="average" dataDxfId="820">
      <calculatedColumnFormula>SUMIFS(DataRegularSeason20242025!$AA$3:$AA$1314,DataRegularSeason20242025!$B$3:$B$1314, "&lt;=" &amp; CB$1, DataRegularSeason20242025!$D$3:$D$1314, $A2)+SUMIFS(DataRegularSeason20242025!$AB$3:$AB$1314,DataRegularSeason20242025!$B$3:$B$1314, "&lt;=" &amp; CB$1, DataRegularSeason20242025!$E$3:$E$1314, $A2)</calculatedColumnFormula>
    </tableColumn>
    <tableColumn id="79" xr3:uid="{BB2D6A97-EB9B-4092-944E-4132494D1C54}" name="2025-12-19" totalsRowFunction="average" dataDxfId="819">
      <calculatedColumnFormula>SUMIFS(DataRegularSeason20242025!$AA$3:$AA$1314,DataRegularSeason20242025!$B$3:$B$1314, "&lt;=" &amp; CC$1, DataRegularSeason20242025!$D$3:$D$1314, $A2)+SUMIFS(DataRegularSeason20242025!$AB$3:$AB$1314,DataRegularSeason20242025!$B$3:$B$1314, "&lt;=" &amp; CC$1, DataRegularSeason20242025!$E$3:$E$1314, $A2)</calculatedColumnFormula>
    </tableColumn>
    <tableColumn id="80" xr3:uid="{2C0DDB41-4775-4764-A523-40E7E3DA7360}" name="2025-12-20" totalsRowFunction="average" dataDxfId="818">
      <calculatedColumnFormula>SUMIFS(DataRegularSeason20242025!$AA$3:$AA$1314,DataRegularSeason20242025!$B$3:$B$1314, "&lt;=" &amp; CD$1, DataRegularSeason20242025!$D$3:$D$1314, $A2)+SUMIFS(DataRegularSeason20242025!$AB$3:$AB$1314,DataRegularSeason20242025!$B$3:$B$1314, "&lt;=" &amp; CD$1, DataRegularSeason20242025!$E$3:$E$1314, $A2)</calculatedColumnFormula>
    </tableColumn>
    <tableColumn id="81" xr3:uid="{D5C2C244-BF9B-42BC-9932-9559F4C20A04}" name="2025-12-21" totalsRowFunction="average" dataDxfId="817">
      <calculatedColumnFormula>SUMIFS(DataRegularSeason20242025!$AA$3:$AA$1314,DataRegularSeason20242025!$B$3:$B$1314, "&lt;=" &amp; CE$1, DataRegularSeason20242025!$D$3:$D$1314, $A2)+SUMIFS(DataRegularSeason20242025!$AB$3:$AB$1314,DataRegularSeason20242025!$B$3:$B$1314, "&lt;=" &amp; CE$1, DataRegularSeason20242025!$E$3:$E$1314, $A2)</calculatedColumnFormula>
    </tableColumn>
    <tableColumn id="82" xr3:uid="{0A36F154-77E7-4DED-BCD7-AF0EBB54FDB3}" name="2025-12-22" totalsRowFunction="average" dataDxfId="816">
      <calculatedColumnFormula>SUMIFS(DataRegularSeason20242025!$AA$3:$AA$1314,DataRegularSeason20242025!$B$3:$B$1314, "&lt;=" &amp; CF$1, DataRegularSeason20242025!$D$3:$D$1314, $A2)+SUMIFS(DataRegularSeason20242025!$AB$3:$AB$1314,DataRegularSeason20242025!$B$3:$B$1314, "&lt;=" &amp; CF$1, DataRegularSeason20242025!$E$3:$E$1314, $A2)</calculatedColumnFormula>
    </tableColumn>
    <tableColumn id="83" xr3:uid="{1109C38A-F336-4185-B1DB-A7146AC971B4}" name="2025-12-23" totalsRowFunction="average" dataDxfId="815">
      <calculatedColumnFormula>SUMIFS(DataRegularSeason20242025!$AA$3:$AA$1314,DataRegularSeason20242025!$B$3:$B$1314, "&lt;=" &amp; CG$1, DataRegularSeason20242025!$D$3:$D$1314, $A2)+SUMIFS(DataRegularSeason20242025!$AB$3:$AB$1314,DataRegularSeason20242025!$B$3:$B$1314, "&lt;=" &amp; CG$1, DataRegularSeason20242025!$E$3:$E$1314, $A2)</calculatedColumnFormula>
    </tableColumn>
    <tableColumn id="84" xr3:uid="{CD1F6DF8-BD66-4433-A46F-29A14FE0D641}" name="2025-12-24" totalsRowFunction="average" dataDxfId="814">
      <calculatedColumnFormula>SUMIFS(DataRegularSeason20242025!$AA$3:$AA$1314,DataRegularSeason20242025!$B$3:$B$1314, "&lt;=" &amp; CH$1, DataRegularSeason20242025!$D$3:$D$1314, $A2)+SUMIFS(DataRegularSeason20242025!$AB$3:$AB$1314,DataRegularSeason20242025!$B$3:$B$1314, "&lt;=" &amp; CH$1, DataRegularSeason20242025!$E$3:$E$1314, $A2)</calculatedColumnFormula>
    </tableColumn>
    <tableColumn id="85" xr3:uid="{6CB0513D-4326-4FA6-9DC5-DD9D60752353}" name="2025-12-25" totalsRowFunction="average" dataDxfId="813">
      <calculatedColumnFormula>SUMIFS(DataRegularSeason20242025!$AA$3:$AA$1314,DataRegularSeason20242025!$B$3:$B$1314, "&lt;=" &amp; CI$1, DataRegularSeason20242025!$D$3:$D$1314, $A2)+SUMIFS(DataRegularSeason20242025!$AB$3:$AB$1314,DataRegularSeason20242025!$B$3:$B$1314, "&lt;=" &amp; CI$1, DataRegularSeason20242025!$E$3:$E$1314, $A2)</calculatedColumnFormula>
    </tableColumn>
    <tableColumn id="86" xr3:uid="{6F9A7811-7A8A-427A-8FED-195E1CEAAC84}" name="2025-12-26" totalsRowFunction="average" dataDxfId="812">
      <calculatedColumnFormula>SUMIFS(DataRegularSeason20242025!$AA$3:$AA$1314,DataRegularSeason20242025!$B$3:$B$1314, "&lt;=" &amp; CJ$1, DataRegularSeason20242025!$D$3:$D$1314, $A2)+SUMIFS(DataRegularSeason20242025!$AB$3:$AB$1314,DataRegularSeason20242025!$B$3:$B$1314, "&lt;=" &amp; CJ$1, DataRegularSeason20242025!$E$3:$E$1314, $A2)</calculatedColumnFormula>
    </tableColumn>
    <tableColumn id="87" xr3:uid="{0F3574AC-BE6F-47A7-AF8D-6664117F0FEF}" name="2025-12-27" totalsRowFunction="average" dataDxfId="811">
      <calculatedColumnFormula>SUMIFS(DataRegularSeason20242025!$AA$3:$AA$1314,DataRegularSeason20242025!$B$3:$B$1314, "&lt;=" &amp; CK$1, DataRegularSeason20242025!$D$3:$D$1314, $A2)+SUMIFS(DataRegularSeason20242025!$AB$3:$AB$1314,DataRegularSeason20242025!$B$3:$B$1314, "&lt;=" &amp; CK$1, DataRegularSeason20242025!$E$3:$E$1314, $A2)</calculatedColumnFormula>
    </tableColumn>
    <tableColumn id="88" xr3:uid="{A64448FA-8214-4FB7-A75B-13FE89D6BBBC}" name="2025-12-28" totalsRowFunction="average" dataDxfId="810">
      <calculatedColumnFormula>SUMIFS(DataRegularSeason20242025!$AA$3:$AA$1314,DataRegularSeason20242025!$B$3:$B$1314, "&lt;=" &amp; CL$1, DataRegularSeason20242025!$D$3:$D$1314, $A2)+SUMIFS(DataRegularSeason20242025!$AB$3:$AB$1314,DataRegularSeason20242025!$B$3:$B$1314, "&lt;=" &amp; CL$1, DataRegularSeason20242025!$E$3:$E$1314, $A2)</calculatedColumnFormula>
    </tableColumn>
    <tableColumn id="89" xr3:uid="{CFC94B31-C5F5-4FFA-AAD4-0213B951614D}" name="2025-12-29" totalsRowFunction="average" dataDxfId="809">
      <calculatedColumnFormula>SUMIFS(DataRegularSeason20242025!$AA$3:$AA$1314,DataRegularSeason20242025!$B$3:$B$1314, "&lt;=" &amp; CM$1, DataRegularSeason20242025!$D$3:$D$1314, $A2)+SUMIFS(DataRegularSeason20242025!$AB$3:$AB$1314,DataRegularSeason20242025!$B$3:$B$1314, "&lt;=" &amp; CM$1, DataRegularSeason20242025!$E$3:$E$1314, $A2)</calculatedColumnFormula>
    </tableColumn>
    <tableColumn id="90" xr3:uid="{F2A02A12-D38E-4A3D-B1BE-ECB81F8B75C6}" name="2025-12-30" totalsRowFunction="average" dataDxfId="808">
      <calculatedColumnFormula>SUMIFS(DataRegularSeason20242025!$AA$3:$AA$1314,DataRegularSeason20242025!$B$3:$B$1314, "&lt;=" &amp; CN$1, DataRegularSeason20242025!$D$3:$D$1314, $A2)+SUMIFS(DataRegularSeason20242025!$AB$3:$AB$1314,DataRegularSeason20242025!$B$3:$B$1314, "&lt;=" &amp; CN$1, DataRegularSeason20242025!$E$3:$E$1314, $A2)</calculatedColumnFormula>
    </tableColumn>
    <tableColumn id="91" xr3:uid="{3B131788-6070-4D41-90B0-4BE645A9AE12}" name="2025-12-31" totalsRowFunction="average" dataDxfId="807">
      <calculatedColumnFormula>SUMIFS(DataRegularSeason20242025!$AA$3:$AA$1314,DataRegularSeason20242025!$B$3:$B$1314, "&lt;=" &amp; CO$1, DataRegularSeason20242025!$D$3:$D$1314, $A2)+SUMIFS(DataRegularSeason20242025!$AB$3:$AB$1314,DataRegularSeason20242025!$B$3:$B$1314, "&lt;=" &amp; CO$1, DataRegularSeason20242025!$E$3:$E$1314, $A2)</calculatedColumnFormula>
    </tableColumn>
    <tableColumn id="92" xr3:uid="{9A605C0B-E827-4EF1-9337-6F0E6784CEAD}" name="2026-01-01" totalsRowFunction="average" dataDxfId="806">
      <calculatedColumnFormula>SUMIFS(DataRegularSeason20242025!$AA$3:$AA$1314,DataRegularSeason20242025!$B$3:$B$1314, "&lt;=" &amp; CP$1, DataRegularSeason20242025!$D$3:$D$1314, $A2)+SUMIFS(DataRegularSeason20242025!$AB$3:$AB$1314,DataRegularSeason20242025!$B$3:$B$1314, "&lt;=" &amp; CP$1, DataRegularSeason20242025!$E$3:$E$1314, $A2)</calculatedColumnFormula>
    </tableColumn>
    <tableColumn id="93" xr3:uid="{01BE898D-CB47-488A-92C2-189ABE50A9E0}" name="2026-01-02" totalsRowFunction="average" dataDxfId="805">
      <calculatedColumnFormula>SUMIFS(DataRegularSeason20242025!$AA$3:$AA$1314,DataRegularSeason20242025!$B$3:$B$1314, "&lt;=" &amp; CQ$1, DataRegularSeason20242025!$D$3:$D$1314, $A2)+SUMIFS(DataRegularSeason20242025!$AB$3:$AB$1314,DataRegularSeason20242025!$B$3:$B$1314, "&lt;=" &amp; CQ$1, DataRegularSeason20242025!$E$3:$E$1314, $A2)</calculatedColumnFormula>
    </tableColumn>
    <tableColumn id="94" xr3:uid="{1E7D362A-A8A5-45DE-9DBC-C87FA68DBAA6}" name="2026-01-03" totalsRowFunction="average" dataDxfId="804">
      <calculatedColumnFormula>SUMIFS(DataRegularSeason20242025!$AA$3:$AA$1314,DataRegularSeason20242025!$B$3:$B$1314, "&lt;=" &amp; CR$1, DataRegularSeason20242025!$D$3:$D$1314, $A2)+SUMIFS(DataRegularSeason20242025!$AB$3:$AB$1314,DataRegularSeason20242025!$B$3:$B$1314, "&lt;=" &amp; CR$1, DataRegularSeason20242025!$E$3:$E$1314, $A2)</calculatedColumnFormula>
    </tableColumn>
    <tableColumn id="95" xr3:uid="{118A7828-C916-4327-B9FD-7808EAEBD202}" name="2026-01-04" totalsRowFunction="average" dataDxfId="803">
      <calculatedColumnFormula>SUMIFS(DataRegularSeason20242025!$AA$3:$AA$1314,DataRegularSeason20242025!$B$3:$B$1314, "&lt;=" &amp; CS$1, DataRegularSeason20242025!$D$3:$D$1314, $A2)+SUMIFS(DataRegularSeason20242025!$AB$3:$AB$1314,DataRegularSeason20242025!$B$3:$B$1314, "&lt;=" &amp; CS$1, DataRegularSeason20242025!$E$3:$E$1314, $A2)</calculatedColumnFormula>
    </tableColumn>
    <tableColumn id="96" xr3:uid="{0158C190-B8EA-4DE0-A46F-8DC43ABCEDEE}" name="2026-01-05" totalsRowFunction="average" dataDxfId="802">
      <calculatedColumnFormula>SUMIFS(DataRegularSeason20242025!$AA$3:$AA$1314,DataRegularSeason20242025!$B$3:$B$1314, "&lt;=" &amp; CT$1, DataRegularSeason20242025!$D$3:$D$1314, $A2)+SUMIFS(DataRegularSeason20242025!$AB$3:$AB$1314,DataRegularSeason20242025!$B$3:$B$1314, "&lt;=" &amp; CT$1, DataRegularSeason20242025!$E$3:$E$1314, $A2)</calculatedColumnFormula>
    </tableColumn>
    <tableColumn id="97" xr3:uid="{1EF444B6-8F8F-4ACE-B4BA-4F8B5D824510}" name="2026-01-06" totalsRowFunction="average" dataDxfId="801">
      <calculatedColumnFormula>SUMIFS(DataRegularSeason20242025!$AA$3:$AA$1314,DataRegularSeason20242025!$B$3:$B$1314, "&lt;=" &amp; CU$1, DataRegularSeason20242025!$D$3:$D$1314, $A2)+SUMIFS(DataRegularSeason20242025!$AB$3:$AB$1314,DataRegularSeason20242025!$B$3:$B$1314, "&lt;=" &amp; CU$1, DataRegularSeason20242025!$E$3:$E$1314, $A2)</calculatedColumnFormula>
    </tableColumn>
    <tableColumn id="98" xr3:uid="{6588CBD9-5378-4B85-A2BA-A5F73A4EF31E}" name="2026-01-07" totalsRowFunction="average" dataDxfId="800">
      <calculatedColumnFormula>SUMIFS(DataRegularSeason20242025!$AA$3:$AA$1314,DataRegularSeason20242025!$B$3:$B$1314, "&lt;=" &amp; CV$1, DataRegularSeason20242025!$D$3:$D$1314, $A2)+SUMIFS(DataRegularSeason20242025!$AB$3:$AB$1314,DataRegularSeason20242025!$B$3:$B$1314, "&lt;=" &amp; CV$1, DataRegularSeason20242025!$E$3:$E$1314, $A2)</calculatedColumnFormula>
    </tableColumn>
    <tableColumn id="99" xr3:uid="{345DE185-9086-4E89-83C1-44F40296E09D}" name="2026-01-08" totalsRowFunction="average" dataDxfId="799">
      <calculatedColumnFormula>SUMIFS(DataRegularSeason20242025!$AA$3:$AA$1314,DataRegularSeason20242025!$B$3:$B$1314, "&lt;=" &amp; CW$1, DataRegularSeason20242025!$D$3:$D$1314, $A2)+SUMIFS(DataRegularSeason20242025!$AB$3:$AB$1314,DataRegularSeason20242025!$B$3:$B$1314, "&lt;=" &amp; CW$1, DataRegularSeason20242025!$E$3:$E$1314, $A2)</calculatedColumnFormula>
    </tableColumn>
    <tableColumn id="100" xr3:uid="{F150A9AE-F390-48C1-8B88-7A29D80F63D5}" name="2026-01-09" totalsRowFunction="average" dataDxfId="798">
      <calculatedColumnFormula>SUMIFS(DataRegularSeason20242025!$AA$3:$AA$1314,DataRegularSeason20242025!$B$3:$B$1314, "&lt;=" &amp; CX$1, DataRegularSeason20242025!$D$3:$D$1314, $A2)+SUMIFS(DataRegularSeason20242025!$AB$3:$AB$1314,DataRegularSeason20242025!$B$3:$B$1314, "&lt;=" &amp; CX$1, DataRegularSeason20242025!$E$3:$E$1314, $A2)</calculatedColumnFormula>
    </tableColumn>
    <tableColumn id="101" xr3:uid="{536C8630-3691-4499-9CC3-5235D318FC3B}" name="2026-01-10" totalsRowFunction="average" dataDxfId="797">
      <calculatedColumnFormula>SUMIFS(DataRegularSeason20242025!$AA$3:$AA$1314,DataRegularSeason20242025!$B$3:$B$1314, "&lt;=" &amp; CY$1, DataRegularSeason20242025!$D$3:$D$1314, $A2)+SUMIFS(DataRegularSeason20242025!$AB$3:$AB$1314,DataRegularSeason20242025!$B$3:$B$1314, "&lt;=" &amp; CY$1, DataRegularSeason20242025!$E$3:$E$1314, $A2)</calculatedColumnFormula>
    </tableColumn>
    <tableColumn id="102" xr3:uid="{DEDA5CD2-B022-4C3B-9098-C9AB84325406}" name="2026-01-11" totalsRowFunction="average" dataDxfId="796">
      <calculatedColumnFormula>SUMIFS(DataRegularSeason20242025!$AA$3:$AA$1314,DataRegularSeason20242025!$B$3:$B$1314, "&lt;=" &amp; CZ$1, DataRegularSeason20242025!$D$3:$D$1314, $A2)+SUMIFS(DataRegularSeason20242025!$AB$3:$AB$1314,DataRegularSeason20242025!$B$3:$B$1314, "&lt;=" &amp; CZ$1, DataRegularSeason20242025!$E$3:$E$1314, $A2)</calculatedColumnFormula>
    </tableColumn>
    <tableColumn id="103" xr3:uid="{CE314C21-16A5-44C4-9B1A-7542AE93A77E}" name="2026-01-12" totalsRowFunction="average" dataDxfId="795">
      <calculatedColumnFormula>SUMIFS(DataRegularSeason20242025!$AA$3:$AA$1314,DataRegularSeason20242025!$B$3:$B$1314, "&lt;=" &amp; DA$1, DataRegularSeason20242025!$D$3:$D$1314, $A2)+SUMIFS(DataRegularSeason20242025!$AB$3:$AB$1314,DataRegularSeason20242025!$B$3:$B$1314, "&lt;=" &amp; DA$1, DataRegularSeason20242025!$E$3:$E$1314, $A2)</calculatedColumnFormula>
    </tableColumn>
    <tableColumn id="104" xr3:uid="{237AE0D5-DA7E-40B1-8BC4-38E5290ECFC9}" name="2026-01-13" totalsRowFunction="average" dataDxfId="794">
      <calculatedColumnFormula>SUMIFS(DataRegularSeason20242025!$AA$3:$AA$1314,DataRegularSeason20242025!$B$3:$B$1314, "&lt;=" &amp; DB$1, DataRegularSeason20242025!$D$3:$D$1314, $A2)+SUMIFS(DataRegularSeason20242025!$AB$3:$AB$1314,DataRegularSeason20242025!$B$3:$B$1314, "&lt;=" &amp; DB$1, DataRegularSeason20242025!$E$3:$E$1314, $A2)</calculatedColumnFormula>
    </tableColumn>
    <tableColumn id="105" xr3:uid="{D856EDC5-AD51-48B5-9FA1-0B78F09EB942}" name="2026-01-14" totalsRowFunction="average" dataDxfId="793">
      <calculatedColumnFormula>SUMIFS(DataRegularSeason20242025!$AA$3:$AA$1314,DataRegularSeason20242025!$B$3:$B$1314, "&lt;=" &amp; DC$1, DataRegularSeason20242025!$D$3:$D$1314, $A2)+SUMIFS(DataRegularSeason20242025!$AB$3:$AB$1314,DataRegularSeason20242025!$B$3:$B$1314, "&lt;=" &amp; DC$1, DataRegularSeason20242025!$E$3:$E$1314, $A2)</calculatedColumnFormula>
    </tableColumn>
    <tableColumn id="106" xr3:uid="{EC393D3C-61BC-4BBC-AA1D-43400A564CD0}" name="2026-01-15" totalsRowFunction="average" dataDxfId="792">
      <calculatedColumnFormula>SUMIFS(DataRegularSeason20242025!$AA$3:$AA$1314,DataRegularSeason20242025!$B$3:$B$1314, "&lt;=" &amp; DD$1, DataRegularSeason20242025!$D$3:$D$1314, $A2)+SUMIFS(DataRegularSeason20242025!$AB$3:$AB$1314,DataRegularSeason20242025!$B$3:$B$1314, "&lt;=" &amp; DD$1, DataRegularSeason20242025!$E$3:$E$1314, $A2)</calculatedColumnFormula>
    </tableColumn>
    <tableColumn id="107" xr3:uid="{38818F35-141F-499B-85D9-08CB6D617AF5}" name="2026-01-16" totalsRowFunction="average" dataDxfId="791">
      <calculatedColumnFormula>SUMIFS(DataRegularSeason20242025!$AA$3:$AA$1314,DataRegularSeason20242025!$B$3:$B$1314, "&lt;=" &amp; DE$1, DataRegularSeason20242025!$D$3:$D$1314, $A2)+SUMIFS(DataRegularSeason20242025!$AB$3:$AB$1314,DataRegularSeason20242025!$B$3:$B$1314, "&lt;=" &amp; DE$1, DataRegularSeason20242025!$E$3:$E$1314, $A2)</calculatedColumnFormula>
    </tableColumn>
    <tableColumn id="108" xr3:uid="{707F7A16-8C3C-4C52-BEEB-96B236DE892B}" name="2026-01-17" totalsRowFunction="average" dataDxfId="790">
      <calculatedColumnFormula>SUMIFS(DataRegularSeason20242025!$AA$3:$AA$1314,DataRegularSeason20242025!$B$3:$B$1314, "&lt;=" &amp; DF$1, DataRegularSeason20242025!$D$3:$D$1314, $A2)+SUMIFS(DataRegularSeason20242025!$AB$3:$AB$1314,DataRegularSeason20242025!$B$3:$B$1314, "&lt;=" &amp; DF$1, DataRegularSeason20242025!$E$3:$E$1314, $A2)</calculatedColumnFormula>
    </tableColumn>
    <tableColumn id="109" xr3:uid="{1D2AA819-3C34-4223-860D-3BF194823139}" name="2026-01-18" totalsRowFunction="average" dataDxfId="789">
      <calculatedColumnFormula>SUMIFS(DataRegularSeason20242025!$AA$3:$AA$1314,DataRegularSeason20242025!$B$3:$B$1314, "&lt;=" &amp; DG$1, DataRegularSeason20242025!$D$3:$D$1314, $A2)+SUMIFS(DataRegularSeason20242025!$AB$3:$AB$1314,DataRegularSeason20242025!$B$3:$B$1314, "&lt;=" &amp; DG$1, DataRegularSeason20242025!$E$3:$E$1314, $A2)</calculatedColumnFormula>
    </tableColumn>
    <tableColumn id="110" xr3:uid="{DDBA0D7A-F67B-4B16-9C86-CBB47DBD2A6A}" name="2026-01-19" totalsRowFunction="average" dataDxfId="788">
      <calculatedColumnFormula>SUMIFS(DataRegularSeason20242025!$AA$3:$AA$1314,DataRegularSeason20242025!$B$3:$B$1314, "&lt;=" &amp; DH$1, DataRegularSeason20242025!$D$3:$D$1314, $A2)+SUMIFS(DataRegularSeason20242025!$AB$3:$AB$1314,DataRegularSeason20242025!$B$3:$B$1314, "&lt;=" &amp; DH$1, DataRegularSeason20242025!$E$3:$E$1314, $A2)</calculatedColumnFormula>
    </tableColumn>
    <tableColumn id="111" xr3:uid="{898DA6C2-D1E9-465E-B171-B79430B04FC4}" name="2026-01-20" totalsRowFunction="average" dataDxfId="787">
      <calculatedColumnFormula>SUMIFS(DataRegularSeason20242025!$AA$3:$AA$1314,DataRegularSeason20242025!$B$3:$B$1314, "&lt;=" &amp; DI$1, DataRegularSeason20242025!$D$3:$D$1314, $A2)+SUMIFS(DataRegularSeason20242025!$AB$3:$AB$1314,DataRegularSeason20242025!$B$3:$B$1314, "&lt;=" &amp; DI$1, DataRegularSeason20242025!$E$3:$E$1314, $A2)</calculatedColumnFormula>
    </tableColumn>
    <tableColumn id="112" xr3:uid="{D97860B2-66FF-4B7F-881F-CBC14F8100EF}" name="2026-01-21" totalsRowFunction="average" dataDxfId="786">
      <calculatedColumnFormula>SUMIFS(DataRegularSeason20242025!$AA$3:$AA$1314,DataRegularSeason20242025!$B$3:$B$1314, "&lt;=" &amp; DJ$1, DataRegularSeason20242025!$D$3:$D$1314, $A2)+SUMIFS(DataRegularSeason20242025!$AB$3:$AB$1314,DataRegularSeason20242025!$B$3:$B$1314, "&lt;=" &amp; DJ$1, DataRegularSeason20242025!$E$3:$E$1314, $A2)</calculatedColumnFormula>
    </tableColumn>
    <tableColumn id="113" xr3:uid="{C356C48E-5FCB-4730-A26D-D5B9DDFE1E28}" name="2026-01-22" totalsRowFunction="average" dataDxfId="785">
      <calculatedColumnFormula>SUMIFS(DataRegularSeason20242025!$AA$3:$AA$1314,DataRegularSeason20242025!$B$3:$B$1314, "&lt;=" &amp; DK$1, DataRegularSeason20242025!$D$3:$D$1314, $A2)+SUMIFS(DataRegularSeason20242025!$AB$3:$AB$1314,DataRegularSeason20242025!$B$3:$B$1314, "&lt;=" &amp; DK$1, DataRegularSeason20242025!$E$3:$E$1314, $A2)</calculatedColumnFormula>
    </tableColumn>
    <tableColumn id="114" xr3:uid="{F184175C-C7BD-4C27-A028-CE64CE15C72B}" name="2026-01-23" totalsRowFunction="average" dataDxfId="784">
      <calculatedColumnFormula>SUMIFS(DataRegularSeason20242025!$AA$3:$AA$1314,DataRegularSeason20242025!$B$3:$B$1314, "&lt;=" &amp; DL$1, DataRegularSeason20242025!$D$3:$D$1314, $A2)+SUMIFS(DataRegularSeason20242025!$AB$3:$AB$1314,DataRegularSeason20242025!$B$3:$B$1314, "&lt;=" &amp; DL$1, DataRegularSeason20242025!$E$3:$E$1314, $A2)</calculatedColumnFormula>
    </tableColumn>
    <tableColumn id="115" xr3:uid="{8AD512EC-C765-481B-9AB0-54367C53EA45}" name="2026-01-24" totalsRowFunction="average" dataDxfId="783">
      <calculatedColumnFormula>SUMIFS(DataRegularSeason20242025!$AA$3:$AA$1314,DataRegularSeason20242025!$B$3:$B$1314, "&lt;=" &amp; DM$1, DataRegularSeason20242025!$D$3:$D$1314, $A2)+SUMIFS(DataRegularSeason20242025!$AB$3:$AB$1314,DataRegularSeason20242025!$B$3:$B$1314, "&lt;=" &amp; DM$1, DataRegularSeason20242025!$E$3:$E$1314, $A2)</calculatedColumnFormula>
    </tableColumn>
    <tableColumn id="116" xr3:uid="{E15E0D64-DA19-4EA1-83BC-393263720ED3}" name="2026-01-25" totalsRowFunction="average" dataDxfId="782">
      <calculatedColumnFormula>SUMIFS(DataRegularSeason20242025!$AA$3:$AA$1314,DataRegularSeason20242025!$B$3:$B$1314, "&lt;=" &amp; DN$1, DataRegularSeason20242025!$D$3:$D$1314, $A2)+SUMIFS(DataRegularSeason20242025!$AB$3:$AB$1314,DataRegularSeason20242025!$B$3:$B$1314, "&lt;=" &amp; DN$1, DataRegularSeason20242025!$E$3:$E$1314, $A2)</calculatedColumnFormula>
    </tableColumn>
    <tableColumn id="117" xr3:uid="{8F2F7A21-05A5-4D6E-9B14-AB5333756990}" name="2026-01-26" totalsRowFunction="average" dataDxfId="781">
      <calculatedColumnFormula>SUMIFS(DataRegularSeason20242025!$AA$3:$AA$1314,DataRegularSeason20242025!$B$3:$B$1314, "&lt;=" &amp; DO$1, DataRegularSeason20242025!$D$3:$D$1314, $A2)+SUMIFS(DataRegularSeason20242025!$AB$3:$AB$1314,DataRegularSeason20242025!$B$3:$B$1314, "&lt;=" &amp; DO$1, DataRegularSeason20242025!$E$3:$E$1314, $A2)</calculatedColumnFormula>
    </tableColumn>
    <tableColumn id="118" xr3:uid="{9CB36FB1-3BBA-4D22-88B2-299163C871DE}" name="2026-01-27" totalsRowFunction="average" dataDxfId="780">
      <calculatedColumnFormula>SUMIFS(DataRegularSeason20242025!$AA$3:$AA$1314,DataRegularSeason20242025!$B$3:$B$1314, "&lt;=" &amp; DP$1, DataRegularSeason20242025!$D$3:$D$1314, $A2)+SUMIFS(DataRegularSeason20242025!$AB$3:$AB$1314,DataRegularSeason20242025!$B$3:$B$1314, "&lt;=" &amp; DP$1, DataRegularSeason20242025!$E$3:$E$1314, $A2)</calculatedColumnFormula>
    </tableColumn>
    <tableColumn id="119" xr3:uid="{132340F2-731B-4358-ACC8-975FB40C0C5A}" name="2026-01-28" totalsRowFunction="average" dataDxfId="779">
      <calculatedColumnFormula>SUMIFS(DataRegularSeason20242025!$AA$3:$AA$1314,DataRegularSeason20242025!$B$3:$B$1314, "&lt;=" &amp; DQ$1, DataRegularSeason20242025!$D$3:$D$1314, $A2)+SUMIFS(DataRegularSeason20242025!$AB$3:$AB$1314,DataRegularSeason20242025!$B$3:$B$1314, "&lt;=" &amp; DQ$1, DataRegularSeason20242025!$E$3:$E$1314, $A2)</calculatedColumnFormula>
    </tableColumn>
    <tableColumn id="120" xr3:uid="{4DEBC8A6-E1BF-45A4-AD43-D871B189D9F9}" name="2026-01-29" totalsRowFunction="average" dataDxfId="778">
      <calculatedColumnFormula>SUMIFS(DataRegularSeason20242025!$AA$3:$AA$1314,DataRegularSeason20242025!$B$3:$B$1314, "&lt;=" &amp; DR$1, DataRegularSeason20242025!$D$3:$D$1314, $A2)+SUMIFS(DataRegularSeason20242025!$AB$3:$AB$1314,DataRegularSeason20242025!$B$3:$B$1314, "&lt;=" &amp; DR$1, DataRegularSeason20242025!$E$3:$E$1314, $A2)</calculatedColumnFormula>
    </tableColumn>
    <tableColumn id="121" xr3:uid="{6FB2D732-6FEB-4C13-9C53-D6D218EA1445}" name="2026-01-30" totalsRowFunction="average" dataDxfId="777">
      <calculatedColumnFormula>SUMIFS(DataRegularSeason20242025!$AA$3:$AA$1314,DataRegularSeason20242025!$B$3:$B$1314, "&lt;=" &amp; DS$1, DataRegularSeason20242025!$D$3:$D$1314, $A2)+SUMIFS(DataRegularSeason20242025!$AB$3:$AB$1314,DataRegularSeason20242025!$B$3:$B$1314, "&lt;=" &amp; DS$1, DataRegularSeason20242025!$E$3:$E$1314, $A2)</calculatedColumnFormula>
    </tableColumn>
    <tableColumn id="122" xr3:uid="{2DEFE715-4933-402C-B6DF-3B341CF2F195}" name="2026-01-31" totalsRowFunction="average" dataDxfId="776">
      <calculatedColumnFormula>SUMIFS(DataRegularSeason20242025!$AA$3:$AA$1314,DataRegularSeason20242025!$B$3:$B$1314, "&lt;=" &amp; DT$1, DataRegularSeason20242025!$D$3:$D$1314, $A2)+SUMIFS(DataRegularSeason20242025!$AB$3:$AB$1314,DataRegularSeason20242025!$B$3:$B$1314, "&lt;=" &amp; DT$1, DataRegularSeason20242025!$E$3:$E$1314, $A2)</calculatedColumnFormula>
    </tableColumn>
    <tableColumn id="123" xr3:uid="{FC67EAD3-B465-40FC-A34D-06329DEE914A}" name="2026-02-01" totalsRowFunction="average" dataDxfId="775">
      <calculatedColumnFormula>SUMIFS(DataRegularSeason20242025!$AA$3:$AA$1314,DataRegularSeason20242025!$B$3:$B$1314, "&lt;=" &amp; DU$1, DataRegularSeason20242025!$D$3:$D$1314, $A2)+SUMIFS(DataRegularSeason20242025!$AB$3:$AB$1314,DataRegularSeason20242025!$B$3:$B$1314, "&lt;=" &amp; DU$1, DataRegularSeason20242025!$E$3:$E$1314, $A2)</calculatedColumnFormula>
    </tableColumn>
    <tableColumn id="124" xr3:uid="{50BA9216-4ABA-49CF-9A50-07F843AFDF70}" name="2026-02-02" totalsRowFunction="average" dataDxfId="774">
      <calculatedColumnFormula>SUMIFS(DataRegularSeason20242025!$AA$3:$AA$1314,DataRegularSeason20242025!$B$3:$B$1314, "&lt;=" &amp; DV$1, DataRegularSeason20242025!$D$3:$D$1314, $A2)+SUMIFS(DataRegularSeason20242025!$AB$3:$AB$1314,DataRegularSeason20242025!$B$3:$B$1314, "&lt;=" &amp; DV$1, DataRegularSeason20242025!$E$3:$E$1314, $A2)</calculatedColumnFormula>
    </tableColumn>
    <tableColumn id="125" xr3:uid="{2339E621-520E-432C-9CA1-B327FB3E7D34}" name="2026-02-03" totalsRowFunction="average" dataDxfId="773">
      <calculatedColumnFormula>SUMIFS(DataRegularSeason20242025!$AA$3:$AA$1314,DataRegularSeason20242025!$B$3:$B$1314, "&lt;=" &amp; DW$1, DataRegularSeason20242025!$D$3:$D$1314, $A2)+SUMIFS(DataRegularSeason20242025!$AB$3:$AB$1314,DataRegularSeason20242025!$B$3:$B$1314, "&lt;=" &amp; DW$1, DataRegularSeason20242025!$E$3:$E$1314, $A2)</calculatedColumnFormula>
    </tableColumn>
    <tableColumn id="126" xr3:uid="{19BF718C-48A1-40F7-BB55-61295632CC0D}" name="2026-02-04" totalsRowFunction="average" dataDxfId="772">
      <calculatedColumnFormula>SUMIFS(DataRegularSeason20242025!$AA$3:$AA$1314,DataRegularSeason20242025!$B$3:$B$1314, "&lt;=" &amp; DX$1, DataRegularSeason20242025!$D$3:$D$1314, $A2)+SUMIFS(DataRegularSeason20242025!$AB$3:$AB$1314,DataRegularSeason20242025!$B$3:$B$1314, "&lt;=" &amp; DX$1, DataRegularSeason20242025!$E$3:$E$1314, $A2)</calculatedColumnFormula>
    </tableColumn>
    <tableColumn id="127" xr3:uid="{E293957A-5118-4DEE-A059-D3D828C06ADD}" name="2026-02-05" totalsRowFunction="average" dataDxfId="771">
      <calculatedColumnFormula>SUMIFS(DataRegularSeason20242025!$AA$3:$AA$1314,DataRegularSeason20242025!$B$3:$B$1314, "&lt;=" &amp; DY$1, DataRegularSeason20242025!$D$3:$D$1314, $A2)+SUMIFS(DataRegularSeason20242025!$AB$3:$AB$1314,DataRegularSeason20242025!$B$3:$B$1314, "&lt;=" &amp; DY$1, DataRegularSeason20242025!$E$3:$E$1314, $A2)</calculatedColumnFormula>
    </tableColumn>
    <tableColumn id="128" xr3:uid="{59EBEC59-E825-4C61-AB03-DE5FAD901269}" name="2026-02-06" totalsRowFunction="average" dataDxfId="770">
      <calculatedColumnFormula>SUMIFS(DataRegularSeason20242025!$AA$3:$AA$1314,DataRegularSeason20242025!$B$3:$B$1314, "&lt;=" &amp; DZ$1, DataRegularSeason20242025!$D$3:$D$1314, $A2)+SUMIFS(DataRegularSeason20242025!$AB$3:$AB$1314,DataRegularSeason20242025!$B$3:$B$1314, "&lt;=" &amp; DZ$1, DataRegularSeason20242025!$E$3:$E$1314, $A2)</calculatedColumnFormula>
    </tableColumn>
    <tableColumn id="129" xr3:uid="{98D3E91D-7F45-40E0-B048-2679EC934808}" name="2026-02-07" totalsRowFunction="average" dataDxfId="769">
      <calculatedColumnFormula>SUMIFS(DataRegularSeason20242025!$AA$3:$AA$1314,DataRegularSeason20242025!$B$3:$B$1314, "&lt;=" &amp; EA$1, DataRegularSeason20242025!$D$3:$D$1314, $A2)+SUMIFS(DataRegularSeason20242025!$AB$3:$AB$1314,DataRegularSeason20242025!$B$3:$B$1314, "&lt;=" &amp; EA$1, DataRegularSeason20242025!$E$3:$E$1314, $A2)</calculatedColumnFormula>
    </tableColumn>
    <tableColumn id="130" xr3:uid="{246F136C-32BA-450E-855E-BC6D92AC46E5}" name="2026-02-08" totalsRowFunction="average" dataDxfId="768">
      <calculatedColumnFormula>SUMIFS(DataRegularSeason20242025!$AA$3:$AA$1314,DataRegularSeason20242025!$B$3:$B$1314, "&lt;=" &amp; EB$1, DataRegularSeason20242025!$D$3:$D$1314, $A2)+SUMIFS(DataRegularSeason20242025!$AB$3:$AB$1314,DataRegularSeason20242025!$B$3:$B$1314, "&lt;=" &amp; EB$1, DataRegularSeason20242025!$E$3:$E$1314, $A2)</calculatedColumnFormula>
    </tableColumn>
    <tableColumn id="131" xr3:uid="{CD22998D-BD20-4C7D-9F4D-F87808EF59A2}" name="2026-02-09" totalsRowFunction="average" dataDxfId="767">
      <calculatedColumnFormula>SUMIFS(DataRegularSeason20242025!$AA$3:$AA$1314,DataRegularSeason20242025!$B$3:$B$1314, "&lt;=" &amp; EC$1, DataRegularSeason20242025!$D$3:$D$1314, $A2)+SUMIFS(DataRegularSeason20242025!$AB$3:$AB$1314,DataRegularSeason20242025!$B$3:$B$1314, "&lt;=" &amp; EC$1, DataRegularSeason20242025!$E$3:$E$1314, $A2)</calculatedColumnFormula>
    </tableColumn>
    <tableColumn id="132" xr3:uid="{C0399F34-EAA6-47C0-9A24-44400D27C9E2}" name="2026-02-10" totalsRowFunction="average" dataDxfId="766">
      <calculatedColumnFormula>SUMIFS(DataRegularSeason20242025!$AA$3:$AA$1314,DataRegularSeason20242025!$B$3:$B$1314, "&lt;=" &amp; ED$1, DataRegularSeason20242025!$D$3:$D$1314, $A2)+SUMIFS(DataRegularSeason20242025!$AB$3:$AB$1314,DataRegularSeason20242025!$B$3:$B$1314, "&lt;=" &amp; ED$1, DataRegularSeason20242025!$E$3:$E$1314, $A2)</calculatedColumnFormula>
    </tableColumn>
    <tableColumn id="133" xr3:uid="{5C970A8F-AD95-4DD8-85C8-246496A6E457}" name="2026-02-11" totalsRowFunction="average" dataDxfId="765">
      <calculatedColumnFormula>SUMIFS(DataRegularSeason20242025!$AA$3:$AA$1314,DataRegularSeason20242025!$B$3:$B$1314, "&lt;=" &amp; EE$1, DataRegularSeason20242025!$D$3:$D$1314, $A2)+SUMIFS(DataRegularSeason20242025!$AB$3:$AB$1314,DataRegularSeason20242025!$B$3:$B$1314, "&lt;=" &amp; EE$1, DataRegularSeason20242025!$E$3:$E$1314, $A2)</calculatedColumnFormula>
    </tableColumn>
    <tableColumn id="134" xr3:uid="{629F4C57-F535-45AA-84D3-07CABB5CC35C}" name="2026-02-12" totalsRowFunction="average" dataDxfId="764">
      <calculatedColumnFormula>SUMIFS(DataRegularSeason20242025!$AA$3:$AA$1314,DataRegularSeason20242025!$B$3:$B$1314, "&lt;=" &amp; EF$1, DataRegularSeason20242025!$D$3:$D$1314, $A2)+SUMIFS(DataRegularSeason20242025!$AB$3:$AB$1314,DataRegularSeason20242025!$B$3:$B$1314, "&lt;=" &amp; EF$1, DataRegularSeason20242025!$E$3:$E$1314, $A2)</calculatedColumnFormula>
    </tableColumn>
    <tableColumn id="135" xr3:uid="{DD3712DE-08A4-4D0C-845D-157BF59FE028}" name="2026-02-13" totalsRowFunction="average" dataDxfId="763">
      <calculatedColumnFormula>SUMIFS(DataRegularSeason20242025!$AA$3:$AA$1314,DataRegularSeason20242025!$B$3:$B$1314, "&lt;=" &amp; EG$1, DataRegularSeason20242025!$D$3:$D$1314, $A2)+SUMIFS(DataRegularSeason20242025!$AB$3:$AB$1314,DataRegularSeason20242025!$B$3:$B$1314, "&lt;=" &amp; EG$1, DataRegularSeason20242025!$E$3:$E$1314, $A2)</calculatedColumnFormula>
    </tableColumn>
    <tableColumn id="136" xr3:uid="{47019CA9-F698-4EA1-857E-1C938DED0164}" name="2026-02-14" totalsRowFunction="average" dataDxfId="762">
      <calculatedColumnFormula>SUMIFS(DataRegularSeason20242025!$AA$3:$AA$1314,DataRegularSeason20242025!$B$3:$B$1314, "&lt;=" &amp; EH$1, DataRegularSeason20242025!$D$3:$D$1314, $A2)+SUMIFS(DataRegularSeason20242025!$AB$3:$AB$1314,DataRegularSeason20242025!$B$3:$B$1314, "&lt;=" &amp; EH$1, DataRegularSeason20242025!$E$3:$E$1314, $A2)</calculatedColumnFormula>
    </tableColumn>
    <tableColumn id="137" xr3:uid="{9BDECDE5-AB9A-4941-A5E7-D5D003C335B5}" name="2026-02-15" totalsRowFunction="average" dataDxfId="761">
      <calculatedColumnFormula>SUMIFS(DataRegularSeason20242025!$AA$3:$AA$1314,DataRegularSeason20242025!$B$3:$B$1314, "&lt;=" &amp; EI$1, DataRegularSeason20242025!$D$3:$D$1314, $A2)+SUMIFS(DataRegularSeason20242025!$AB$3:$AB$1314,DataRegularSeason20242025!$B$3:$B$1314, "&lt;=" &amp; EI$1, DataRegularSeason20242025!$E$3:$E$1314, $A2)</calculatedColumnFormula>
    </tableColumn>
    <tableColumn id="138" xr3:uid="{7B71871B-A4BF-4D9B-A15A-3B3C8A0A52B5}" name="2026-02-16" totalsRowFunction="average" dataDxfId="760">
      <calculatedColumnFormula>SUMIFS(DataRegularSeason20242025!$AA$3:$AA$1314,DataRegularSeason20242025!$B$3:$B$1314, "&lt;=" &amp; EJ$1, DataRegularSeason20242025!$D$3:$D$1314, $A2)+SUMIFS(DataRegularSeason20242025!$AB$3:$AB$1314,DataRegularSeason20242025!$B$3:$B$1314, "&lt;=" &amp; EJ$1, DataRegularSeason20242025!$E$3:$E$1314, $A2)</calculatedColumnFormula>
    </tableColumn>
    <tableColumn id="139" xr3:uid="{6BEE0490-9B6F-4D05-8E67-FE02A894D4A5}" name="2026-02-17" totalsRowFunction="average" dataDxfId="759">
      <calculatedColumnFormula>SUMIFS(DataRegularSeason20242025!$AA$3:$AA$1314,DataRegularSeason20242025!$B$3:$B$1314, "&lt;=" &amp; EK$1, DataRegularSeason20242025!$D$3:$D$1314, $A2)+SUMIFS(DataRegularSeason20242025!$AB$3:$AB$1314,DataRegularSeason20242025!$B$3:$B$1314, "&lt;=" &amp; EK$1, DataRegularSeason20242025!$E$3:$E$1314, $A2)</calculatedColumnFormula>
    </tableColumn>
    <tableColumn id="140" xr3:uid="{D35CDB5A-D51A-4C41-94E4-0DB9C462D951}" name="2026-02-18" totalsRowFunction="average" dataDxfId="758">
      <calculatedColumnFormula>SUMIFS(DataRegularSeason20242025!$AA$3:$AA$1314,DataRegularSeason20242025!$B$3:$B$1314, "&lt;=" &amp; EL$1, DataRegularSeason20242025!$D$3:$D$1314, $A2)+SUMIFS(DataRegularSeason20242025!$AB$3:$AB$1314,DataRegularSeason20242025!$B$3:$B$1314, "&lt;=" &amp; EL$1, DataRegularSeason20242025!$E$3:$E$1314, $A2)</calculatedColumnFormula>
    </tableColumn>
    <tableColumn id="141" xr3:uid="{D4F71B0B-2ABD-43AA-9C8C-2AB2AD5BA1E0}" name="2026-02-19" totalsRowFunction="average" dataDxfId="757">
      <calculatedColumnFormula>SUMIFS(DataRegularSeason20242025!$AA$3:$AA$1314,DataRegularSeason20242025!$B$3:$B$1314, "&lt;=" &amp; EM$1, DataRegularSeason20242025!$D$3:$D$1314, $A2)+SUMIFS(DataRegularSeason20242025!$AB$3:$AB$1314,DataRegularSeason20242025!$B$3:$B$1314, "&lt;=" &amp; EM$1, DataRegularSeason20242025!$E$3:$E$1314, $A2)</calculatedColumnFormula>
    </tableColumn>
    <tableColumn id="142" xr3:uid="{A8B28D3F-35A2-491F-B575-BEBEF600D0B9}" name="2026-02-20" totalsRowFunction="average" dataDxfId="756">
      <calculatedColumnFormula>SUMIFS(DataRegularSeason20242025!$AA$3:$AA$1314,DataRegularSeason20242025!$B$3:$B$1314, "&lt;=" &amp; EN$1, DataRegularSeason20242025!$D$3:$D$1314, $A2)+SUMIFS(DataRegularSeason20242025!$AB$3:$AB$1314,DataRegularSeason20242025!$B$3:$B$1314, "&lt;=" &amp; EN$1, DataRegularSeason20242025!$E$3:$E$1314, $A2)</calculatedColumnFormula>
    </tableColumn>
    <tableColumn id="143" xr3:uid="{F0756CFE-C581-419E-8134-1BE4C6A182F2}" name="2026-02-21" totalsRowFunction="average" dataDxfId="755">
      <calculatedColumnFormula>SUMIFS(DataRegularSeason20242025!$AA$3:$AA$1314,DataRegularSeason20242025!$B$3:$B$1314, "&lt;=" &amp; EO$1, DataRegularSeason20242025!$D$3:$D$1314, $A2)+SUMIFS(DataRegularSeason20242025!$AB$3:$AB$1314,DataRegularSeason20242025!$B$3:$B$1314, "&lt;=" &amp; EO$1, DataRegularSeason20242025!$E$3:$E$1314, $A2)</calculatedColumnFormula>
    </tableColumn>
    <tableColumn id="144" xr3:uid="{956FAE37-9B9B-4073-AEBD-FA14E3733BC4}" name="2026-02-22" totalsRowFunction="average" dataDxfId="754">
      <calculatedColumnFormula>SUMIFS(DataRegularSeason20242025!$AA$3:$AA$1314,DataRegularSeason20242025!$B$3:$B$1314, "&lt;=" &amp; EP$1, DataRegularSeason20242025!$D$3:$D$1314, $A2)+SUMIFS(DataRegularSeason20242025!$AB$3:$AB$1314,DataRegularSeason20242025!$B$3:$B$1314, "&lt;=" &amp; EP$1, DataRegularSeason20242025!$E$3:$E$1314, $A2)</calculatedColumnFormula>
    </tableColumn>
    <tableColumn id="145" xr3:uid="{2B17C57F-7B80-4820-86BD-8F1D792BCF07}" name="2026-02-23" totalsRowFunction="average" dataDxfId="753">
      <calculatedColumnFormula>SUMIFS(DataRegularSeason20242025!$AA$3:$AA$1314,DataRegularSeason20242025!$B$3:$B$1314, "&lt;=" &amp; EQ$1, DataRegularSeason20242025!$D$3:$D$1314, $A2)+SUMIFS(DataRegularSeason20242025!$AB$3:$AB$1314,DataRegularSeason20242025!$B$3:$B$1314, "&lt;=" &amp; EQ$1, DataRegularSeason20242025!$E$3:$E$1314, $A2)</calculatedColumnFormula>
    </tableColumn>
    <tableColumn id="146" xr3:uid="{C3F872DF-4109-421D-BDD8-D84C989B5413}" name="2026-02-24" totalsRowFunction="average" dataDxfId="752">
      <calculatedColumnFormula>SUMIFS(DataRegularSeason20242025!$AA$3:$AA$1314,DataRegularSeason20242025!$B$3:$B$1314, "&lt;=" &amp; ER$1, DataRegularSeason20242025!$D$3:$D$1314, $A2)+SUMIFS(DataRegularSeason20242025!$AB$3:$AB$1314,DataRegularSeason20242025!$B$3:$B$1314, "&lt;=" &amp; ER$1, DataRegularSeason20242025!$E$3:$E$1314, $A2)</calculatedColumnFormula>
    </tableColumn>
    <tableColumn id="147" xr3:uid="{5A09E874-8504-43B3-9421-DE0E011BBE4A}" name="2026-02-25" totalsRowFunction="average" dataDxfId="751">
      <calculatedColumnFormula>SUMIFS(DataRegularSeason20242025!$AA$3:$AA$1314,DataRegularSeason20242025!$B$3:$B$1314, "&lt;=" &amp; ES$1, DataRegularSeason20242025!$D$3:$D$1314, $A2)+SUMIFS(DataRegularSeason20242025!$AB$3:$AB$1314,DataRegularSeason20242025!$B$3:$B$1314, "&lt;=" &amp; ES$1, DataRegularSeason20242025!$E$3:$E$1314, $A2)</calculatedColumnFormula>
    </tableColumn>
    <tableColumn id="148" xr3:uid="{2CCEAB0F-CED2-4D10-B8E9-BEC5D813F00C}" name="2026-02-26" totalsRowFunction="average" dataDxfId="750">
      <calculatedColumnFormula>SUMIFS(DataRegularSeason20242025!$AA$3:$AA$1314,DataRegularSeason20242025!$B$3:$B$1314, "&lt;=" &amp; ET$1, DataRegularSeason20242025!$D$3:$D$1314, $A2)+SUMIFS(DataRegularSeason20242025!$AB$3:$AB$1314,DataRegularSeason20242025!$B$3:$B$1314, "&lt;=" &amp; ET$1, DataRegularSeason20242025!$E$3:$E$1314, $A2)</calculatedColumnFormula>
    </tableColumn>
    <tableColumn id="149" xr3:uid="{71287495-9125-41B3-B15C-A368C71F8E7A}" name="2026-02-27" totalsRowFunction="average" dataDxfId="749">
      <calculatedColumnFormula>SUMIFS(DataRegularSeason20242025!$AA$3:$AA$1314,DataRegularSeason20242025!$B$3:$B$1314, "&lt;=" &amp; EU$1, DataRegularSeason20242025!$D$3:$D$1314, $A2)+SUMIFS(DataRegularSeason20242025!$AB$3:$AB$1314,DataRegularSeason20242025!$B$3:$B$1314, "&lt;=" &amp; EU$1, DataRegularSeason20242025!$E$3:$E$1314, $A2)</calculatedColumnFormula>
    </tableColumn>
    <tableColumn id="150" xr3:uid="{2F1D4033-EB21-4F92-BBD1-E95D37480A8E}" name="2026-02-28" totalsRowFunction="average" dataDxfId="748">
      <calculatedColumnFormula>SUMIFS(DataRegularSeason20242025!$AA$3:$AA$1314,DataRegularSeason20242025!$B$3:$B$1314, "&lt;=" &amp; EV$1, DataRegularSeason20242025!$D$3:$D$1314, $A2)+SUMIFS(DataRegularSeason20242025!$AB$3:$AB$1314,DataRegularSeason20242025!$B$3:$B$1314, "&lt;=" &amp; EV$1, DataRegularSeason20242025!$E$3:$E$1314, $A2)</calculatedColumnFormula>
    </tableColumn>
    <tableColumn id="151" xr3:uid="{7C956B89-7371-47D4-91B3-16BD3819A392}" name="2026-03-01" totalsRowFunction="average" dataDxfId="747">
      <calculatedColumnFormula>SUMIFS(DataRegularSeason20242025!$AA$3:$AA$1314,DataRegularSeason20242025!$B$3:$B$1314, "&lt;=" &amp; EW$1, DataRegularSeason20242025!$D$3:$D$1314, $A2)+SUMIFS(DataRegularSeason20242025!$AB$3:$AB$1314,DataRegularSeason20242025!$B$3:$B$1314, "&lt;=" &amp; EW$1, DataRegularSeason20242025!$E$3:$E$1314, $A2)</calculatedColumnFormula>
    </tableColumn>
    <tableColumn id="152" xr3:uid="{AECCCDBD-7206-4278-9B64-9D2A9D6EB076}" name="2026-03-02" totalsRowFunction="average" dataDxfId="746">
      <calculatedColumnFormula>SUMIFS(DataRegularSeason20242025!$AA$3:$AA$1314,DataRegularSeason20242025!$B$3:$B$1314, "&lt;=" &amp; EX$1, DataRegularSeason20242025!$D$3:$D$1314, $A2)+SUMIFS(DataRegularSeason20242025!$AB$3:$AB$1314,DataRegularSeason20242025!$B$3:$B$1314, "&lt;=" &amp; EX$1, DataRegularSeason20242025!$E$3:$E$1314, $A2)</calculatedColumnFormula>
    </tableColumn>
    <tableColumn id="153" xr3:uid="{767DC7DA-2522-453F-B9DC-CF6EB82B0174}" name="2026-03-03" totalsRowFunction="average" dataDxfId="745">
      <calculatedColumnFormula>SUMIFS(DataRegularSeason20242025!$AA$3:$AA$1314,DataRegularSeason20242025!$B$3:$B$1314, "&lt;=" &amp; EY$1, DataRegularSeason20242025!$D$3:$D$1314, $A2)+SUMIFS(DataRegularSeason20242025!$AB$3:$AB$1314,DataRegularSeason20242025!$B$3:$B$1314, "&lt;=" &amp; EY$1, DataRegularSeason20242025!$E$3:$E$1314, $A2)</calculatedColumnFormula>
    </tableColumn>
    <tableColumn id="154" xr3:uid="{5AE47394-F26B-4480-80BA-80A6B066D623}" name="2026-03-04" totalsRowFunction="average" dataDxfId="744">
      <calculatedColumnFormula>SUMIFS(DataRegularSeason20242025!$AA$3:$AA$1314,DataRegularSeason20242025!$B$3:$B$1314, "&lt;=" &amp; EZ$1, DataRegularSeason20242025!$D$3:$D$1314, $A2)+SUMIFS(DataRegularSeason20242025!$AB$3:$AB$1314,DataRegularSeason20242025!$B$3:$B$1314, "&lt;=" &amp; EZ$1, DataRegularSeason20242025!$E$3:$E$1314, $A2)</calculatedColumnFormula>
    </tableColumn>
    <tableColumn id="155" xr3:uid="{3264AC33-1FFC-4A7A-9520-760D616FF4B0}" name="2026-03-05" totalsRowFunction="average" dataDxfId="743">
      <calculatedColumnFormula>SUMIFS(DataRegularSeason20242025!$AA$3:$AA$1314,DataRegularSeason20242025!$B$3:$B$1314, "&lt;=" &amp; FA$1, DataRegularSeason20242025!$D$3:$D$1314, $A2)+SUMIFS(DataRegularSeason20242025!$AB$3:$AB$1314,DataRegularSeason20242025!$B$3:$B$1314, "&lt;=" &amp; FA$1, DataRegularSeason20242025!$E$3:$E$1314, $A2)</calculatedColumnFormula>
    </tableColumn>
    <tableColumn id="156" xr3:uid="{BEBE9600-796E-47E0-9E93-0191566D61E4}" name="2026-03-06" totalsRowFunction="average" dataDxfId="742">
      <calculatedColumnFormula>SUMIFS(DataRegularSeason20242025!$AA$3:$AA$1314,DataRegularSeason20242025!$B$3:$B$1314, "&lt;=" &amp; FB$1, DataRegularSeason20242025!$D$3:$D$1314, $A2)+SUMIFS(DataRegularSeason20242025!$AB$3:$AB$1314,DataRegularSeason20242025!$B$3:$B$1314, "&lt;=" &amp; FB$1, DataRegularSeason20242025!$E$3:$E$1314, $A2)</calculatedColumnFormula>
    </tableColumn>
    <tableColumn id="157" xr3:uid="{C17EC581-C5BB-491F-A240-D6B1E72C3146}" name="2026-03-07" totalsRowFunction="average" dataDxfId="741">
      <calculatedColumnFormula>SUMIFS(DataRegularSeason20242025!$AA$3:$AA$1314,DataRegularSeason20242025!$B$3:$B$1314, "&lt;=" &amp; FC$1, DataRegularSeason20242025!$D$3:$D$1314, $A2)+SUMIFS(DataRegularSeason20242025!$AB$3:$AB$1314,DataRegularSeason20242025!$B$3:$B$1314, "&lt;=" &amp; FC$1, DataRegularSeason20242025!$E$3:$E$1314, $A2)</calculatedColumnFormula>
    </tableColumn>
    <tableColumn id="158" xr3:uid="{7F3E26BE-FF35-41D6-B4E1-651ACD659A64}" name="2026-03-08" totalsRowFunction="average" dataDxfId="740">
      <calculatedColumnFormula>SUMIFS(DataRegularSeason20242025!$AA$3:$AA$1314,DataRegularSeason20242025!$B$3:$B$1314, "&lt;=" &amp; FD$1, DataRegularSeason20242025!$D$3:$D$1314, $A2)+SUMIFS(DataRegularSeason20242025!$AB$3:$AB$1314,DataRegularSeason20242025!$B$3:$B$1314, "&lt;=" &amp; FD$1, DataRegularSeason20242025!$E$3:$E$1314, $A2)</calculatedColumnFormula>
    </tableColumn>
    <tableColumn id="159" xr3:uid="{DE7F5380-9A8C-443C-94A1-34D74E2B212D}" name="2026-03-09" totalsRowFunction="average" dataDxfId="739">
      <calculatedColumnFormula>SUMIFS(DataRegularSeason20242025!$AA$3:$AA$1314,DataRegularSeason20242025!$B$3:$B$1314, "&lt;=" &amp; FE$1, DataRegularSeason20242025!$D$3:$D$1314, $A2)+SUMIFS(DataRegularSeason20242025!$AB$3:$AB$1314,DataRegularSeason20242025!$B$3:$B$1314, "&lt;=" &amp; FE$1, DataRegularSeason20242025!$E$3:$E$1314, $A2)</calculatedColumnFormula>
    </tableColumn>
    <tableColumn id="160" xr3:uid="{F80CA264-8138-4857-8C3C-3D08FC2E6197}" name="2026-03-10" totalsRowFunction="average" dataDxfId="738">
      <calculatedColumnFormula>SUMIFS(DataRegularSeason20242025!$AA$3:$AA$1314,DataRegularSeason20242025!$B$3:$B$1314, "&lt;=" &amp; FF$1, DataRegularSeason20242025!$D$3:$D$1314, $A2)+SUMIFS(DataRegularSeason20242025!$AB$3:$AB$1314,DataRegularSeason20242025!$B$3:$B$1314, "&lt;=" &amp; FF$1, DataRegularSeason20242025!$E$3:$E$1314, $A2)</calculatedColumnFormula>
    </tableColumn>
    <tableColumn id="161" xr3:uid="{2924570F-F1E0-4BCF-877F-73639FB5AFC8}" name="2026-03-11" totalsRowFunction="average" dataDxfId="737">
      <calculatedColumnFormula>SUMIFS(DataRegularSeason20242025!$AA$3:$AA$1314,DataRegularSeason20242025!$B$3:$B$1314, "&lt;=" &amp; FG$1, DataRegularSeason20242025!$D$3:$D$1314, $A2)+SUMIFS(DataRegularSeason20242025!$AB$3:$AB$1314,DataRegularSeason20242025!$B$3:$B$1314, "&lt;=" &amp; FG$1, DataRegularSeason20242025!$E$3:$E$1314, $A2)</calculatedColumnFormula>
    </tableColumn>
    <tableColumn id="162" xr3:uid="{34B469C8-391F-4715-8318-C29EA5B8D3B1}" name="2026-03-12" totalsRowFunction="average" dataDxfId="736">
      <calculatedColumnFormula>SUMIFS(DataRegularSeason20242025!$AA$3:$AA$1314,DataRegularSeason20242025!$B$3:$B$1314, "&lt;=" &amp; FH$1, DataRegularSeason20242025!$D$3:$D$1314, $A2)+SUMIFS(DataRegularSeason20242025!$AB$3:$AB$1314,DataRegularSeason20242025!$B$3:$B$1314, "&lt;=" &amp; FH$1, DataRegularSeason20242025!$E$3:$E$1314, $A2)</calculatedColumnFormula>
    </tableColumn>
    <tableColumn id="163" xr3:uid="{9A7DF99A-6703-4D63-BEBD-11DA3E823326}" name="2026-03-13" totalsRowFunction="average" dataDxfId="735">
      <calculatedColumnFormula>SUMIFS(DataRegularSeason20242025!$AA$3:$AA$1314,DataRegularSeason20242025!$B$3:$B$1314, "&lt;=" &amp; FI$1, DataRegularSeason20242025!$D$3:$D$1314, $A2)+SUMIFS(DataRegularSeason20242025!$AB$3:$AB$1314,DataRegularSeason20242025!$B$3:$B$1314, "&lt;=" &amp; FI$1, DataRegularSeason20242025!$E$3:$E$1314, $A2)</calculatedColumnFormula>
    </tableColumn>
    <tableColumn id="164" xr3:uid="{464186C5-934E-4163-AE2A-318D6543AB20}" name="2026-03-14" totalsRowFunction="average" dataDxfId="734">
      <calculatedColumnFormula>SUMIFS(DataRegularSeason20242025!$AA$3:$AA$1314,DataRegularSeason20242025!$B$3:$B$1314, "&lt;=" &amp; FJ$1, DataRegularSeason20242025!$D$3:$D$1314, $A2)+SUMIFS(DataRegularSeason20242025!$AB$3:$AB$1314,DataRegularSeason20242025!$B$3:$B$1314, "&lt;=" &amp; FJ$1, DataRegularSeason20242025!$E$3:$E$1314, $A2)</calculatedColumnFormula>
    </tableColumn>
    <tableColumn id="165" xr3:uid="{3BEAB947-5E7D-4D3A-A2B6-51AD475F39F3}" name="2026-03-15" totalsRowFunction="average" dataDxfId="733">
      <calculatedColumnFormula>SUMIFS(DataRegularSeason20242025!$AA$3:$AA$1314,DataRegularSeason20242025!$B$3:$B$1314, "&lt;=" &amp; FK$1, DataRegularSeason20242025!$D$3:$D$1314, $A2)+SUMIFS(DataRegularSeason20242025!$AB$3:$AB$1314,DataRegularSeason20242025!$B$3:$B$1314, "&lt;=" &amp; FK$1, DataRegularSeason20242025!$E$3:$E$1314, $A2)</calculatedColumnFormula>
    </tableColumn>
    <tableColumn id="166" xr3:uid="{249560B5-9325-4622-A916-EA00A2DCE4FA}" name="2026-03-16" totalsRowFunction="average" dataDxfId="732">
      <calculatedColumnFormula>SUMIFS(DataRegularSeason20242025!$AA$3:$AA$1314,DataRegularSeason20242025!$B$3:$B$1314, "&lt;=" &amp; FL$1, DataRegularSeason20242025!$D$3:$D$1314, $A2)+SUMIFS(DataRegularSeason20242025!$AB$3:$AB$1314,DataRegularSeason20242025!$B$3:$B$1314, "&lt;=" &amp; FL$1, DataRegularSeason20242025!$E$3:$E$1314, $A2)</calculatedColumnFormula>
    </tableColumn>
    <tableColumn id="167" xr3:uid="{8C03DFD6-F34A-4B57-9A1D-467E1685F0F2}" name="2026-03-17" totalsRowFunction="average" dataDxfId="731">
      <calculatedColumnFormula>SUMIFS(DataRegularSeason20242025!$AA$3:$AA$1314,DataRegularSeason20242025!$B$3:$B$1314, "&lt;=" &amp; FM$1, DataRegularSeason20242025!$D$3:$D$1314, $A2)+SUMIFS(DataRegularSeason20242025!$AB$3:$AB$1314,DataRegularSeason20242025!$B$3:$B$1314, "&lt;=" &amp; FM$1, DataRegularSeason20242025!$E$3:$E$1314, $A2)</calculatedColumnFormula>
    </tableColumn>
    <tableColumn id="168" xr3:uid="{CB31EFC7-F6CA-4CC7-A212-F1378E90CF55}" name="2026-03-18" totalsRowFunction="average" dataDxfId="730">
      <calculatedColumnFormula>SUMIFS(DataRegularSeason20242025!$AA$3:$AA$1314,DataRegularSeason20242025!$B$3:$B$1314, "&lt;=" &amp; FN$1, DataRegularSeason20242025!$D$3:$D$1314, $A2)+SUMIFS(DataRegularSeason20242025!$AB$3:$AB$1314,DataRegularSeason20242025!$B$3:$B$1314, "&lt;=" &amp; FN$1, DataRegularSeason20242025!$E$3:$E$1314, $A2)</calculatedColumnFormula>
    </tableColumn>
    <tableColumn id="169" xr3:uid="{54B7D59D-9314-49E0-8E04-5DBD63FDB134}" name="2026-03-19" totalsRowFunction="average" dataDxfId="729">
      <calculatedColumnFormula>SUMIFS(DataRegularSeason20242025!$AA$3:$AA$1314,DataRegularSeason20242025!$B$3:$B$1314, "&lt;=" &amp; FO$1, DataRegularSeason20242025!$D$3:$D$1314, $A2)+SUMIFS(DataRegularSeason20242025!$AB$3:$AB$1314,DataRegularSeason20242025!$B$3:$B$1314, "&lt;=" &amp; FO$1, DataRegularSeason20242025!$E$3:$E$1314, $A2)</calculatedColumnFormula>
    </tableColumn>
    <tableColumn id="170" xr3:uid="{5A142D2D-F022-4A75-B27F-6332F472682A}" name="2026-03-20" totalsRowFunction="average" dataDxfId="728">
      <calculatedColumnFormula>SUMIFS(DataRegularSeason20242025!$AA$3:$AA$1314,DataRegularSeason20242025!$B$3:$B$1314, "&lt;=" &amp; FP$1, DataRegularSeason20242025!$D$3:$D$1314, $A2)+SUMIFS(DataRegularSeason20242025!$AB$3:$AB$1314,DataRegularSeason20242025!$B$3:$B$1314, "&lt;=" &amp; FP$1, DataRegularSeason20242025!$E$3:$E$1314, $A2)</calculatedColumnFormula>
    </tableColumn>
    <tableColumn id="171" xr3:uid="{8E93A6D5-4E4E-48DB-9DA6-B87A9C5A5045}" name="2026-03-21" totalsRowFunction="average" dataDxfId="727">
      <calculatedColumnFormula>SUMIFS(DataRegularSeason20242025!$AA$3:$AA$1314,DataRegularSeason20242025!$B$3:$B$1314, "&lt;=" &amp; FQ$1, DataRegularSeason20242025!$D$3:$D$1314, $A2)+SUMIFS(DataRegularSeason20242025!$AB$3:$AB$1314,DataRegularSeason20242025!$B$3:$B$1314, "&lt;=" &amp; FQ$1, DataRegularSeason20242025!$E$3:$E$1314, $A2)</calculatedColumnFormula>
    </tableColumn>
    <tableColumn id="172" xr3:uid="{1E412919-AD5E-4843-9A2F-AA0B56D9E025}" name="2026-03-22" totalsRowFunction="average" dataDxfId="726">
      <calculatedColumnFormula>SUMIFS(DataRegularSeason20242025!$AA$3:$AA$1314,DataRegularSeason20242025!$B$3:$B$1314, "&lt;=" &amp; FR$1, DataRegularSeason20242025!$D$3:$D$1314, $A2)+SUMIFS(DataRegularSeason20242025!$AB$3:$AB$1314,DataRegularSeason20242025!$B$3:$B$1314, "&lt;=" &amp; FR$1, DataRegularSeason20242025!$E$3:$E$1314, $A2)</calculatedColumnFormula>
    </tableColumn>
    <tableColumn id="173" xr3:uid="{7C03B5A7-4C10-473A-80B2-7D4D2EC1CC4B}" name="2026-03-23" totalsRowFunction="average" dataDxfId="725">
      <calculatedColumnFormula>SUMIFS(DataRegularSeason20242025!$AA$3:$AA$1314,DataRegularSeason20242025!$B$3:$B$1314, "&lt;=" &amp; FS$1, DataRegularSeason20242025!$D$3:$D$1314, $A2)+SUMIFS(DataRegularSeason20242025!$AB$3:$AB$1314,DataRegularSeason20242025!$B$3:$B$1314, "&lt;=" &amp; FS$1, DataRegularSeason20242025!$E$3:$E$1314, $A2)</calculatedColumnFormula>
    </tableColumn>
    <tableColumn id="174" xr3:uid="{0F732806-954A-4DE8-AAF0-02E636DDD13E}" name="2026-03-24" totalsRowFunction="average" dataDxfId="724">
      <calculatedColumnFormula>SUMIFS(DataRegularSeason20242025!$AA$3:$AA$1314,DataRegularSeason20242025!$B$3:$B$1314, "&lt;=" &amp; FT$1, DataRegularSeason20242025!$D$3:$D$1314, $A2)+SUMIFS(DataRegularSeason20242025!$AB$3:$AB$1314,DataRegularSeason20242025!$B$3:$B$1314, "&lt;=" &amp; FT$1, DataRegularSeason20242025!$E$3:$E$1314, $A2)</calculatedColumnFormula>
    </tableColumn>
    <tableColumn id="175" xr3:uid="{EEEB69C9-4F9D-4122-869D-B003510D7605}" name="2026-03-25" totalsRowFunction="average" dataDxfId="723">
      <calculatedColumnFormula>SUMIFS(DataRegularSeason20242025!$AA$3:$AA$1314,DataRegularSeason20242025!$B$3:$B$1314, "&lt;=" &amp; FU$1, DataRegularSeason20242025!$D$3:$D$1314, $A2)+SUMIFS(DataRegularSeason20242025!$AB$3:$AB$1314,DataRegularSeason20242025!$B$3:$B$1314, "&lt;=" &amp; FU$1, DataRegularSeason20242025!$E$3:$E$1314, $A2)</calculatedColumnFormula>
    </tableColumn>
    <tableColumn id="176" xr3:uid="{36A356B0-B923-4AFD-B208-C110902FA783}" name="2026-03-26" totalsRowFunction="average" dataDxfId="722">
      <calculatedColumnFormula>SUMIFS(DataRegularSeason20242025!$AA$3:$AA$1314,DataRegularSeason20242025!$B$3:$B$1314, "&lt;=" &amp; FV$1, DataRegularSeason20242025!$D$3:$D$1314, $A2)+SUMIFS(DataRegularSeason20242025!$AB$3:$AB$1314,DataRegularSeason20242025!$B$3:$B$1314, "&lt;=" &amp; FV$1, DataRegularSeason20242025!$E$3:$E$1314, $A2)</calculatedColumnFormula>
    </tableColumn>
    <tableColumn id="177" xr3:uid="{D929B8E9-F818-48D4-A7B9-BACB3D596EE4}" name="2026-03-27" totalsRowFunction="average" dataDxfId="721">
      <calculatedColumnFormula>SUMIFS(DataRegularSeason20242025!$AA$3:$AA$1314,DataRegularSeason20242025!$B$3:$B$1314, "&lt;=" &amp; FW$1, DataRegularSeason20242025!$D$3:$D$1314, $A2)+SUMIFS(DataRegularSeason20242025!$AB$3:$AB$1314,DataRegularSeason20242025!$B$3:$B$1314, "&lt;=" &amp; FW$1, DataRegularSeason20242025!$E$3:$E$1314, $A2)</calculatedColumnFormula>
    </tableColumn>
    <tableColumn id="178" xr3:uid="{CF2A35CC-0737-4BFF-B9A4-C37193FBC874}" name="2026-03-28" totalsRowFunction="average" dataDxfId="720">
      <calculatedColumnFormula>SUMIFS(DataRegularSeason20242025!$AA$3:$AA$1314,DataRegularSeason20242025!$B$3:$B$1314, "&lt;=" &amp; FX$1, DataRegularSeason20242025!$D$3:$D$1314, $A2)+SUMIFS(DataRegularSeason20242025!$AB$3:$AB$1314,DataRegularSeason20242025!$B$3:$B$1314, "&lt;=" &amp; FX$1, DataRegularSeason20242025!$E$3:$E$1314, $A2)</calculatedColumnFormula>
    </tableColumn>
    <tableColumn id="179" xr3:uid="{37DD0BE8-1178-427F-BC5A-CA600B970B7E}" name="2026-03-29" totalsRowFunction="average" dataDxfId="719">
      <calculatedColumnFormula>SUMIFS(DataRegularSeason20242025!$AA$3:$AA$1314,DataRegularSeason20242025!$B$3:$B$1314, "&lt;=" &amp; FY$1, DataRegularSeason20242025!$D$3:$D$1314, $A2)+SUMIFS(DataRegularSeason20242025!$AB$3:$AB$1314,DataRegularSeason20242025!$B$3:$B$1314, "&lt;=" &amp; FY$1, DataRegularSeason20242025!$E$3:$E$1314, $A2)</calculatedColumnFormula>
    </tableColumn>
    <tableColumn id="180" xr3:uid="{D52386E3-6282-45C6-B151-1EBB5C2A2DFF}" name="2026-03-30" totalsRowFunction="average" dataDxfId="718">
      <calculatedColumnFormula>SUMIFS(DataRegularSeason20242025!$AA$3:$AA$1314,DataRegularSeason20242025!$B$3:$B$1314, "&lt;=" &amp; FZ$1, DataRegularSeason20242025!$D$3:$D$1314, $A2)+SUMIFS(DataRegularSeason20242025!$AB$3:$AB$1314,DataRegularSeason20242025!$B$3:$B$1314, "&lt;=" &amp; FZ$1, DataRegularSeason20242025!$E$3:$E$1314, $A2)</calculatedColumnFormula>
    </tableColumn>
    <tableColumn id="181" xr3:uid="{F2B3A765-C99E-457B-B012-F6E49509EB54}" name="2026-03-31" totalsRowFunction="average" dataDxfId="717">
      <calculatedColumnFormula>SUMIFS(DataRegularSeason20242025!$AA$3:$AA$1314,DataRegularSeason20242025!$B$3:$B$1314, "&lt;=" &amp; GA$1, DataRegularSeason20242025!$D$3:$D$1314, $A2)+SUMIFS(DataRegularSeason20242025!$AB$3:$AB$1314,DataRegularSeason20242025!$B$3:$B$1314, "&lt;=" &amp; GA$1, DataRegularSeason20242025!$E$3:$E$1314, $A2)</calculatedColumnFormula>
    </tableColumn>
    <tableColumn id="182" xr3:uid="{8466FFFE-EF1C-42CA-BE58-A48355F6F5F2}" name="2026-04-01" totalsRowFunction="average" dataDxfId="716">
      <calculatedColumnFormula>SUMIFS(DataRegularSeason20242025!$AA$3:$AA$1314,DataRegularSeason20242025!$B$3:$B$1314, "&lt;=" &amp; GB$1, DataRegularSeason20242025!$D$3:$D$1314, $A2)+SUMIFS(DataRegularSeason20242025!$AB$3:$AB$1314,DataRegularSeason20242025!$B$3:$B$1314, "&lt;=" &amp; GB$1, DataRegularSeason20242025!$E$3:$E$1314, $A2)</calculatedColumnFormula>
    </tableColumn>
    <tableColumn id="183" xr3:uid="{A1A90A97-F982-4AE0-AF2A-D5EA08469805}" name="2026-04-02" totalsRowFunction="average" dataDxfId="715">
      <calculatedColumnFormula>SUMIFS(DataRegularSeason20242025!$AA$3:$AA$1314,DataRegularSeason20242025!$B$3:$B$1314, "&lt;=" &amp; GC$1, DataRegularSeason20242025!$D$3:$D$1314, $A2)+SUMIFS(DataRegularSeason20242025!$AB$3:$AB$1314,DataRegularSeason20242025!$B$3:$B$1314, "&lt;=" &amp; GC$1, DataRegularSeason20242025!$E$3:$E$1314, $A2)</calculatedColumnFormula>
    </tableColumn>
    <tableColumn id="184" xr3:uid="{434E1BB5-DEFA-4539-82F4-E96931DE225E}" name="2026-04-03" totalsRowFunction="average" dataDxfId="714">
      <calculatedColumnFormula>SUMIFS(DataRegularSeason20242025!$AA$3:$AA$1314,DataRegularSeason20242025!$B$3:$B$1314, "&lt;=" &amp; GD$1, DataRegularSeason20242025!$D$3:$D$1314, $A2)+SUMIFS(DataRegularSeason20242025!$AB$3:$AB$1314,DataRegularSeason20242025!$B$3:$B$1314, "&lt;=" &amp; GD$1, DataRegularSeason20242025!$E$3:$E$1314, $A2)</calculatedColumnFormula>
    </tableColumn>
    <tableColumn id="185" xr3:uid="{43841276-18DC-4C08-9835-71848C70D060}" name="2026-04-04" totalsRowFunction="average" dataDxfId="713">
      <calculatedColumnFormula>SUMIFS(DataRegularSeason20242025!$AA$3:$AA$1314,DataRegularSeason20242025!$B$3:$B$1314, "&lt;=" &amp; GE$1, DataRegularSeason20242025!$D$3:$D$1314, $A2)+SUMIFS(DataRegularSeason20242025!$AB$3:$AB$1314,DataRegularSeason20242025!$B$3:$B$1314, "&lt;=" &amp; GE$1, DataRegularSeason20242025!$E$3:$E$1314, $A2)</calculatedColumnFormula>
    </tableColumn>
    <tableColumn id="186" xr3:uid="{9F87F7EE-6E78-46FB-883B-E8A70698A498}" name="2026-04-05" totalsRowFunction="average" dataDxfId="712">
      <calculatedColumnFormula>SUMIFS(DataRegularSeason20242025!$AA$3:$AA$1314,DataRegularSeason20242025!$B$3:$B$1314, "&lt;=" &amp; GF$1, DataRegularSeason20242025!$D$3:$D$1314, $A2)+SUMIFS(DataRegularSeason20242025!$AB$3:$AB$1314,DataRegularSeason20242025!$B$3:$B$1314, "&lt;=" &amp; GF$1, DataRegularSeason20242025!$E$3:$E$1314, $A2)</calculatedColumnFormula>
    </tableColumn>
    <tableColumn id="187" xr3:uid="{1F41BCF8-9E61-44CC-9588-E8EF53E17E6F}" name="2026-04-06" totalsRowFunction="average" dataDxfId="711">
      <calculatedColumnFormula>SUMIFS(DataRegularSeason20242025!$AA$3:$AA$1314,DataRegularSeason20242025!$B$3:$B$1314, "&lt;=" &amp; GG$1, DataRegularSeason20242025!$D$3:$D$1314, $A2)+SUMIFS(DataRegularSeason20242025!$AB$3:$AB$1314,DataRegularSeason20242025!$B$3:$B$1314, "&lt;=" &amp; GG$1, DataRegularSeason20242025!$E$3:$E$1314, $A2)</calculatedColumnFormula>
    </tableColumn>
    <tableColumn id="188" xr3:uid="{698E8FB0-1831-4233-8007-D8F11E840F2B}" name="2026-04-07" totalsRowFunction="average" dataDxfId="710">
      <calculatedColumnFormula>SUMIFS(DataRegularSeason20242025!$AA$3:$AA$1314,DataRegularSeason20242025!$B$3:$B$1314, "&lt;=" &amp; GH$1, DataRegularSeason20242025!$D$3:$D$1314, $A2)+SUMIFS(DataRegularSeason20242025!$AB$3:$AB$1314,DataRegularSeason20242025!$B$3:$B$1314, "&lt;=" &amp; GH$1, DataRegularSeason20242025!$E$3:$E$1314, $A2)</calculatedColumnFormula>
    </tableColumn>
    <tableColumn id="189" xr3:uid="{1193F214-4F1C-45C2-86E8-E27C01D71C9D}" name="2026-04-08" totalsRowFunction="average" dataDxfId="709">
      <calculatedColumnFormula>SUMIFS(DataRegularSeason20242025!$AA$3:$AA$1314,DataRegularSeason20242025!$B$3:$B$1314, "&lt;=" &amp; GI$1, DataRegularSeason20242025!$D$3:$D$1314, $A2)+SUMIFS(DataRegularSeason20242025!$AB$3:$AB$1314,DataRegularSeason20242025!$B$3:$B$1314, "&lt;=" &amp; GI$1, DataRegularSeason20242025!$E$3:$E$1314, $A2)</calculatedColumnFormula>
    </tableColumn>
    <tableColumn id="190" xr3:uid="{BB97A16B-E99B-49DC-ABBC-6470DC5FC1AB}" name="2026-04-09" totalsRowFunction="average" dataDxfId="708">
      <calculatedColumnFormula>SUMIFS(DataRegularSeason20242025!$AA$3:$AA$1314,DataRegularSeason20242025!$B$3:$B$1314, "&lt;=" &amp; GJ$1, DataRegularSeason20242025!$D$3:$D$1314, $A2)+SUMIFS(DataRegularSeason20242025!$AB$3:$AB$1314,DataRegularSeason20242025!$B$3:$B$1314, "&lt;=" &amp; GJ$1, DataRegularSeason20242025!$E$3:$E$1314, $A2)</calculatedColumnFormula>
    </tableColumn>
    <tableColumn id="191" xr3:uid="{D25E5259-B7F9-4F8E-B369-25F4016E1DA0}" name="2026-04-10" totalsRowFunction="average" dataDxfId="707">
      <calculatedColumnFormula>SUMIFS(DataRegularSeason20242025!$AA$3:$AA$1314,DataRegularSeason20242025!$B$3:$B$1314, "&lt;=" &amp; GK$1, DataRegularSeason20242025!$D$3:$D$1314, $A2)+SUMIFS(DataRegularSeason20242025!$AB$3:$AB$1314,DataRegularSeason20242025!$B$3:$B$1314, "&lt;=" &amp; GK$1, DataRegularSeason20242025!$E$3:$E$1314, $A2)</calculatedColumnFormula>
    </tableColumn>
    <tableColumn id="192" xr3:uid="{5B295BC9-F645-4EDC-8184-E2BDB35368FD}" name="2026-04-11" totalsRowFunction="average" dataDxfId="706">
      <calculatedColumnFormula>SUMIFS(DataRegularSeason20242025!$AA$3:$AA$1314,DataRegularSeason20242025!$B$3:$B$1314, "&lt;=" &amp; GL$1, DataRegularSeason20242025!$D$3:$D$1314, $A2)+SUMIFS(DataRegularSeason20242025!$AB$3:$AB$1314,DataRegularSeason20242025!$B$3:$B$1314, "&lt;=" &amp; GL$1, DataRegularSeason20242025!$E$3:$E$1314, $A2)</calculatedColumnFormula>
    </tableColumn>
    <tableColumn id="193" xr3:uid="{567926CE-9BB1-404F-9C91-58DF99001DA4}" name="2026-04-12" totalsRowFunction="average" dataDxfId="705">
      <calculatedColumnFormula>SUMIFS(DataRegularSeason20242025!$AA$3:$AA$1314,DataRegularSeason20242025!$B$3:$B$1314, "&lt;=" &amp; GM$1, DataRegularSeason20242025!$D$3:$D$1314, $A2)+SUMIFS(DataRegularSeason20242025!$AB$3:$AB$1314,DataRegularSeason20242025!$B$3:$B$1314, "&lt;=" &amp; GM$1, DataRegularSeason20242025!$E$3:$E$1314, $A2)</calculatedColumnFormula>
    </tableColumn>
    <tableColumn id="194" xr3:uid="{2E3ED4BF-40BA-448C-BBC6-81231513D239}" name="2026-04-13" totalsRowFunction="average" dataDxfId="704">
      <calculatedColumnFormula>SUMIFS(DataRegularSeason20242025!$AA$3:$AA$1314,DataRegularSeason20242025!$B$3:$B$1314, "&lt;=" &amp; GN$1, DataRegularSeason20242025!$D$3:$D$1314, $A2)+SUMIFS(DataRegularSeason20242025!$AB$3:$AB$1314,DataRegularSeason20242025!$B$3:$B$1314, "&lt;=" &amp; GN$1, DataRegularSeason20242025!$E$3:$E$1314, $A2)</calculatedColumnFormula>
    </tableColumn>
    <tableColumn id="195" xr3:uid="{5073918A-70CF-4362-8F7D-74CE6013D8C7}" name="2026-04-14" totalsRowFunction="average" dataDxfId="703">
      <calculatedColumnFormula>SUMIFS(DataRegularSeason20242025!$AA$3:$AA$1314,DataRegularSeason20242025!$B$3:$B$1314, "&lt;=" &amp; GO$1, DataRegularSeason20242025!$D$3:$D$1314, $A2)+SUMIFS(DataRegularSeason20242025!$AB$3:$AB$1314,DataRegularSeason20242025!$B$3:$B$1314, "&lt;=" &amp; GO$1, DataRegularSeason20242025!$E$3:$E$1314, $A2)</calculatedColumnFormula>
    </tableColumn>
    <tableColumn id="196" xr3:uid="{3F5C5022-8663-4E7B-9472-EABAD555F540}" name="2026-04-15" totalsRowFunction="average" dataDxfId="702">
      <calculatedColumnFormula>SUMIFS(DataRegularSeason20242025!$AA$3:$AA$1314,DataRegularSeason20242025!$B$3:$B$1314, "&lt;=" &amp; GP$1, DataRegularSeason20242025!$D$3:$D$1314, $A2)+SUMIFS(DataRegularSeason20242025!$AB$3:$AB$1314,DataRegularSeason20242025!$B$3:$B$1314, "&lt;=" &amp; GP$1, DataRegularSeason20242025!$E$3:$E$1314, $A2)</calculatedColumnFormula>
    </tableColumn>
    <tableColumn id="197" xr3:uid="{0B4D77A8-E5A1-4FAF-9926-0E0F56124EF6}" name="2026-04-16" totalsRowFunction="average" dataDxfId="701">
      <calculatedColumnFormula>SUMIFS(DataRegularSeason20242025!$AA$3:$AA$1314,DataRegularSeason20242025!$B$3:$B$1314, "&lt;=" &amp; GQ$1, DataRegularSeason20242025!$D$3:$D$1314, $A2)+SUMIFS(DataRegularSeason20242025!$AB$3:$AB$1314,DataRegularSeason20242025!$B$3:$B$1314, "&lt;=" &amp; GQ$1, DataRegularSeason20242025!$E$3:$E$1314, $A2)</calculatedColumnFormula>
    </tableColumn>
    <tableColumn id="198" xr3:uid="{AD18CDC6-6635-4AB6-AF9F-5164A6B543EB}" name="2026-04-17" totalsRowFunction="average" dataDxfId="700">
      <calculatedColumnFormula>SUMIFS(DataRegularSeason20242025!$AA$3:$AA$1314,DataRegularSeason20242025!$B$3:$B$1314, "&lt;=" &amp; GR$1, DataRegularSeason20242025!$D$3:$D$1314, $A2)+SUMIFS(DataRegularSeason20242025!$AB$3:$AB$1314,DataRegularSeason20242025!$B$3:$B$1314, "&lt;=" &amp; GR$1, DataRegularSeason20242025!$E$3:$E$1314, $A2)</calculatedColumnFormula>
    </tableColumn>
    <tableColumn id="199" xr3:uid="{927367F0-7578-4F8B-8B7E-FFCBA102691E}" name="2026-04-18" totalsRowFunction="average" dataDxfId="699">
      <calculatedColumnFormula>SUMIFS(DataRegularSeason20242025!$AA$3:$AA$1314,DataRegularSeason20242025!$B$3:$B$1314, "&lt;=" &amp; GS$1, DataRegularSeason20242025!$D$3:$D$1314, $A2)+SUMIFS(DataRegularSeason20242025!$AB$3:$AB$1314,DataRegularSeason20242025!$B$3:$B$1314, "&lt;=" &amp; GS$1, DataRegularSeason20242025!$E$3:$E$1314, $A2)</calculatedColumnFormula>
    </tableColumn>
    <tableColumn id="200" xr3:uid="{CD650E3A-5D8A-43D9-B2E9-3126A0A13474}" name="2026-04-19" totalsRowFunction="average" dataDxfId="698">
      <calculatedColumnFormula>SUMIFS(DataRegularSeason20242025!$AA$3:$AA$1314,DataRegularSeason20242025!$B$3:$B$1314, "&lt;=" &amp; GT$1, DataRegularSeason20242025!$D$3:$D$1314, $A2)+SUMIFS(DataRegularSeason20242025!$AB$3:$AB$1314,DataRegularSeason20242025!$B$3:$B$1314, "&lt;=" &amp; GT$1, DataRegularSeason20242025!$E$3:$E$1314, $A2)</calculatedColumnFormula>
    </tableColumn>
    <tableColumn id="201" xr3:uid="{BF7EAF0B-8161-4D9A-8F96-AA2053C3935E}" name="2026-04-20" totalsRowFunction="average" dataDxfId="697">
      <calculatedColumnFormula>SUMIFS(DataRegularSeason20242025!$AA$3:$AA$1314,DataRegularSeason20242025!$B$3:$B$1314, "&lt;=" &amp; GU$1, DataRegularSeason20242025!$D$3:$D$1314, $A2)+SUMIFS(DataRegularSeason20242025!$AB$3:$AB$1314,DataRegularSeason20242025!$B$3:$B$1314, "&lt;=" &amp; GU$1, DataRegularSeason20242025!$E$3:$E$1314, $A2)</calculatedColumnFormula>
    </tableColumn>
    <tableColumn id="202" xr3:uid="{495DB4D4-CC86-44B5-8FC8-3E015263DE6C}" name="2025-04-21" dataDxfId="696"/>
    <tableColumn id="203" xr3:uid="{EF04B5B5-9142-4C44-8A69-7BDEC74C0F2F}" name="2025-04-22" dataDxfId="695"/>
    <tableColumn id="204" xr3:uid="{82B364E6-C40F-4EA4-B27D-9C321844B44D}" name="2025-04-23" dataDxfId="694"/>
    <tableColumn id="205" xr3:uid="{A3EE5B43-B6BC-40EA-85FF-398957E3EC07}" name="2025-04-24" dataDxfId="693"/>
    <tableColumn id="206" xr3:uid="{8772AE8A-933D-46C1-B9C1-60B6C8185E8A}" name="2025-04-25" dataDxfId="692"/>
    <tableColumn id="207" xr3:uid="{484C07C8-EBA2-453D-B583-F930911565C0}" name="2025-04-26" dataDxfId="691"/>
    <tableColumn id="208" xr3:uid="{B52D8603-B5B2-488C-A433-34FD2A683C6B}" name="2025-04-27" dataDxfId="690"/>
    <tableColumn id="209" xr3:uid="{169BF9D8-EE52-429B-B28E-9B5C27822A41}" name="2025-04-28" dataDxfId="689"/>
    <tableColumn id="210" xr3:uid="{84174DF3-C71A-4E90-8847-B6C7B782A654}" name="2025-04-29" dataDxfId="688"/>
    <tableColumn id="211" xr3:uid="{206EDDC5-46BB-4D3A-9BE0-E0197053913D}" name="2025-04-30" dataDxfId="687"/>
    <tableColumn id="212" xr3:uid="{366CA1C4-A2DF-4B3E-A696-C1F3BBAD987A}" name="2025-05-01" dataDxfId="686"/>
    <tableColumn id="213" xr3:uid="{77111EA0-AC60-4806-8C9E-118542B3A239}" name="2025-05-02" dataDxfId="685"/>
    <tableColumn id="214" xr3:uid="{5F31DB5D-F68F-497F-A3C0-14D09C735B50}" name="2025-05-03" dataDxfId="684"/>
    <tableColumn id="215" xr3:uid="{053478A4-6AB5-46FA-AB15-755FCEDA366B}" name="2025-05-04" dataDxfId="683"/>
    <tableColumn id="216" xr3:uid="{E63F8AFE-33C8-44CE-ABD5-87AFA2B2DEE5}" name="2025-05-05" dataDxfId="682"/>
    <tableColumn id="217" xr3:uid="{0F704A9A-705A-4A63-A5CB-2E2030610C2C}" name="2025-05-06" dataDxfId="681"/>
    <tableColumn id="218" xr3:uid="{5C606A6D-1C96-4494-A223-4347F237E33C}" name="2025-05-07" dataDxfId="680"/>
    <tableColumn id="219" xr3:uid="{28C842CB-95E9-41FC-9A54-6285101CA2E4}" name="2025-05-08" dataDxfId="679"/>
    <tableColumn id="220" xr3:uid="{A5ED12A3-494D-4396-97B2-620410EAB47C}" name="2025-05-09" dataDxfId="678"/>
    <tableColumn id="221" xr3:uid="{0A5ABB48-A153-4B93-9AF3-A6C216F7B6FC}" name="2025-05-10" dataDxfId="677"/>
    <tableColumn id="222" xr3:uid="{0405F07C-691E-4156-B1AB-789FB58D118D}" name="2025-05-11" dataDxfId="676"/>
    <tableColumn id="223" xr3:uid="{246E8105-028E-4D2B-A83D-CB77EA9C86B5}" name="2025-05-12" dataDxfId="675"/>
    <tableColumn id="224" xr3:uid="{D81920D6-A5AC-4A82-B2FA-98E67E362CE3}" name="2025-05-13" dataDxfId="674"/>
    <tableColumn id="225" xr3:uid="{CC727698-0496-467C-971F-D75A82A7EBDF}" name="2025-05-14" dataDxfId="673"/>
    <tableColumn id="226" xr3:uid="{339361FD-67CC-4E23-9ACB-B74553C52593}" name="2025-05-15" dataDxfId="672"/>
    <tableColumn id="227" xr3:uid="{4DE55659-72B2-4210-9353-7D9C4CCCE733}" name="2025-05-16" dataDxfId="671"/>
    <tableColumn id="228" xr3:uid="{6215F3BA-5DFF-4976-BC80-78E30D01889D}" name="2025-05-17" dataDxfId="670"/>
    <tableColumn id="229" xr3:uid="{50DA08D7-FC7B-49B0-B3F4-1C4635DE3032}" name="2025-05-18" dataDxfId="669"/>
    <tableColumn id="230" xr3:uid="{30BC1EC6-2069-4300-8391-810C9EC04511}" name="2025-05-19" dataDxfId="668"/>
    <tableColumn id="231" xr3:uid="{3043D2FE-95E0-48AF-ACD8-B5634AE3E9D5}" name="2025-05-20" dataDxfId="667"/>
    <tableColumn id="232" xr3:uid="{A1EAF0F2-FC84-4670-AAF9-B5A7CCF2C92A}" name="2025-05-21" dataDxfId="666"/>
    <tableColumn id="233" xr3:uid="{777586C1-D3DF-470E-B1DC-EF50B354B885}" name="2025-05-22" dataDxfId="665"/>
    <tableColumn id="234" xr3:uid="{F9D2BEE5-0C9C-4591-9625-B5A40D8C6987}" name="2025-05-23" dataDxfId="664"/>
    <tableColumn id="235" xr3:uid="{D5CB1CD3-1B56-4F97-9378-63F4D461B94D}" name="2025-05-24" dataDxfId="663"/>
    <tableColumn id="236" xr3:uid="{4474AF3B-88F1-40B9-B58F-5CC8F0AAE000}" name="2025-05-25" dataDxfId="662"/>
    <tableColumn id="237" xr3:uid="{DD6FFB66-C370-442C-9825-05FDB743FE00}" name="2025-05-26" dataDxfId="661"/>
    <tableColumn id="238" xr3:uid="{9BE32098-E719-426B-8143-7E12C6A3F46A}" name="2025-05-27" dataDxfId="660"/>
    <tableColumn id="239" xr3:uid="{F5D1C276-6464-4D7F-BCBD-5336B596A903}" name="2025-05-28" dataDxfId="659"/>
    <tableColumn id="240" xr3:uid="{31B515AE-008A-4669-8CEE-771E1638A518}" name="2025-05-29" dataDxfId="658"/>
    <tableColumn id="241" xr3:uid="{3200C033-4974-4D1B-A44C-3F837D42D2DC}" name="2025-05-30" dataDxfId="657"/>
    <tableColumn id="242" xr3:uid="{4D4CDA41-067D-4DA0-95F0-4823FC08D4E5}" name="2025-05-31" dataDxfId="656"/>
    <tableColumn id="243" xr3:uid="{3DBF5A2B-0E33-4E1C-9DC2-18CA4F0A1493}" name="2025-06-01" dataDxfId="655"/>
    <tableColumn id="244" xr3:uid="{9D3D72D9-161F-4909-8971-6C5C7D46BAA7}" name="2025-06-02" dataDxfId="654"/>
    <tableColumn id="245" xr3:uid="{232663AE-B137-4CF8-A170-52E93C00C65D}" name="2025-06-03" dataDxfId="653"/>
    <tableColumn id="246" xr3:uid="{BD7A6004-6162-4AC8-9110-BA5E6A9D1049}" name="2025-06-04" dataDxfId="652"/>
    <tableColumn id="247" xr3:uid="{C0AA2183-97B0-473E-8388-F06F8164380F}" name="2025-06-05" dataDxfId="651"/>
    <tableColumn id="248" xr3:uid="{F84BC399-3949-4C18-ABAA-64C17BEA5CE0}" name="2025-06-06" dataDxfId="650"/>
    <tableColumn id="249" xr3:uid="{4A9CC113-874C-4FC8-A1A6-63A95A893D95}" name="2025-06-07" dataDxfId="649"/>
    <tableColumn id="250" xr3:uid="{6A253FC8-C38B-4237-BE92-22BD7FDA4D1D}" name="2025-06-08" dataDxfId="648"/>
    <tableColumn id="251" xr3:uid="{ABD1D9B8-A62F-43C7-8867-D07F901B294B}" name="2025-06-09" dataDxfId="647"/>
    <tableColumn id="252" xr3:uid="{FF84CAE4-B5B3-4E8C-ACD5-281ECE9DA5EB}" name="2025-06-10" dataDxfId="646"/>
    <tableColumn id="253" xr3:uid="{06E2F1E1-34E4-442D-91B3-36F14418A6DD}" name="2025-06-11" dataDxfId="645"/>
    <tableColumn id="254" xr3:uid="{00DD0F40-05DE-4EF1-9263-6F11B02C8F66}" name="2025-06-12" dataDxfId="644"/>
    <tableColumn id="255" xr3:uid="{B3BC126B-C9C6-4541-B7BF-8E0A8AF13283}" name="2025-06-13" dataDxfId="643"/>
    <tableColumn id="256" xr3:uid="{58A93E20-2E09-42D6-83C4-3187C52FC2C9}" name="2025-06-14" dataDxfId="642"/>
    <tableColumn id="257" xr3:uid="{99B8A1B1-1594-47C1-A779-5AE979AC6886}" name="2025-06-15" dataDxfId="641"/>
    <tableColumn id="258" xr3:uid="{DB9B71D0-083F-40C9-99EC-EA2500168DB1}" name="2025-06-16" dataDxfId="640"/>
    <tableColumn id="259" xr3:uid="{F368A8EF-CA23-49A5-84B6-E087A332E315}" name="2025-06-17" dataDxfId="639"/>
    <tableColumn id="260" xr3:uid="{F2B11177-CB50-47EB-87ED-A437D4F32F8E}" name="2025-06-18" dataDxfId="638"/>
    <tableColumn id="261" xr3:uid="{F21EDA7F-2C76-45F1-AB9D-D35BEE4425F3}" name="2025-06-19" dataDxfId="637"/>
    <tableColumn id="262" xr3:uid="{527A99F6-045E-4293-955B-C68E4AD9052A}" name="2025-06-20" dataDxfId="636"/>
    <tableColumn id="263" xr3:uid="{99DC238A-A4C6-4EAE-82AC-FCA02043D4EA}" name="2025-06-21" dataDxfId="635"/>
    <tableColumn id="264" xr3:uid="{43477D6D-E749-4FFF-9062-9F92408792BE}" name="2025-06-22" dataDxfId="634"/>
    <tableColumn id="265" xr3:uid="{13D87D26-AA45-4778-8BD5-BDB665171820}" name="2025-06-23" dataDxfId="633"/>
    <tableColumn id="266" xr3:uid="{3DF15EBF-5CB5-4787-8409-9F983729C815}" name="2025-06-24" dataDxfId="632"/>
    <tableColumn id="267" xr3:uid="{71F1B423-DE3D-4704-B52D-D6660BE9B52F}" name="2025-06-25" dataDxfId="631"/>
    <tableColumn id="268" xr3:uid="{E9D496DF-4D64-42C9-9857-E5FCB3FF66F8}" name="2025-06-26" dataDxfId="630"/>
    <tableColumn id="269" xr3:uid="{21A1EEB8-CF48-4BFB-9EB7-3E5069338279}" name="2025-06-27" dataDxfId="629"/>
    <tableColumn id="270" xr3:uid="{05C6922F-BFAD-40A6-BF87-21B77F0394F1}" name="2025-06-28" dataDxfId="628"/>
    <tableColumn id="271" xr3:uid="{8929460E-C610-4A2C-A152-7ADD44E2FE12}" name="2025-06-29" dataDxfId="627"/>
    <tableColumn id="272" xr3:uid="{4C8830FB-F1D3-4D12-BD25-337AA191C58D}" name="2025-06-30" dataDxfId="626"/>
    <tableColumn id="273" xr3:uid="{AC1A3332-3064-4E0E-BA13-DA3DA202B941}" name="2025-07-01" totalsRowFunction="count" dataDxfId="62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624" dataDxfId="623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622"/>
    <tableColumn id="274" xr3:uid="{496FDEA5-9D1C-4D6A-9EBD-6C1BABCB49AE}" name="Conf" dataDxfId="621"/>
    <tableColumn id="275" xr3:uid="{86FFCC5F-9815-48BA-836C-2576F2F03D77}" name="Div" dataDxfId="620"/>
    <tableColumn id="2" xr3:uid="{BEE4EC6C-76A9-496A-A1D8-CBB882332D70}" name="2024-10-03" totalsRowFunction="average" dataDxfId="619">
      <calculatedColumnFormula>SUMIFS(DataRegularSeason20242025!$AA$3:$AA$1314,DataRegularSeason20242025!$B$3:$B$1314, "&lt;=" &amp; D$1, DataRegularSeason20242025!$D$3:$D$1314, $A38)+SUMIFS(DataRegularSeason20242025!$AB$3:$AB$1314,DataRegularSeason20242025!$B$3:$B$1314, "&lt;=" &amp; D$1, DataRegularSeason20242025!$E$3:$E$1314, $A38)</calculatedColumnFormula>
    </tableColumn>
    <tableColumn id="3" xr3:uid="{CD1B8365-819B-430F-912B-16320D021178}" name="2024-10-04" totalsRowFunction="average" dataDxfId="618">
      <calculatedColumnFormula>SUMIFS(DataRegularSeason20242025!$AA$3:$AA$1314,DataRegularSeason20242025!$B$3:$B$1314, "&lt;=" &amp; E$1, DataRegularSeason20242025!$D$3:$D$1314, $A38)+SUMIFS(DataRegularSeason20242025!$AB$3:$AB$1314,DataRegularSeason20242025!$B$3:$B$1314, "&lt;=" &amp; E$1, DataRegularSeason20242025!$E$3:$E$1314, $A38)</calculatedColumnFormula>
    </tableColumn>
    <tableColumn id="4" xr3:uid="{BC3ACE49-4F2B-458A-AA31-BA9353AD7870}" name="2024-10-05" totalsRowFunction="average" dataDxfId="617">
      <calculatedColumnFormula>SUMIFS(DataRegularSeason20242025!$AA$3:$AA$1314,DataRegularSeason20242025!$B$3:$B$1314, "&lt;=" &amp; F$1, DataRegularSeason20242025!$D$3:$D$1314, $A38)+SUMIFS(DataRegularSeason20242025!$AB$3:$AB$1314,DataRegularSeason20242025!$B$3:$B$1314, "&lt;=" &amp; F$1, DataRegularSeason20242025!$E$3:$E$1314, $A38)</calculatedColumnFormula>
    </tableColumn>
    <tableColumn id="5" xr3:uid="{E1CE0526-BD6A-4A10-B3DE-B730394E841A}" name="2024-10-06" totalsRowFunction="average" dataDxfId="616">
      <calculatedColumnFormula>SUMIFS(DataRegularSeason20242025!$AA$3:$AA$1314,DataRegularSeason20242025!$B$3:$B$1314, "&lt;=" &amp; G$1, DataRegularSeason20242025!$D$3:$D$1314, $A38)+SUMIFS(DataRegularSeason20242025!$AB$3:$AB$1314,DataRegularSeason20242025!$B$3:$B$1314, "&lt;=" &amp; G$1, DataRegularSeason20242025!$E$3:$E$1314, $A38)</calculatedColumnFormula>
    </tableColumn>
    <tableColumn id="6" xr3:uid="{731A8457-7D7F-43D7-BAFA-D93679CA4EB0}" name="2024-10-07" totalsRowFunction="average" dataDxfId="615">
      <calculatedColumnFormula>SUMIFS(DataRegularSeason20242025!$AA$3:$AA$1314,DataRegularSeason20242025!$B$3:$B$1314, "&lt;=" &amp; H$1, DataRegularSeason20242025!$D$3:$D$1314, $A38)+SUMIFS(DataRegularSeason20242025!$AB$3:$AB$1314,DataRegularSeason20242025!$B$3:$B$1314, "&lt;=" &amp; H$1, DataRegularSeason20242025!$E$3:$E$1314, $A38)</calculatedColumnFormula>
    </tableColumn>
    <tableColumn id="7" xr3:uid="{C70F5097-28BA-4B3F-A99C-B3FA08B2C992}" name="2024-10-08" totalsRowFunction="average" dataDxfId="614">
      <calculatedColumnFormula>SUMIFS(DataRegularSeason20242025!$AA$3:$AA$1314,DataRegularSeason20242025!$B$3:$B$1314, "&lt;=" &amp; I$1, DataRegularSeason20242025!$D$3:$D$1314, $A38)+SUMIFS(DataRegularSeason20242025!$AB$3:$AB$1314,DataRegularSeason20242025!$B$3:$B$1314, "&lt;=" &amp; I$1, DataRegularSeason20242025!$E$3:$E$1314, $A38)</calculatedColumnFormula>
    </tableColumn>
    <tableColumn id="8" xr3:uid="{13E5FDB7-E708-49C9-BADE-B34E5E755E8F}" name="2024-10-09" totalsRowFunction="average" dataDxfId="613">
      <calculatedColumnFormula>SUMIFS(DataRegularSeason20242025!$AA$3:$AA$1314,DataRegularSeason20242025!$B$3:$B$1314, "&lt;=" &amp; J$1, DataRegularSeason20242025!$D$3:$D$1314, $A38)+SUMIFS(DataRegularSeason20242025!$AB$3:$AB$1314,DataRegularSeason20242025!$B$3:$B$1314, "&lt;=" &amp; J$1, DataRegularSeason20242025!$E$3:$E$1314, $A38)</calculatedColumnFormula>
    </tableColumn>
    <tableColumn id="9" xr3:uid="{B666CDB2-7B2A-401B-9848-B7FA3EBD669E}" name="2024-10-10" totalsRowFunction="average" dataDxfId="612">
      <calculatedColumnFormula>SUMIFS(DataRegularSeason20242025!$AA$3:$AA$1314,DataRegularSeason20242025!$B$3:$B$1314, "&lt;=" &amp; K$1, DataRegularSeason20242025!$D$3:$D$1314, $A38)+SUMIFS(DataRegularSeason20242025!$AB$3:$AB$1314,DataRegularSeason20242025!$B$3:$B$1314, "&lt;=" &amp; K$1, DataRegularSeason20242025!$E$3:$E$1314, $A38)</calculatedColumnFormula>
    </tableColumn>
    <tableColumn id="10" xr3:uid="{7F1FDD66-BDC4-4B0F-A296-1D3A4595B5D9}" name="2024-10-11" totalsRowFunction="average" dataDxfId="611">
      <calculatedColumnFormula>SUMIFS(DataRegularSeason20242025!$AA$3:$AA$1314,DataRegularSeason20242025!$B$3:$B$1314, "&lt;=" &amp; L$1, DataRegularSeason20242025!$D$3:$D$1314, $A38)+SUMIFS(DataRegularSeason20242025!$AB$3:$AB$1314,DataRegularSeason20242025!$B$3:$B$1314, "&lt;=" &amp; L$1, DataRegularSeason20242025!$E$3:$E$1314, $A38)</calculatedColumnFormula>
    </tableColumn>
    <tableColumn id="11" xr3:uid="{55A64615-C1DC-42B3-A729-8A9DC0B331E3}" name="2024-10-12" totalsRowFunction="average" dataDxfId="610">
      <calculatedColumnFormula>SUMIFS(DataRegularSeason20242025!$AA$3:$AA$1314,DataRegularSeason20242025!$B$3:$B$1314, "&lt;=" &amp; M$1, DataRegularSeason20242025!$D$3:$D$1314, $A38)+SUMIFS(DataRegularSeason20242025!$AB$3:$AB$1314,DataRegularSeason20242025!$B$3:$B$1314, "&lt;=" &amp; M$1, DataRegularSeason20242025!$E$3:$E$1314, $A38)</calculatedColumnFormula>
    </tableColumn>
    <tableColumn id="12" xr3:uid="{6EA0BFF4-D7D0-451C-B94E-C999BBEB26A4}" name="2024-10-13" totalsRowFunction="average" dataDxfId="609">
      <calculatedColumnFormula>SUMIFS(DataRegularSeason20242025!$AA$3:$AA$1314,DataRegularSeason20242025!$B$3:$B$1314, "&lt;=" &amp; N$1, DataRegularSeason20242025!$D$3:$D$1314, $A38)+SUMIFS(DataRegularSeason20242025!$AB$3:$AB$1314,DataRegularSeason20242025!$B$3:$B$1314, "&lt;=" &amp; N$1, DataRegularSeason20242025!$E$3:$E$1314, $A38)</calculatedColumnFormula>
    </tableColumn>
    <tableColumn id="13" xr3:uid="{805735A9-1013-4620-AD28-D1817A207018}" name="2024-10-14" totalsRowFunction="average" dataDxfId="608">
      <calculatedColumnFormula>SUMIFS(DataRegularSeason20242025!$AA$3:$AA$1314,DataRegularSeason20242025!$B$3:$B$1314, "&lt;=" &amp; O$1, DataRegularSeason20242025!$D$3:$D$1314, $A38)+SUMIFS(DataRegularSeason20242025!$AB$3:$AB$1314,DataRegularSeason20242025!$B$3:$B$1314, "&lt;=" &amp; O$1, DataRegularSeason20242025!$E$3:$E$1314, $A38)</calculatedColumnFormula>
    </tableColumn>
    <tableColumn id="14" xr3:uid="{9D4D0BDC-2247-4E31-9232-2408C3DE93CF}" name="2024-10-15" totalsRowFunction="average" dataDxfId="607">
      <calculatedColumnFormula>SUMIFS(DataRegularSeason20242025!$AA$3:$AA$1314,DataRegularSeason20242025!$B$3:$B$1314, "&lt;=" &amp; P$1, DataRegularSeason20242025!$D$3:$D$1314, $A38)+SUMIFS(DataRegularSeason20242025!$AB$3:$AB$1314,DataRegularSeason20242025!$B$3:$B$1314, "&lt;=" &amp; P$1, DataRegularSeason20242025!$E$3:$E$1314, $A38)</calculatedColumnFormula>
    </tableColumn>
    <tableColumn id="15" xr3:uid="{17EDA07D-C270-4FDE-B23F-024E5C706C8E}" name="2024-10-16" totalsRowFunction="average" dataDxfId="606">
      <calculatedColumnFormula>SUMIFS(DataRegularSeason20242025!$AA$3:$AA$1314,DataRegularSeason20242025!$B$3:$B$1314, "&lt;=" &amp; Q$1, DataRegularSeason20242025!$D$3:$D$1314, $A38)+SUMIFS(DataRegularSeason20242025!$AB$3:$AB$1314,DataRegularSeason20242025!$B$3:$B$1314, "&lt;=" &amp; Q$1, DataRegularSeason20242025!$E$3:$E$1314, $A38)</calculatedColumnFormula>
    </tableColumn>
    <tableColumn id="16" xr3:uid="{647436BB-8A7A-4562-A4BB-4EED7130980A}" name="2024-10-17" totalsRowFunction="average" dataDxfId="605">
      <calculatedColumnFormula>SUMIFS(DataRegularSeason20242025!$AA$3:$AA$1314,DataRegularSeason20242025!$B$3:$B$1314, "&lt;=" &amp; R$1, DataRegularSeason20242025!$D$3:$D$1314, $A38)+SUMIFS(DataRegularSeason20242025!$AB$3:$AB$1314,DataRegularSeason20242025!$B$3:$B$1314, "&lt;=" &amp; R$1, DataRegularSeason20242025!$E$3:$E$1314, $A38)</calculatedColumnFormula>
    </tableColumn>
    <tableColumn id="17" xr3:uid="{EC1B2024-D87A-46ED-A07A-9406F736AA23}" name="2024-10-18" totalsRowFunction="average" dataDxfId="604">
      <calculatedColumnFormula>SUMIFS(DataRegularSeason20242025!$AA$3:$AA$1314,DataRegularSeason20242025!$B$3:$B$1314, "&lt;=" &amp; S$1, DataRegularSeason20242025!$D$3:$D$1314, $A38)+SUMIFS(DataRegularSeason20242025!$AB$3:$AB$1314,DataRegularSeason20242025!$B$3:$B$1314, "&lt;=" &amp; S$1, DataRegularSeason20242025!$E$3:$E$1314, $A38)</calculatedColumnFormula>
    </tableColumn>
    <tableColumn id="18" xr3:uid="{D464B0A9-A9FD-4633-BE50-6437EF31ECC0}" name="2024-10-19" totalsRowFunction="average" dataDxfId="603">
      <calculatedColumnFormula>SUMIFS(DataRegularSeason20242025!$AA$3:$AA$1314,DataRegularSeason20242025!$B$3:$B$1314, "&lt;=" &amp; T$1, DataRegularSeason20242025!$D$3:$D$1314, $A38)+SUMIFS(DataRegularSeason20242025!$AB$3:$AB$1314,DataRegularSeason20242025!$B$3:$B$1314, "&lt;=" &amp; T$1, DataRegularSeason20242025!$E$3:$E$1314, $A38)</calculatedColumnFormula>
    </tableColumn>
    <tableColumn id="19" xr3:uid="{F4765BC6-B0A9-4ABC-A887-81010BC98311}" name="2024-10-20" totalsRowFunction="average" dataDxfId="602">
      <calculatedColumnFormula>SUMIFS(DataRegularSeason20242025!$AA$3:$AA$1314,DataRegularSeason20242025!$B$3:$B$1314, "&lt;=" &amp; U$1, DataRegularSeason20242025!$D$3:$D$1314, $A38)+SUMIFS(DataRegularSeason20242025!$AB$3:$AB$1314,DataRegularSeason20242025!$B$3:$B$1314, "&lt;=" &amp; U$1, DataRegularSeason20242025!$E$3:$E$1314, $A38)</calculatedColumnFormula>
    </tableColumn>
    <tableColumn id="20" xr3:uid="{625BE4AA-CC5C-4547-8FA8-02FB6C272B04}" name="2024-10-21" totalsRowFunction="average" dataDxfId="601">
      <calculatedColumnFormula>SUMIFS(DataRegularSeason20242025!$AA$3:$AA$1314,DataRegularSeason20242025!$B$3:$B$1314, "&lt;=" &amp; V$1, DataRegularSeason20242025!$D$3:$D$1314, $A38)+SUMIFS(DataRegularSeason20242025!$AB$3:$AB$1314,DataRegularSeason20242025!$B$3:$B$1314, "&lt;=" &amp; V$1, DataRegularSeason20242025!$E$3:$E$1314, $A38)</calculatedColumnFormula>
    </tableColumn>
    <tableColumn id="21" xr3:uid="{9A9DC431-FC37-4C11-B738-F12428D1CEC2}" name="2024-10-22" totalsRowFunction="average" dataDxfId="600">
      <calculatedColumnFormula>SUMIFS(DataRegularSeason20242025!$AA$3:$AA$1314,DataRegularSeason20242025!$B$3:$B$1314, "&lt;=" &amp; W$1, DataRegularSeason20242025!$D$3:$D$1314, $A38)+SUMIFS(DataRegularSeason20242025!$AB$3:$AB$1314,DataRegularSeason20242025!$B$3:$B$1314, "&lt;=" &amp; W$1, DataRegularSeason20242025!$E$3:$E$1314, $A38)</calculatedColumnFormula>
    </tableColumn>
    <tableColumn id="22" xr3:uid="{115C8C0E-BB76-45F3-AE4C-F254DBA7F8D7}" name="2024-10-23" totalsRowFunction="average" dataDxfId="599">
      <calculatedColumnFormula>SUMIFS(DataRegularSeason20242025!$AA$3:$AA$1314,DataRegularSeason20242025!$B$3:$B$1314, "&lt;=" &amp; X$1, DataRegularSeason20242025!$D$3:$D$1314, $A38)+SUMIFS(DataRegularSeason20242025!$AB$3:$AB$1314,DataRegularSeason20242025!$B$3:$B$1314, "&lt;=" &amp; X$1, DataRegularSeason20242025!$E$3:$E$1314, $A38)</calculatedColumnFormula>
    </tableColumn>
    <tableColumn id="23" xr3:uid="{F2DF653A-F1D3-482D-AE04-38B3AC168481}" name="2024-10-24" totalsRowFunction="average" dataDxfId="598">
      <calculatedColumnFormula>SUMIFS(DataRegularSeason20242025!$AA$3:$AA$1314,DataRegularSeason20242025!$B$3:$B$1314, "&lt;=" &amp; Y$1, DataRegularSeason20242025!$D$3:$D$1314, $A38)+SUMIFS(DataRegularSeason20242025!$AB$3:$AB$1314,DataRegularSeason20242025!$B$3:$B$1314, "&lt;=" &amp; Y$1, DataRegularSeason20242025!$E$3:$E$1314, $A38)</calculatedColumnFormula>
    </tableColumn>
    <tableColumn id="24" xr3:uid="{63316CB7-BD1E-4490-9AF3-B9043C374C5C}" name="2024-10-25" totalsRowFunction="average" dataDxfId="597">
      <calculatedColumnFormula>SUMIFS(DataRegularSeason20242025!$AA$3:$AA$1314,DataRegularSeason20242025!$B$3:$B$1314, "&lt;=" &amp; Z$1, DataRegularSeason20242025!$D$3:$D$1314, $A38)+SUMIFS(DataRegularSeason20242025!$AB$3:$AB$1314,DataRegularSeason20242025!$B$3:$B$1314, "&lt;=" &amp; Z$1, DataRegularSeason20242025!$E$3:$E$1314, $A38)</calculatedColumnFormula>
    </tableColumn>
    <tableColumn id="25" xr3:uid="{1D06FFD1-EB84-40E2-BA6D-7BE6ADD5FA4D}" name="2024-10-26" totalsRowFunction="average" dataDxfId="596">
      <calculatedColumnFormula>SUMIFS(DataRegularSeason20242025!$AA$3:$AA$1314,DataRegularSeason20242025!$B$3:$B$1314, "&lt;=" &amp; AA$1, DataRegularSeason20242025!$D$3:$D$1314, $A38)+SUMIFS(DataRegularSeason20242025!$AB$3:$AB$1314,DataRegularSeason20242025!$B$3:$B$1314, "&lt;=" &amp; AA$1, DataRegularSeason20242025!$E$3:$E$1314, $A38)</calculatedColumnFormula>
    </tableColumn>
    <tableColumn id="26" xr3:uid="{581C9400-1954-4254-B627-6850528370D4}" name="2024-10-27" totalsRowFunction="average" dataDxfId="595">
      <calculatedColumnFormula>SUMIFS(DataRegularSeason20242025!$AA$3:$AA$1314,DataRegularSeason20242025!$B$3:$B$1314, "&lt;=" &amp; AB$1, DataRegularSeason20242025!$D$3:$D$1314, $A38)+SUMIFS(DataRegularSeason20242025!$AB$3:$AB$1314,DataRegularSeason20242025!$B$3:$B$1314, "&lt;=" &amp; AB$1, DataRegularSeason20242025!$E$3:$E$1314, $A38)</calculatedColumnFormula>
    </tableColumn>
    <tableColumn id="27" xr3:uid="{C9B6BB6B-CD92-4A91-A479-38C1C3F9F650}" name="2024-10-28" totalsRowFunction="average" dataDxfId="594">
      <calculatedColumnFormula>SUMIFS(DataRegularSeason20242025!$AA$3:$AA$1314,DataRegularSeason20242025!$B$3:$B$1314, "&lt;=" &amp; AC$1, DataRegularSeason20242025!$D$3:$D$1314, $A38)+SUMIFS(DataRegularSeason20242025!$AB$3:$AB$1314,DataRegularSeason20242025!$B$3:$B$1314, "&lt;=" &amp; AC$1, DataRegularSeason20242025!$E$3:$E$1314, $A38)</calculatedColumnFormula>
    </tableColumn>
    <tableColumn id="28" xr3:uid="{9BB5DC97-E38C-4F00-BE8D-6E6D36FD4B96}" name="2024-10-29" totalsRowFunction="average" dataDxfId="593">
      <calculatedColumnFormula>SUMIFS(DataRegularSeason20242025!$AA$3:$AA$1314,DataRegularSeason20242025!$B$3:$B$1314, "&lt;=" &amp; AD$1, DataRegularSeason20242025!$D$3:$D$1314, $A38)+SUMIFS(DataRegularSeason20242025!$AB$3:$AB$1314,DataRegularSeason20242025!$B$3:$B$1314, "&lt;=" &amp; AD$1, DataRegularSeason20242025!$E$3:$E$1314, $A38)</calculatedColumnFormula>
    </tableColumn>
    <tableColumn id="29" xr3:uid="{277B9149-44E9-46BF-955A-C43A620C5749}" name="2024-10-30" totalsRowFunction="average" dataDxfId="592">
      <calculatedColumnFormula>SUMIFS(DataRegularSeason20242025!$AA$3:$AA$1314,DataRegularSeason20242025!$B$3:$B$1314, "&lt;=" &amp; AE$1, DataRegularSeason20242025!$D$3:$D$1314, $A38)+SUMIFS(DataRegularSeason20242025!$AB$3:$AB$1314,DataRegularSeason20242025!$B$3:$B$1314, "&lt;=" &amp; AE$1, DataRegularSeason20242025!$E$3:$E$1314, $A38)</calculatedColumnFormula>
    </tableColumn>
    <tableColumn id="30" xr3:uid="{407E1D9E-B75A-4EC6-BB3D-ECBE53C87225}" name="2024-10-31" totalsRowFunction="average" dataDxfId="591">
      <calculatedColumnFormula>SUMIFS(DataRegularSeason20242025!$AA$3:$AA$1314,DataRegularSeason20242025!$B$3:$B$1314, "&lt;=" &amp; AF$1, DataRegularSeason20242025!$D$3:$D$1314, $A38)+SUMIFS(DataRegularSeason20242025!$AB$3:$AB$1314,DataRegularSeason20242025!$B$3:$B$1314, "&lt;=" &amp; AF$1, DataRegularSeason20242025!$E$3:$E$1314, $A38)</calculatedColumnFormula>
    </tableColumn>
    <tableColumn id="31" xr3:uid="{159B9147-9A52-4BF0-A66B-073C2B6220AB}" name="2024-11-01" totalsRowFunction="average" dataDxfId="590">
      <calculatedColumnFormula>SUMIFS(DataRegularSeason20242025!$AA$3:$AA$1314,DataRegularSeason20242025!$B$3:$B$1314, "&lt;=" &amp; AG$1, DataRegularSeason20242025!$D$3:$D$1314, $A38)+SUMIFS(DataRegularSeason20242025!$AB$3:$AB$1314,DataRegularSeason20242025!$B$3:$B$1314, "&lt;=" &amp; AG$1, DataRegularSeason20242025!$E$3:$E$1314, $A38)</calculatedColumnFormula>
    </tableColumn>
    <tableColumn id="32" xr3:uid="{6FFAC87B-8005-4E4D-B46A-7589F0182B6E}" name="2024-11-02" totalsRowFunction="average" dataDxfId="589">
      <calculatedColumnFormula>SUMIFS(DataRegularSeason20242025!$AA$3:$AA$1314,DataRegularSeason20242025!$B$3:$B$1314, "&lt;=" &amp; AH$1, DataRegularSeason20242025!$D$3:$D$1314, $A38)+SUMIFS(DataRegularSeason20242025!$AB$3:$AB$1314,DataRegularSeason20242025!$B$3:$B$1314, "&lt;=" &amp; AH$1, DataRegularSeason20242025!$E$3:$E$1314, $A38)</calculatedColumnFormula>
    </tableColumn>
    <tableColumn id="33" xr3:uid="{F9ABCB5A-2F95-41D1-8F58-C7F475D24A42}" name="2024-11-03" totalsRowFunction="average" dataDxfId="588">
      <calculatedColumnFormula>SUMIFS(DataRegularSeason20242025!$AA$3:$AA$1314,DataRegularSeason20242025!$B$3:$B$1314, "&lt;=" &amp; AI$1, DataRegularSeason20242025!$D$3:$D$1314, $A38)+SUMIFS(DataRegularSeason20242025!$AB$3:$AB$1314,DataRegularSeason20242025!$B$3:$B$1314, "&lt;=" &amp; AI$1, DataRegularSeason20242025!$E$3:$E$1314, $A38)</calculatedColumnFormula>
    </tableColumn>
    <tableColumn id="34" xr3:uid="{526ECD17-60F4-4186-BF17-3C07435CE33A}" name="2024-11-04" totalsRowFunction="average" dataDxfId="587">
      <calculatedColumnFormula>SUMIFS(DataRegularSeason20242025!$AA$3:$AA$1314,DataRegularSeason20242025!$B$3:$B$1314, "&lt;=" &amp; AJ$1, DataRegularSeason20242025!$D$3:$D$1314, $A38)+SUMIFS(DataRegularSeason20242025!$AB$3:$AB$1314,DataRegularSeason20242025!$B$3:$B$1314, "&lt;=" &amp; AJ$1, DataRegularSeason20242025!$E$3:$E$1314, $A38)</calculatedColumnFormula>
    </tableColumn>
    <tableColumn id="35" xr3:uid="{AF6927DF-8BF8-4C78-912A-291D9DFC9436}" name="2024-11-05" totalsRowFunction="average" dataDxfId="586">
      <calculatedColumnFormula>SUMIFS(DataRegularSeason20242025!$AA$3:$AA$1314,DataRegularSeason20242025!$B$3:$B$1314, "&lt;=" &amp; AK$1, DataRegularSeason20242025!$D$3:$D$1314, $A38)+SUMIFS(DataRegularSeason20242025!$AB$3:$AB$1314,DataRegularSeason20242025!$B$3:$B$1314, "&lt;=" &amp; AK$1, DataRegularSeason20242025!$E$3:$E$1314, $A38)</calculatedColumnFormula>
    </tableColumn>
    <tableColumn id="36" xr3:uid="{8EF1347B-221B-4FAE-AC82-3442A8884B75}" name="2024-11-06" totalsRowFunction="average" dataDxfId="585">
      <calculatedColumnFormula>SUMIFS(DataRegularSeason20242025!$AA$3:$AA$1314,DataRegularSeason20242025!$B$3:$B$1314, "&lt;=" &amp; AL$1, DataRegularSeason20242025!$D$3:$D$1314, $A38)+SUMIFS(DataRegularSeason20242025!$AB$3:$AB$1314,DataRegularSeason20242025!$B$3:$B$1314, "&lt;=" &amp; AL$1, DataRegularSeason20242025!$E$3:$E$1314, $A38)</calculatedColumnFormula>
    </tableColumn>
    <tableColumn id="37" xr3:uid="{BC31F5D7-4569-4D92-92B7-032CA0739CF2}" name="2024-11-07" totalsRowFunction="average" dataDxfId="584">
      <calculatedColumnFormula>SUMIFS(DataRegularSeason20242025!$AA$3:$AA$1314,DataRegularSeason20242025!$B$3:$B$1314, "&lt;=" &amp; AM$1, DataRegularSeason20242025!$D$3:$D$1314, $A38)+SUMIFS(DataRegularSeason20242025!$AB$3:$AB$1314,DataRegularSeason20242025!$B$3:$B$1314, "&lt;=" &amp; AM$1, DataRegularSeason20242025!$E$3:$E$1314, $A38)</calculatedColumnFormula>
    </tableColumn>
    <tableColumn id="38" xr3:uid="{236F1CA3-A876-43A4-970F-A09FE32F4404}" name="2024-11-08" totalsRowFunction="average" dataDxfId="583">
      <calculatedColumnFormula>SUMIFS(DataRegularSeason20242025!$AA$3:$AA$1314,DataRegularSeason20242025!$B$3:$B$1314, "&lt;=" &amp; AN$1, DataRegularSeason20242025!$D$3:$D$1314, $A38)+SUMIFS(DataRegularSeason20242025!$AB$3:$AB$1314,DataRegularSeason20242025!$B$3:$B$1314, "&lt;=" &amp; AN$1, DataRegularSeason20242025!$E$3:$E$1314, $A38)</calculatedColumnFormula>
    </tableColumn>
    <tableColumn id="39" xr3:uid="{8BA5EBD4-2A16-4619-A192-C59D9767A82E}" name="2024-11-09" totalsRowFunction="average" dataDxfId="582">
      <calculatedColumnFormula>SUMIFS(DataRegularSeason20242025!$AA$3:$AA$1314,DataRegularSeason20242025!$B$3:$B$1314, "&lt;=" &amp; AO$1, DataRegularSeason20242025!$D$3:$D$1314, $A38)+SUMIFS(DataRegularSeason20242025!$AB$3:$AB$1314,DataRegularSeason20242025!$B$3:$B$1314, "&lt;=" &amp; AO$1, DataRegularSeason20242025!$E$3:$E$1314, $A38)</calculatedColumnFormula>
    </tableColumn>
    <tableColumn id="40" xr3:uid="{D0F14C8B-AD9A-4F11-A2FC-A58EBA654F52}" name="2024-11-10" totalsRowFunction="average" dataDxfId="581">
      <calculatedColumnFormula>SUMIFS(DataRegularSeason20242025!$AA$3:$AA$1314,DataRegularSeason20242025!$B$3:$B$1314, "&lt;=" &amp; AP$1, DataRegularSeason20242025!$D$3:$D$1314, $A38)+SUMIFS(DataRegularSeason20242025!$AB$3:$AB$1314,DataRegularSeason20242025!$B$3:$B$1314, "&lt;=" &amp; AP$1, DataRegularSeason20242025!$E$3:$E$1314, $A38)</calculatedColumnFormula>
    </tableColumn>
    <tableColumn id="41" xr3:uid="{AEFF1867-2D11-45A0-947B-700562E7F5E4}" name="2024-11-11" totalsRowFunction="average" dataDxfId="580">
      <calculatedColumnFormula>SUMIFS(DataRegularSeason20242025!$AA$3:$AA$1314,DataRegularSeason20242025!$B$3:$B$1314, "&lt;=" &amp; AQ$1, DataRegularSeason20242025!$D$3:$D$1314, $A38)+SUMIFS(DataRegularSeason20242025!$AB$3:$AB$1314,DataRegularSeason20242025!$B$3:$B$1314, "&lt;=" &amp; AQ$1, DataRegularSeason20242025!$E$3:$E$1314, $A38)</calculatedColumnFormula>
    </tableColumn>
    <tableColumn id="42" xr3:uid="{5DB6857A-EC21-4D8A-B378-E50C1F772D45}" name="2024-11-12" totalsRowFunction="average" dataDxfId="579">
      <calculatedColumnFormula>SUMIFS(DataRegularSeason20242025!$AA$3:$AA$1314,DataRegularSeason20242025!$B$3:$B$1314, "&lt;=" &amp; AR$1, DataRegularSeason20242025!$D$3:$D$1314, $A38)+SUMIFS(DataRegularSeason20242025!$AB$3:$AB$1314,DataRegularSeason20242025!$B$3:$B$1314, "&lt;=" &amp; AR$1, DataRegularSeason20242025!$E$3:$E$1314, $A38)</calculatedColumnFormula>
    </tableColumn>
    <tableColumn id="43" xr3:uid="{B484F79D-8A75-4CFB-A2C3-5A02274A3CFB}" name="2024-11-13" totalsRowFunction="average" dataDxfId="578">
      <calculatedColumnFormula>SUMIFS(DataRegularSeason20242025!$AA$3:$AA$1314,DataRegularSeason20242025!$B$3:$B$1314, "&lt;=" &amp; AS$1, DataRegularSeason20242025!$D$3:$D$1314, $A38)+SUMIFS(DataRegularSeason20242025!$AB$3:$AB$1314,DataRegularSeason20242025!$B$3:$B$1314, "&lt;=" &amp; AS$1, DataRegularSeason20242025!$E$3:$E$1314, $A38)</calculatedColumnFormula>
    </tableColumn>
    <tableColumn id="44" xr3:uid="{D14552B8-6458-4FE1-A70E-EF102B61D39B}" name="2024-11-14" totalsRowFunction="average" dataDxfId="577">
      <calculatedColumnFormula>SUMIFS(DataRegularSeason20242025!$AA$3:$AA$1314,DataRegularSeason20242025!$B$3:$B$1314, "&lt;=" &amp; AT$1, DataRegularSeason20242025!$D$3:$D$1314, $A38)+SUMIFS(DataRegularSeason20242025!$AB$3:$AB$1314,DataRegularSeason20242025!$B$3:$B$1314, "&lt;=" &amp; AT$1, DataRegularSeason20242025!$E$3:$E$1314, $A38)</calculatedColumnFormula>
    </tableColumn>
    <tableColumn id="45" xr3:uid="{5C9F98D4-930D-470A-B431-C27279900E88}" name="2024-11-15" totalsRowFunction="average" dataDxfId="576">
      <calculatedColumnFormula>SUMIFS(DataRegularSeason20242025!$AA$3:$AA$1314,DataRegularSeason20242025!$B$3:$B$1314, "&lt;=" &amp; AU$1, DataRegularSeason20242025!$D$3:$D$1314, $A38)+SUMIFS(DataRegularSeason20242025!$AB$3:$AB$1314,DataRegularSeason20242025!$B$3:$B$1314, "&lt;=" &amp; AU$1, DataRegularSeason20242025!$E$3:$E$1314, $A38)</calculatedColumnFormula>
    </tableColumn>
    <tableColumn id="46" xr3:uid="{E761CB6D-B081-4103-AADD-A1246B1BB44B}" name="2024-11-16" totalsRowFunction="average" dataDxfId="575">
      <calculatedColumnFormula>SUMIFS(DataRegularSeason20242025!$AA$3:$AA$1314,DataRegularSeason20242025!$B$3:$B$1314, "&lt;=" &amp; AV$1, DataRegularSeason20242025!$D$3:$D$1314, $A38)+SUMIFS(DataRegularSeason20242025!$AB$3:$AB$1314,DataRegularSeason20242025!$B$3:$B$1314, "&lt;=" &amp; AV$1, DataRegularSeason20242025!$E$3:$E$1314, $A38)</calculatedColumnFormula>
    </tableColumn>
    <tableColumn id="47" xr3:uid="{7495925D-D621-4C4A-9277-3199A1C95649}" name="2024-11-17" totalsRowFunction="average" dataDxfId="574">
      <calculatedColumnFormula>SUMIFS(DataRegularSeason20242025!$AA$3:$AA$1314,DataRegularSeason20242025!$B$3:$B$1314, "&lt;=" &amp; AW$1, DataRegularSeason20242025!$D$3:$D$1314, $A38)+SUMIFS(DataRegularSeason20242025!$AB$3:$AB$1314,DataRegularSeason20242025!$B$3:$B$1314, "&lt;=" &amp; AW$1, DataRegularSeason20242025!$E$3:$E$1314, $A38)</calculatedColumnFormula>
    </tableColumn>
    <tableColumn id="48" xr3:uid="{BD2AE4C4-09C1-40D9-AF2C-943B12ED51CC}" name="2024-11-18" totalsRowFunction="average" dataDxfId="573">
      <calculatedColumnFormula>SUMIFS(DataRegularSeason20242025!$AA$3:$AA$1314,DataRegularSeason20242025!$B$3:$B$1314, "&lt;=" &amp; AX$1, DataRegularSeason20242025!$D$3:$D$1314, $A38)+SUMIFS(DataRegularSeason20242025!$AB$3:$AB$1314,DataRegularSeason20242025!$B$3:$B$1314, "&lt;=" &amp; AX$1, DataRegularSeason20242025!$E$3:$E$1314, $A38)</calculatedColumnFormula>
    </tableColumn>
    <tableColumn id="49" xr3:uid="{58C85BC3-ACD7-4429-8078-99CA471D120D}" name="2024-11-19" totalsRowFunction="average" dataDxfId="572">
      <calculatedColumnFormula>SUMIFS(DataRegularSeason20242025!$AA$3:$AA$1314,DataRegularSeason20242025!$B$3:$B$1314, "&lt;=" &amp; AY$1, DataRegularSeason20242025!$D$3:$D$1314, $A38)+SUMIFS(DataRegularSeason20242025!$AB$3:$AB$1314,DataRegularSeason20242025!$B$3:$B$1314, "&lt;=" &amp; AY$1, DataRegularSeason20242025!$E$3:$E$1314, $A38)</calculatedColumnFormula>
    </tableColumn>
    <tableColumn id="50" xr3:uid="{E3E98068-3120-46F8-B118-593C509BF8EA}" name="2024-11-20" totalsRowFunction="average" dataDxfId="571">
      <calculatedColumnFormula>SUMIFS(DataRegularSeason20242025!$AA$3:$AA$1314,DataRegularSeason20242025!$B$3:$B$1314, "&lt;=" &amp; AZ$1, DataRegularSeason20242025!$D$3:$D$1314, $A38)+SUMIFS(DataRegularSeason20242025!$AB$3:$AB$1314,DataRegularSeason20242025!$B$3:$B$1314, "&lt;=" &amp; AZ$1, DataRegularSeason20242025!$E$3:$E$1314, $A38)</calculatedColumnFormula>
    </tableColumn>
    <tableColumn id="51" xr3:uid="{8CCAE68F-DC56-4921-AB9C-D496350FD92B}" name="2024-11-21" totalsRowFunction="average" dataDxfId="570">
      <calculatedColumnFormula>SUMIFS(DataRegularSeason20242025!$AA$3:$AA$1314,DataRegularSeason20242025!$B$3:$B$1314, "&lt;=" &amp; BA$1, DataRegularSeason20242025!$D$3:$D$1314, $A38)+SUMIFS(DataRegularSeason20242025!$AB$3:$AB$1314,DataRegularSeason20242025!$B$3:$B$1314, "&lt;=" &amp; BA$1, DataRegularSeason20242025!$E$3:$E$1314, $A38)</calculatedColumnFormula>
    </tableColumn>
    <tableColumn id="52" xr3:uid="{327B73EE-6CCA-436E-8531-0632A2AA378B}" name="2024-11-22" totalsRowFunction="average" dataDxfId="569">
      <calculatedColumnFormula>SUMIFS(DataRegularSeason20242025!$AA$3:$AA$1314,DataRegularSeason20242025!$B$3:$B$1314, "&lt;=" &amp; BB$1, DataRegularSeason20242025!$D$3:$D$1314, $A38)+SUMIFS(DataRegularSeason20242025!$AB$3:$AB$1314,DataRegularSeason20242025!$B$3:$B$1314, "&lt;=" &amp; BB$1, DataRegularSeason20242025!$E$3:$E$1314, $A38)</calculatedColumnFormula>
    </tableColumn>
    <tableColumn id="53" xr3:uid="{72952ABF-BFA8-40B7-8B6D-73F6A8F3C1CC}" name="2024-11-23" totalsRowFunction="average" dataDxfId="568">
      <calculatedColumnFormula>SUMIFS(DataRegularSeason20242025!$AA$3:$AA$1314,DataRegularSeason20242025!$B$3:$B$1314, "&lt;=" &amp; BC$1, DataRegularSeason20242025!$D$3:$D$1314, $A38)+SUMIFS(DataRegularSeason20242025!$AB$3:$AB$1314,DataRegularSeason20242025!$B$3:$B$1314, "&lt;=" &amp; BC$1, DataRegularSeason20242025!$E$3:$E$1314, $A38)</calculatedColumnFormula>
    </tableColumn>
    <tableColumn id="54" xr3:uid="{1CAD1679-4BB6-4A51-B530-F98E41832F47}" name="2024-11-24" totalsRowFunction="average" dataDxfId="567">
      <calculatedColumnFormula>SUMIFS(DataRegularSeason20242025!$AA$3:$AA$1314,DataRegularSeason20242025!$B$3:$B$1314, "&lt;=" &amp; BD$1, DataRegularSeason20242025!$D$3:$D$1314, $A38)+SUMIFS(DataRegularSeason20242025!$AB$3:$AB$1314,DataRegularSeason20242025!$B$3:$B$1314, "&lt;=" &amp; BD$1, DataRegularSeason20242025!$E$3:$E$1314, $A38)</calculatedColumnFormula>
    </tableColumn>
    <tableColumn id="55" xr3:uid="{59F715BB-1615-485A-8C6B-27047E0C06D5}" name="2024-11-25" totalsRowFunction="average" dataDxfId="566">
      <calculatedColumnFormula>SUMIFS(DataRegularSeason20242025!$AA$3:$AA$1314,DataRegularSeason20242025!$B$3:$B$1314, "&lt;=" &amp; BE$1, DataRegularSeason20242025!$D$3:$D$1314, $A38)+SUMIFS(DataRegularSeason20242025!$AB$3:$AB$1314,DataRegularSeason20242025!$B$3:$B$1314, "&lt;=" &amp; BE$1, DataRegularSeason20242025!$E$3:$E$1314, $A38)</calculatedColumnFormula>
    </tableColumn>
    <tableColumn id="56" xr3:uid="{791AAD53-31BE-43DB-B6C7-AFA3D3C0F8E0}" name="2024-11-26" totalsRowFunction="average" dataDxfId="565">
      <calculatedColumnFormula>SUMIFS(DataRegularSeason20242025!$AA$3:$AA$1314,DataRegularSeason20242025!$B$3:$B$1314, "&lt;=" &amp; BF$1, DataRegularSeason20242025!$D$3:$D$1314, $A38)+SUMIFS(DataRegularSeason20242025!$AB$3:$AB$1314,DataRegularSeason20242025!$B$3:$B$1314, "&lt;=" &amp; BF$1, DataRegularSeason20242025!$E$3:$E$1314, $A38)</calculatedColumnFormula>
    </tableColumn>
    <tableColumn id="57" xr3:uid="{71526820-394A-49F6-8067-E6C1D78A0555}" name="2024-11-27" totalsRowFunction="average" dataDxfId="564">
      <calculatedColumnFormula>SUMIFS(DataRegularSeason20242025!$AA$3:$AA$1314,DataRegularSeason20242025!$B$3:$B$1314, "&lt;=" &amp; BG$1, DataRegularSeason20242025!$D$3:$D$1314, $A38)+SUMIFS(DataRegularSeason20242025!$AB$3:$AB$1314,DataRegularSeason20242025!$B$3:$B$1314, "&lt;=" &amp; BG$1, DataRegularSeason20242025!$E$3:$E$1314, $A38)</calculatedColumnFormula>
    </tableColumn>
    <tableColumn id="58" xr3:uid="{FB325FD8-E366-44B2-A58F-88C040073EF6}" name="2024-11-28" totalsRowFunction="average" dataDxfId="563">
      <calculatedColumnFormula>SUMIFS(DataRegularSeason20242025!$AA$3:$AA$1314,DataRegularSeason20242025!$B$3:$B$1314, "&lt;=" &amp; BH$1, DataRegularSeason20242025!$D$3:$D$1314, $A38)+SUMIFS(DataRegularSeason20242025!$AB$3:$AB$1314,DataRegularSeason20242025!$B$3:$B$1314, "&lt;=" &amp; BH$1, DataRegularSeason20242025!$E$3:$E$1314, $A38)</calculatedColumnFormula>
    </tableColumn>
    <tableColumn id="59" xr3:uid="{82D93A13-81A2-4B51-A7AF-0B43FE29B9C0}" name="2024-11-29" totalsRowFunction="average" dataDxfId="562">
      <calculatedColumnFormula>SUMIFS(DataRegularSeason20242025!$AA$3:$AA$1314,DataRegularSeason20242025!$B$3:$B$1314, "&lt;=" &amp; BI$1, DataRegularSeason20242025!$D$3:$D$1314, $A38)+SUMIFS(DataRegularSeason20242025!$AB$3:$AB$1314,DataRegularSeason20242025!$B$3:$B$1314, "&lt;=" &amp; BI$1, DataRegularSeason20242025!$E$3:$E$1314, $A38)</calculatedColumnFormula>
    </tableColumn>
    <tableColumn id="60" xr3:uid="{DFFDFBB6-7AF1-40AB-865A-8A2079FE1A0A}" name="2024-11-30" totalsRowFunction="average" dataDxfId="561">
      <calculatedColumnFormula>SUMIFS(DataRegularSeason20242025!$AA$3:$AA$1314,DataRegularSeason20242025!$B$3:$B$1314, "&lt;=" &amp; BJ$1, DataRegularSeason20242025!$D$3:$D$1314, $A38)+SUMIFS(DataRegularSeason20242025!$AB$3:$AB$1314,DataRegularSeason20242025!$B$3:$B$1314, "&lt;=" &amp; BJ$1, DataRegularSeason20242025!$E$3:$E$1314, $A38)</calculatedColumnFormula>
    </tableColumn>
    <tableColumn id="61" xr3:uid="{69320921-B76B-4118-BE26-660DB2A813A5}" name="2024-12-01" totalsRowFunction="average" dataDxfId="560">
      <calculatedColumnFormula>SUMIFS(DataRegularSeason20242025!$AA$3:$AA$1314,DataRegularSeason20242025!$B$3:$B$1314, "&lt;=" &amp; BK$1, DataRegularSeason20242025!$D$3:$D$1314, $A38)+SUMIFS(DataRegularSeason20242025!$AB$3:$AB$1314,DataRegularSeason20242025!$B$3:$B$1314, "&lt;=" &amp; BK$1, DataRegularSeason20242025!$E$3:$E$1314, $A38)</calculatedColumnFormula>
    </tableColumn>
    <tableColumn id="62" xr3:uid="{039466A3-7306-4797-A75F-D42030434B53}" name="2024-12-02" totalsRowFunction="average" dataDxfId="559">
      <calculatedColumnFormula>SUMIFS(DataRegularSeason20242025!$AA$3:$AA$1314,DataRegularSeason20242025!$B$3:$B$1314, "&lt;=" &amp; BL$1, DataRegularSeason20242025!$D$3:$D$1314, $A38)+SUMIFS(DataRegularSeason20242025!$AB$3:$AB$1314,DataRegularSeason20242025!$B$3:$B$1314, "&lt;=" &amp; BL$1, DataRegularSeason20242025!$E$3:$E$1314, $A38)</calculatedColumnFormula>
    </tableColumn>
    <tableColumn id="63" xr3:uid="{07E29E12-FFC9-44D6-994C-5849E879EB3C}" name="2024-12-03" totalsRowFunction="average" dataDxfId="558">
      <calculatedColumnFormula>SUMIFS(DataRegularSeason20242025!$AA$3:$AA$1314,DataRegularSeason20242025!$B$3:$B$1314, "&lt;=" &amp; BM$1, DataRegularSeason20242025!$D$3:$D$1314, $A38)+SUMIFS(DataRegularSeason20242025!$AB$3:$AB$1314,DataRegularSeason20242025!$B$3:$B$1314, "&lt;=" &amp; BM$1, DataRegularSeason20242025!$E$3:$E$1314, $A38)</calculatedColumnFormula>
    </tableColumn>
    <tableColumn id="64" xr3:uid="{F1029E42-B299-4436-8AA5-4E031F33B4EC}" name="2024-12-04" totalsRowFunction="average" dataDxfId="557">
      <calculatedColumnFormula>SUMIFS(DataRegularSeason20242025!$AA$3:$AA$1314,DataRegularSeason20242025!$B$3:$B$1314, "&lt;=" &amp; BN$1, DataRegularSeason20242025!$D$3:$D$1314, $A38)+SUMIFS(DataRegularSeason20242025!$AB$3:$AB$1314,DataRegularSeason20242025!$B$3:$B$1314, "&lt;=" &amp; BN$1, DataRegularSeason20242025!$E$3:$E$1314, $A38)</calculatedColumnFormula>
    </tableColumn>
    <tableColumn id="65" xr3:uid="{8A74CB08-C08B-4340-B739-4681109A7209}" name="2024-12-05" totalsRowFunction="average" dataDxfId="556">
      <calculatedColumnFormula>SUMIFS(DataRegularSeason20242025!$AA$3:$AA$1314,DataRegularSeason20242025!$B$3:$B$1314, "&lt;=" &amp; BO$1, DataRegularSeason20242025!$D$3:$D$1314, $A38)+SUMIFS(DataRegularSeason20242025!$AB$3:$AB$1314,DataRegularSeason20242025!$B$3:$B$1314, "&lt;=" &amp; BO$1, DataRegularSeason20242025!$E$3:$E$1314, $A38)</calculatedColumnFormula>
    </tableColumn>
    <tableColumn id="66" xr3:uid="{A7E4E83D-5122-4721-9CE1-AD1C7AE6D751}" name="2024-12-06" totalsRowFunction="average" dataDxfId="555">
      <calculatedColumnFormula>SUMIFS(DataRegularSeason20242025!$AA$3:$AA$1314,DataRegularSeason20242025!$B$3:$B$1314, "&lt;=" &amp; BP$1, DataRegularSeason20242025!$D$3:$D$1314, $A38)+SUMIFS(DataRegularSeason20242025!$AB$3:$AB$1314,DataRegularSeason20242025!$B$3:$B$1314, "&lt;=" &amp; BP$1, DataRegularSeason20242025!$E$3:$E$1314, $A38)</calculatedColumnFormula>
    </tableColumn>
    <tableColumn id="67" xr3:uid="{1FDEF807-E4BD-42D3-BDCE-E8B32C860172}" name="2024-12-07" totalsRowFunction="average" dataDxfId="554">
      <calculatedColumnFormula>SUMIFS(DataRegularSeason20242025!$AA$3:$AA$1314,DataRegularSeason20242025!$B$3:$B$1314, "&lt;=" &amp; BQ$1, DataRegularSeason20242025!$D$3:$D$1314, $A38)+SUMIFS(DataRegularSeason20242025!$AB$3:$AB$1314,DataRegularSeason20242025!$B$3:$B$1314, "&lt;=" &amp; BQ$1, DataRegularSeason20242025!$E$3:$E$1314, $A38)</calculatedColumnFormula>
    </tableColumn>
    <tableColumn id="68" xr3:uid="{1FCD4E3A-466F-49AE-A2B5-D0FED6EA88C5}" name="2024-12-08" totalsRowFunction="average" dataDxfId="553">
      <calculatedColumnFormula>SUMIFS(DataRegularSeason20242025!$AA$3:$AA$1314,DataRegularSeason20242025!$B$3:$B$1314, "&lt;=" &amp; BR$1, DataRegularSeason20242025!$D$3:$D$1314, $A38)+SUMIFS(DataRegularSeason20242025!$AB$3:$AB$1314,DataRegularSeason20242025!$B$3:$B$1314, "&lt;=" &amp; BR$1, DataRegularSeason20242025!$E$3:$E$1314, $A38)</calculatedColumnFormula>
    </tableColumn>
    <tableColumn id="69" xr3:uid="{8B67579E-AC7E-4CE3-BFEF-7A09981C68B8}" name="2024-12-09" totalsRowFunction="average" dataDxfId="552">
      <calculatedColumnFormula>SUMIFS(DataRegularSeason20242025!$AA$3:$AA$1314,DataRegularSeason20242025!$B$3:$B$1314, "&lt;=" &amp; BS$1, DataRegularSeason20242025!$D$3:$D$1314, $A38)+SUMIFS(DataRegularSeason20242025!$AB$3:$AB$1314,DataRegularSeason20242025!$B$3:$B$1314, "&lt;=" &amp; BS$1, DataRegularSeason20242025!$E$3:$E$1314, $A38)</calculatedColumnFormula>
    </tableColumn>
    <tableColumn id="70" xr3:uid="{FB177A6C-80ED-473B-AB6B-E071AE81AD2A}" name="2024-12-10" totalsRowFunction="average" dataDxfId="551">
      <calculatedColumnFormula>SUMIFS(DataRegularSeason20242025!$AA$3:$AA$1314,DataRegularSeason20242025!$B$3:$B$1314, "&lt;=" &amp; BT$1, DataRegularSeason20242025!$D$3:$D$1314, $A38)+SUMIFS(DataRegularSeason20242025!$AB$3:$AB$1314,DataRegularSeason20242025!$B$3:$B$1314, "&lt;=" &amp; BT$1, DataRegularSeason20242025!$E$3:$E$1314, $A38)</calculatedColumnFormula>
    </tableColumn>
    <tableColumn id="71" xr3:uid="{ED3F36C5-3093-4126-8D7D-F00DD5B3E1F8}" name="2024-12-11" totalsRowFunction="average" dataDxfId="550">
      <calculatedColumnFormula>SUMIFS(DataRegularSeason20242025!$AA$3:$AA$1314,DataRegularSeason20242025!$B$3:$B$1314, "&lt;=" &amp; BU$1, DataRegularSeason20242025!$D$3:$D$1314, $A38)+SUMIFS(DataRegularSeason20242025!$AB$3:$AB$1314,DataRegularSeason20242025!$B$3:$B$1314, "&lt;=" &amp; BU$1, DataRegularSeason20242025!$E$3:$E$1314, $A38)</calculatedColumnFormula>
    </tableColumn>
    <tableColumn id="72" xr3:uid="{1975F628-0DD6-4C3D-B5CD-33C954A356AE}" name="2024-12-12" totalsRowFunction="average" dataDxfId="549">
      <calculatedColumnFormula>SUMIFS(DataRegularSeason20242025!$AA$3:$AA$1314,DataRegularSeason20242025!$B$3:$B$1314, "&lt;=" &amp; BV$1, DataRegularSeason20242025!$D$3:$D$1314, $A38)+SUMIFS(DataRegularSeason20242025!$AB$3:$AB$1314,DataRegularSeason20242025!$B$3:$B$1314, "&lt;=" &amp; BV$1, DataRegularSeason20242025!$E$3:$E$1314, $A38)</calculatedColumnFormula>
    </tableColumn>
    <tableColumn id="73" xr3:uid="{E0BDC541-9E04-4095-9355-5101E06CB54F}" name="2024-12-13" totalsRowFunction="average" dataDxfId="548">
      <calculatedColumnFormula>SUMIFS(DataRegularSeason20242025!$AA$3:$AA$1314,DataRegularSeason20242025!$B$3:$B$1314, "&lt;=" &amp; BW$1, DataRegularSeason20242025!$D$3:$D$1314, $A38)+SUMIFS(DataRegularSeason20242025!$AB$3:$AB$1314,DataRegularSeason20242025!$B$3:$B$1314, "&lt;=" &amp; BW$1, DataRegularSeason20242025!$E$3:$E$1314, $A38)</calculatedColumnFormula>
    </tableColumn>
    <tableColumn id="74" xr3:uid="{F88B2311-D295-4808-A1AB-53C0ED40A251}" name="2024-12-14" totalsRowFunction="average" dataDxfId="547">
      <calculatedColumnFormula>SUMIFS(DataRegularSeason20242025!$AA$3:$AA$1314,DataRegularSeason20242025!$B$3:$B$1314, "&lt;=" &amp; BX$1, DataRegularSeason20242025!$D$3:$D$1314, $A38)+SUMIFS(DataRegularSeason20242025!$AB$3:$AB$1314,DataRegularSeason20242025!$B$3:$B$1314, "&lt;=" &amp; BX$1, DataRegularSeason20242025!$E$3:$E$1314, $A38)</calculatedColumnFormula>
    </tableColumn>
    <tableColumn id="75" xr3:uid="{67EBD11B-FF2A-45A6-A4ED-1A03B044A82D}" name="2024-12-15" totalsRowFunction="average" dataDxfId="546">
      <calculatedColumnFormula>SUMIFS(DataRegularSeason20242025!$AA$3:$AA$1314,DataRegularSeason20242025!$B$3:$B$1314, "&lt;=" &amp; BY$1, DataRegularSeason20242025!$D$3:$D$1314, $A38)+SUMIFS(DataRegularSeason20242025!$AB$3:$AB$1314,DataRegularSeason20242025!$B$3:$B$1314, "&lt;=" &amp; BY$1, DataRegularSeason20242025!$E$3:$E$1314, $A38)</calculatedColumnFormula>
    </tableColumn>
    <tableColumn id="76" xr3:uid="{9FB5FA85-D935-4E69-B0E2-3A5447D469E0}" name="2024-12-16" totalsRowFunction="average" dataDxfId="545">
      <calculatedColumnFormula>SUMIFS(DataRegularSeason20242025!$AA$3:$AA$1314,DataRegularSeason20242025!$B$3:$B$1314, "&lt;=" &amp; BZ$1, DataRegularSeason20242025!$D$3:$D$1314, $A38)+SUMIFS(DataRegularSeason20242025!$AB$3:$AB$1314,DataRegularSeason20242025!$B$3:$B$1314, "&lt;=" &amp; BZ$1, DataRegularSeason20242025!$E$3:$E$1314, $A38)</calculatedColumnFormula>
    </tableColumn>
    <tableColumn id="77" xr3:uid="{ADACC3A8-8375-42C3-B921-8D2EFE816A9F}" name="2024-12-17" totalsRowFunction="average" dataDxfId="544">
      <calculatedColumnFormula>SUMIFS(DataRegularSeason20242025!$AA$3:$AA$1314,DataRegularSeason20242025!$B$3:$B$1314, "&lt;=" &amp; CA$1, DataRegularSeason20242025!$D$3:$D$1314, $A38)+SUMIFS(DataRegularSeason20242025!$AB$3:$AB$1314,DataRegularSeason20242025!$B$3:$B$1314, "&lt;=" &amp; CA$1, DataRegularSeason20242025!$E$3:$E$1314, $A38)</calculatedColumnFormula>
    </tableColumn>
    <tableColumn id="78" xr3:uid="{E1B5A7C1-5470-4535-BAC4-F3644E824456}" name="2024-12-18" totalsRowFunction="average" dataDxfId="543">
      <calculatedColumnFormula>SUMIFS(DataRegularSeason20242025!$AA$3:$AA$1314,DataRegularSeason20242025!$B$3:$B$1314, "&lt;=" &amp; CB$1, DataRegularSeason20242025!$D$3:$D$1314, $A38)+SUMIFS(DataRegularSeason20242025!$AB$3:$AB$1314,DataRegularSeason20242025!$B$3:$B$1314, "&lt;=" &amp; CB$1, DataRegularSeason20242025!$E$3:$E$1314, $A38)</calculatedColumnFormula>
    </tableColumn>
    <tableColumn id="79" xr3:uid="{E489F777-3545-405B-9AE6-E66043093AC9}" name="2024-12-19" totalsRowFunction="average" dataDxfId="542">
      <calculatedColumnFormula>SUMIFS(DataRegularSeason20242025!$AA$3:$AA$1314,DataRegularSeason20242025!$B$3:$B$1314, "&lt;=" &amp; CC$1, DataRegularSeason20242025!$D$3:$D$1314, $A38)+SUMIFS(DataRegularSeason20242025!$AB$3:$AB$1314,DataRegularSeason20242025!$B$3:$B$1314, "&lt;=" &amp; CC$1, DataRegularSeason20242025!$E$3:$E$1314, $A38)</calculatedColumnFormula>
    </tableColumn>
    <tableColumn id="80" xr3:uid="{32E22215-19C9-47DD-80C5-A145B8F0F98E}" name="2024-12-20" totalsRowFunction="average" dataDxfId="541">
      <calculatedColumnFormula>SUMIFS(DataRegularSeason20242025!$AA$3:$AA$1314,DataRegularSeason20242025!$B$3:$B$1314, "&lt;=" &amp; CD$1, DataRegularSeason20242025!$D$3:$D$1314, $A38)+SUMIFS(DataRegularSeason20242025!$AB$3:$AB$1314,DataRegularSeason20242025!$B$3:$B$1314, "&lt;=" &amp; CD$1, DataRegularSeason20242025!$E$3:$E$1314, $A38)</calculatedColumnFormula>
    </tableColumn>
    <tableColumn id="81" xr3:uid="{E5452FD0-DFFF-445F-BAC4-FCFB3CCA4AE1}" name="2024-12-21" totalsRowFunction="average" dataDxfId="540">
      <calculatedColumnFormula>SUMIFS(DataRegularSeason20242025!$AA$3:$AA$1314,DataRegularSeason20242025!$B$3:$B$1314, "&lt;=" &amp; CE$1, DataRegularSeason20242025!$D$3:$D$1314, $A38)+SUMIFS(DataRegularSeason20242025!$AB$3:$AB$1314,DataRegularSeason20242025!$B$3:$B$1314, "&lt;=" &amp; CE$1, DataRegularSeason20242025!$E$3:$E$1314, $A38)</calculatedColumnFormula>
    </tableColumn>
    <tableColumn id="82" xr3:uid="{A5A7B957-3E67-4EEA-8A7F-AB8135D10F45}" name="2024-12-22" totalsRowFunction="average" dataDxfId="539">
      <calculatedColumnFormula>SUMIFS(DataRegularSeason20242025!$AA$3:$AA$1314,DataRegularSeason20242025!$B$3:$B$1314, "&lt;=" &amp; CF$1, DataRegularSeason20242025!$D$3:$D$1314, $A38)+SUMIFS(DataRegularSeason20242025!$AB$3:$AB$1314,DataRegularSeason20242025!$B$3:$B$1314, "&lt;=" &amp; CF$1, DataRegularSeason20242025!$E$3:$E$1314, $A38)</calculatedColumnFormula>
    </tableColumn>
    <tableColumn id="83" xr3:uid="{C9523FBB-C3B2-4E44-828B-9DE8883EE85D}" name="2024-12-23" totalsRowFunction="average" dataDxfId="538">
      <calculatedColumnFormula>SUMIFS(DataRegularSeason20242025!$AA$3:$AA$1314,DataRegularSeason20242025!$B$3:$B$1314, "&lt;=" &amp; CG$1, DataRegularSeason20242025!$D$3:$D$1314, $A38)+SUMIFS(DataRegularSeason20242025!$AB$3:$AB$1314,DataRegularSeason20242025!$B$3:$B$1314, "&lt;=" &amp; CG$1, DataRegularSeason20242025!$E$3:$E$1314, $A38)</calculatedColumnFormula>
    </tableColumn>
    <tableColumn id="84" xr3:uid="{0002911B-6A9A-4AED-9FAA-5BDFE5001481}" name="2024-12-24" totalsRowFunction="average" dataDxfId="537">
      <calculatedColumnFormula>SUMIFS(DataRegularSeason20242025!$AA$3:$AA$1314,DataRegularSeason20242025!$B$3:$B$1314, "&lt;=" &amp; CH$1, DataRegularSeason20242025!$D$3:$D$1314, $A38)+SUMIFS(DataRegularSeason20242025!$AB$3:$AB$1314,DataRegularSeason20242025!$B$3:$B$1314, "&lt;=" &amp; CH$1, DataRegularSeason20242025!$E$3:$E$1314, $A38)</calculatedColumnFormula>
    </tableColumn>
    <tableColumn id="85" xr3:uid="{69919E90-4969-42DD-93C2-9AE38E8836D3}" name="2024-12-25" totalsRowFunction="average" dataDxfId="536">
      <calculatedColumnFormula>SUMIFS(DataRegularSeason20242025!$AA$3:$AA$1314,DataRegularSeason20242025!$B$3:$B$1314, "&lt;=" &amp; CI$1, DataRegularSeason20242025!$D$3:$D$1314, $A38)+SUMIFS(DataRegularSeason20242025!$AB$3:$AB$1314,DataRegularSeason20242025!$B$3:$B$1314, "&lt;=" &amp; CI$1, DataRegularSeason20242025!$E$3:$E$1314, $A38)</calculatedColumnFormula>
    </tableColumn>
    <tableColumn id="86" xr3:uid="{587BA55E-F5BA-4DBF-8E81-14646777A181}" name="2024-12-26" totalsRowFunction="average" dataDxfId="535">
      <calculatedColumnFormula>SUMIFS(DataRegularSeason20242025!$AA$3:$AA$1314,DataRegularSeason20242025!$B$3:$B$1314, "&lt;=" &amp; CJ$1, DataRegularSeason20242025!$D$3:$D$1314, $A38)+SUMIFS(DataRegularSeason20242025!$AB$3:$AB$1314,DataRegularSeason20242025!$B$3:$B$1314, "&lt;=" &amp; CJ$1, DataRegularSeason20242025!$E$3:$E$1314, $A38)</calculatedColumnFormula>
    </tableColumn>
    <tableColumn id="87" xr3:uid="{5CCA5A4B-A67C-4F66-99CD-85C1322CFAEE}" name="2024-12-27" totalsRowFunction="average" dataDxfId="534">
      <calculatedColumnFormula>SUMIFS(DataRegularSeason20242025!$AA$3:$AA$1314,DataRegularSeason20242025!$B$3:$B$1314, "&lt;=" &amp; CK$1, DataRegularSeason20242025!$D$3:$D$1314, $A38)+SUMIFS(DataRegularSeason20242025!$AB$3:$AB$1314,DataRegularSeason20242025!$B$3:$B$1314, "&lt;=" &amp; CK$1, DataRegularSeason20242025!$E$3:$E$1314, $A38)</calculatedColumnFormula>
    </tableColumn>
    <tableColumn id="88" xr3:uid="{910CE3D1-63CD-4906-8510-81529EE78853}" name="2024-12-28" totalsRowFunction="average" dataDxfId="533">
      <calculatedColumnFormula>SUMIFS(DataRegularSeason20242025!$AA$3:$AA$1314,DataRegularSeason20242025!$B$3:$B$1314, "&lt;=" &amp; CL$1, DataRegularSeason20242025!$D$3:$D$1314, $A38)+SUMIFS(DataRegularSeason20242025!$AB$3:$AB$1314,DataRegularSeason20242025!$B$3:$B$1314, "&lt;=" &amp; CL$1, DataRegularSeason20242025!$E$3:$E$1314, $A38)</calculatedColumnFormula>
    </tableColumn>
    <tableColumn id="89" xr3:uid="{5D14C0D2-EAB3-4E38-80B9-2A04BDD35AF7}" name="2024-12-29" totalsRowFunction="average" dataDxfId="532">
      <calculatedColumnFormula>SUMIFS(DataRegularSeason20242025!$AA$3:$AA$1314,DataRegularSeason20242025!$B$3:$B$1314, "&lt;=" &amp; CM$1, DataRegularSeason20242025!$D$3:$D$1314, $A38)+SUMIFS(DataRegularSeason20242025!$AB$3:$AB$1314,DataRegularSeason20242025!$B$3:$B$1314, "&lt;=" &amp; CM$1, DataRegularSeason20242025!$E$3:$E$1314, $A38)</calculatedColumnFormula>
    </tableColumn>
    <tableColumn id="90" xr3:uid="{B06713A0-DD20-49E3-8DD7-A1819FCCBEBC}" name="2024-12-30" totalsRowFunction="average" dataDxfId="531">
      <calculatedColumnFormula>SUMIFS(DataRegularSeason20242025!$AA$3:$AA$1314,DataRegularSeason20242025!$B$3:$B$1314, "&lt;=" &amp; CN$1, DataRegularSeason20242025!$D$3:$D$1314, $A38)+SUMIFS(DataRegularSeason20242025!$AB$3:$AB$1314,DataRegularSeason20242025!$B$3:$B$1314, "&lt;=" &amp; CN$1, DataRegularSeason20242025!$E$3:$E$1314, $A38)</calculatedColumnFormula>
    </tableColumn>
    <tableColumn id="91" xr3:uid="{D9E8443A-9EB3-44BD-AD15-456B51A35A47}" name="2024-12-31" totalsRowFunction="average" dataDxfId="530">
      <calculatedColumnFormula>SUMIFS(DataRegularSeason20242025!$AA$3:$AA$1314,DataRegularSeason20242025!$B$3:$B$1314, "&lt;=" &amp; CO$1, DataRegularSeason20242025!$D$3:$D$1314, $A38)+SUMIFS(DataRegularSeason20242025!$AB$3:$AB$1314,DataRegularSeason20242025!$B$3:$B$1314, "&lt;=" &amp; CO$1, DataRegularSeason20242025!$E$3:$E$1314, $A38)</calculatedColumnFormula>
    </tableColumn>
    <tableColumn id="92" xr3:uid="{C2C95538-DE08-4776-895B-6D01C9AB2FE7}" name="2025-01-01" totalsRowFunction="average" dataDxfId="529">
      <calculatedColumnFormula>SUMIFS(DataRegularSeason20242025!$AA$3:$AA$1314,DataRegularSeason20242025!$B$3:$B$1314, "&lt;=" &amp; CP$1, DataRegularSeason20242025!$D$3:$D$1314, $A38)+SUMIFS(DataRegularSeason20242025!$AB$3:$AB$1314,DataRegularSeason20242025!$B$3:$B$1314, "&lt;=" &amp; CP$1, DataRegularSeason20242025!$E$3:$E$1314, $A38)</calculatedColumnFormula>
    </tableColumn>
    <tableColumn id="93" xr3:uid="{12B1CE3C-0E97-4B30-B037-B934018D49B1}" name="2025-01-02" totalsRowFunction="average" dataDxfId="528">
      <calculatedColumnFormula>SUMIFS(DataRegularSeason20242025!$AA$3:$AA$1314,DataRegularSeason20242025!$B$3:$B$1314, "&lt;=" &amp; CQ$1, DataRegularSeason20242025!$D$3:$D$1314, $A38)+SUMIFS(DataRegularSeason20242025!$AB$3:$AB$1314,DataRegularSeason20242025!$B$3:$B$1314, "&lt;=" &amp; CQ$1, DataRegularSeason20242025!$E$3:$E$1314, $A38)</calculatedColumnFormula>
    </tableColumn>
    <tableColumn id="94" xr3:uid="{4B90C368-8C78-4327-B4F2-C6DBF135E437}" name="2025-01-03" totalsRowFunction="average" dataDxfId="527">
      <calculatedColumnFormula>SUMIFS(DataRegularSeason20242025!$AA$3:$AA$1314,DataRegularSeason20242025!$B$3:$B$1314, "&lt;=" &amp; CR$1, DataRegularSeason20242025!$D$3:$D$1314, $A38)+SUMIFS(DataRegularSeason20242025!$AB$3:$AB$1314,DataRegularSeason20242025!$B$3:$B$1314, "&lt;=" &amp; CR$1, DataRegularSeason20242025!$E$3:$E$1314, $A38)</calculatedColumnFormula>
    </tableColumn>
    <tableColumn id="95" xr3:uid="{D332227B-5044-4E90-8A2E-0E03AFA551C5}" name="2025-01-04" totalsRowFunction="average" dataDxfId="526">
      <calculatedColumnFormula>SUMIFS(DataRegularSeason20242025!$AA$3:$AA$1314,DataRegularSeason20242025!$B$3:$B$1314, "&lt;=" &amp; CS$1, DataRegularSeason20242025!$D$3:$D$1314, $A38)+SUMIFS(DataRegularSeason20242025!$AB$3:$AB$1314,DataRegularSeason20242025!$B$3:$B$1314, "&lt;=" &amp; CS$1, DataRegularSeason20242025!$E$3:$E$1314, $A38)</calculatedColumnFormula>
    </tableColumn>
    <tableColumn id="96" xr3:uid="{89404ACE-3A18-47B8-8600-2A16502E54AD}" name="2025-01-05" totalsRowFunction="average" dataDxfId="525">
      <calculatedColumnFormula>SUMIFS(DataRegularSeason20242025!$AA$3:$AA$1314,DataRegularSeason20242025!$B$3:$B$1314, "&lt;=" &amp; CT$1, DataRegularSeason20242025!$D$3:$D$1314, $A38)+SUMIFS(DataRegularSeason20242025!$AB$3:$AB$1314,DataRegularSeason20242025!$B$3:$B$1314, "&lt;=" &amp; CT$1, DataRegularSeason20242025!$E$3:$E$1314, $A38)</calculatedColumnFormula>
    </tableColumn>
    <tableColumn id="97" xr3:uid="{52136C95-AC32-41BC-941E-DC8701C869B6}" name="2025-01-06" totalsRowFunction="average" dataDxfId="524">
      <calculatedColumnFormula>SUMIFS(DataRegularSeason20242025!$AA$3:$AA$1314,DataRegularSeason20242025!$B$3:$B$1314, "&lt;=" &amp; CU$1, DataRegularSeason20242025!$D$3:$D$1314, $A38)+SUMIFS(DataRegularSeason20242025!$AB$3:$AB$1314,DataRegularSeason20242025!$B$3:$B$1314, "&lt;=" &amp; CU$1, DataRegularSeason20242025!$E$3:$E$1314, $A38)</calculatedColumnFormula>
    </tableColumn>
    <tableColumn id="98" xr3:uid="{55EE24D7-E723-4A14-B244-72AC343FAB64}" name="2025-01-07" totalsRowFunction="average" dataDxfId="523">
      <calculatedColumnFormula>SUMIFS(DataRegularSeason20242025!$AA$3:$AA$1314,DataRegularSeason20242025!$B$3:$B$1314, "&lt;=" &amp; CV$1, DataRegularSeason20242025!$D$3:$D$1314, $A38)+SUMIFS(DataRegularSeason20242025!$AB$3:$AB$1314,DataRegularSeason20242025!$B$3:$B$1314, "&lt;=" &amp; CV$1, DataRegularSeason20242025!$E$3:$E$1314, $A38)</calculatedColumnFormula>
    </tableColumn>
    <tableColumn id="99" xr3:uid="{EE1FC764-28D6-404E-8BAF-84565C984E00}" name="2025-01-08" totalsRowFunction="average" dataDxfId="522">
      <calculatedColumnFormula>SUMIFS(DataRegularSeason20242025!$AA$3:$AA$1314,DataRegularSeason20242025!$B$3:$B$1314, "&lt;=" &amp; CW$1, DataRegularSeason20242025!$D$3:$D$1314, $A38)+SUMIFS(DataRegularSeason20242025!$AB$3:$AB$1314,DataRegularSeason20242025!$B$3:$B$1314, "&lt;=" &amp; CW$1, DataRegularSeason20242025!$E$3:$E$1314, $A38)</calculatedColumnFormula>
    </tableColumn>
    <tableColumn id="100" xr3:uid="{67A850F7-F835-404D-9400-AE02DF02FF73}" name="2025-01-09" totalsRowFunction="average" dataDxfId="521">
      <calculatedColumnFormula>SUMIFS(DataRegularSeason20242025!$AA$3:$AA$1314,DataRegularSeason20242025!$B$3:$B$1314, "&lt;=" &amp; CX$1, DataRegularSeason20242025!$D$3:$D$1314, $A38)+SUMIFS(DataRegularSeason20242025!$AB$3:$AB$1314,DataRegularSeason20242025!$B$3:$B$1314, "&lt;=" &amp; CX$1, DataRegularSeason20242025!$E$3:$E$1314, $A38)</calculatedColumnFormula>
    </tableColumn>
    <tableColumn id="101" xr3:uid="{CD668915-E486-4AD3-A9F0-05EF17C2DDB8}" name="2025-01-10" totalsRowFunction="average" dataDxfId="520">
      <calculatedColumnFormula>SUMIFS(DataRegularSeason20242025!$AA$3:$AA$1314,DataRegularSeason20242025!$B$3:$B$1314, "&lt;=" &amp; CY$1, DataRegularSeason20242025!$D$3:$D$1314, $A38)+SUMIFS(DataRegularSeason20242025!$AB$3:$AB$1314,DataRegularSeason20242025!$B$3:$B$1314, "&lt;=" &amp; CY$1, DataRegularSeason20242025!$E$3:$E$1314, $A38)</calculatedColumnFormula>
    </tableColumn>
    <tableColumn id="102" xr3:uid="{B7A74771-C30E-475A-BB30-5123FF0DFD77}" name="2025-01-11" totalsRowFunction="average" dataDxfId="519">
      <calculatedColumnFormula>SUMIFS(DataRegularSeason20242025!$AA$3:$AA$1314,DataRegularSeason20242025!$B$3:$B$1314, "&lt;=" &amp; CZ$1, DataRegularSeason20242025!$D$3:$D$1314, $A38)+SUMIFS(DataRegularSeason20242025!$AB$3:$AB$1314,DataRegularSeason20242025!$B$3:$B$1314, "&lt;=" &amp; CZ$1, DataRegularSeason20242025!$E$3:$E$1314, $A38)</calculatedColumnFormula>
    </tableColumn>
    <tableColumn id="103" xr3:uid="{67D85F69-5DC3-40EF-974A-DA02DAD690C4}" name="2025-01-12" totalsRowFunction="average" dataDxfId="518">
      <calculatedColumnFormula>SUMIFS(DataRegularSeason20242025!$AA$3:$AA$1314,DataRegularSeason20242025!$B$3:$B$1314, "&lt;=" &amp; DA$1, DataRegularSeason20242025!$D$3:$D$1314, $A38)+SUMIFS(DataRegularSeason20242025!$AB$3:$AB$1314,DataRegularSeason20242025!$B$3:$B$1314, "&lt;=" &amp; DA$1, DataRegularSeason20242025!$E$3:$E$1314, $A38)</calculatedColumnFormula>
    </tableColumn>
    <tableColumn id="104" xr3:uid="{A4C0FC05-D3FA-4B1B-903D-641041C2D8F2}" name="2025-01-13" totalsRowFunction="average" dataDxfId="517">
      <calculatedColumnFormula>SUMIFS(DataRegularSeason20242025!$AA$3:$AA$1314,DataRegularSeason20242025!$B$3:$B$1314, "&lt;=" &amp; DB$1, DataRegularSeason20242025!$D$3:$D$1314, $A38)+SUMIFS(DataRegularSeason20242025!$AB$3:$AB$1314,DataRegularSeason20242025!$B$3:$B$1314, "&lt;=" &amp; DB$1, DataRegularSeason20242025!$E$3:$E$1314, $A38)</calculatedColumnFormula>
    </tableColumn>
    <tableColumn id="105" xr3:uid="{98A6687B-F175-44D0-AA34-374E57A7807D}" name="2025-01-14" totalsRowFunction="average" dataDxfId="516">
      <calculatedColumnFormula>SUMIFS(DataRegularSeason20242025!$AA$3:$AA$1314,DataRegularSeason20242025!$B$3:$B$1314, "&lt;=" &amp; DC$1, DataRegularSeason20242025!$D$3:$D$1314, $A38)+SUMIFS(DataRegularSeason20242025!$AB$3:$AB$1314,DataRegularSeason20242025!$B$3:$B$1314, "&lt;=" &amp; DC$1, DataRegularSeason20242025!$E$3:$E$1314, $A38)</calculatedColumnFormula>
    </tableColumn>
    <tableColumn id="106" xr3:uid="{61BFFAD8-C11D-43B6-BE20-7F5D5DE694BD}" name="2025-01-15" totalsRowFunction="average" dataDxfId="515">
      <calculatedColumnFormula>SUMIFS(DataRegularSeason20242025!$AA$3:$AA$1314,DataRegularSeason20242025!$B$3:$B$1314, "&lt;=" &amp; DD$1, DataRegularSeason20242025!$D$3:$D$1314, $A38)+SUMIFS(DataRegularSeason20242025!$AB$3:$AB$1314,DataRegularSeason20242025!$B$3:$B$1314, "&lt;=" &amp; DD$1, DataRegularSeason20242025!$E$3:$E$1314, $A38)</calculatedColumnFormula>
    </tableColumn>
    <tableColumn id="107" xr3:uid="{A16C84A3-E12E-4309-9F4C-663726D42A86}" name="2025-01-16" totalsRowFunction="average" dataDxfId="514">
      <calculatedColumnFormula>SUMIFS(DataRegularSeason20242025!$AA$3:$AA$1314,DataRegularSeason20242025!$B$3:$B$1314, "&lt;=" &amp; DE$1, DataRegularSeason20242025!$D$3:$D$1314, $A38)+SUMIFS(DataRegularSeason20242025!$AB$3:$AB$1314,DataRegularSeason20242025!$B$3:$B$1314, "&lt;=" &amp; DE$1, DataRegularSeason20242025!$E$3:$E$1314, $A38)</calculatedColumnFormula>
    </tableColumn>
    <tableColumn id="108" xr3:uid="{313709C8-AD64-4393-B1A8-AA414F10521C}" name="2025-01-17" totalsRowFunction="average" dataDxfId="513">
      <calculatedColumnFormula>SUMIFS(DataRegularSeason20242025!$AA$3:$AA$1314,DataRegularSeason20242025!$B$3:$B$1314, "&lt;=" &amp; DF$1, DataRegularSeason20242025!$D$3:$D$1314, $A38)+SUMIFS(DataRegularSeason20242025!$AB$3:$AB$1314,DataRegularSeason20242025!$B$3:$B$1314, "&lt;=" &amp; DF$1, DataRegularSeason20242025!$E$3:$E$1314, $A38)</calculatedColumnFormula>
    </tableColumn>
    <tableColumn id="109" xr3:uid="{09720695-C65B-4D2E-B074-620FC0F1D0C2}" name="2025-01-18" totalsRowFunction="average" dataDxfId="512">
      <calculatedColumnFormula>SUMIFS(DataRegularSeason20242025!$AA$3:$AA$1314,DataRegularSeason20242025!$B$3:$B$1314, "&lt;=" &amp; DG$1, DataRegularSeason20242025!$D$3:$D$1314, $A38)+SUMIFS(DataRegularSeason20242025!$AB$3:$AB$1314,DataRegularSeason20242025!$B$3:$B$1314, "&lt;=" &amp; DG$1, DataRegularSeason20242025!$E$3:$E$1314, $A38)</calculatedColumnFormula>
    </tableColumn>
    <tableColumn id="110" xr3:uid="{A921E621-552E-4A38-9373-34204C5BDDA8}" name="2025-01-19" totalsRowFunction="average" dataDxfId="511">
      <calculatedColumnFormula>SUMIFS(DataRegularSeason20242025!$AA$3:$AA$1314,DataRegularSeason20242025!$B$3:$B$1314, "&lt;=" &amp; DH$1, DataRegularSeason20242025!$D$3:$D$1314, $A38)+SUMIFS(DataRegularSeason20242025!$AB$3:$AB$1314,DataRegularSeason20242025!$B$3:$B$1314, "&lt;=" &amp; DH$1, DataRegularSeason20242025!$E$3:$E$1314, $A38)</calculatedColumnFormula>
    </tableColumn>
    <tableColumn id="111" xr3:uid="{86A493C7-955E-445A-B67D-2945FFAD794E}" name="2025-01-20" totalsRowFunction="average" dataDxfId="510">
      <calculatedColumnFormula>SUMIFS(DataRegularSeason20242025!$AA$3:$AA$1314,DataRegularSeason20242025!$B$3:$B$1314, "&lt;=" &amp; DI$1, DataRegularSeason20242025!$D$3:$D$1314, $A38)+SUMIFS(DataRegularSeason20242025!$AB$3:$AB$1314,DataRegularSeason20242025!$B$3:$B$1314, "&lt;=" &amp; DI$1, DataRegularSeason20242025!$E$3:$E$1314, $A38)</calculatedColumnFormula>
    </tableColumn>
    <tableColumn id="112" xr3:uid="{014D6FDB-90EE-4F7B-9E81-5184899BA1A9}" name="2025-01-21" totalsRowFunction="average" dataDxfId="509">
      <calculatedColumnFormula>SUMIFS(DataRegularSeason20242025!$AA$3:$AA$1314,DataRegularSeason20242025!$B$3:$B$1314, "&lt;=" &amp; DJ$1, DataRegularSeason20242025!$D$3:$D$1314, $A38)+SUMIFS(DataRegularSeason20242025!$AB$3:$AB$1314,DataRegularSeason20242025!$B$3:$B$1314, "&lt;=" &amp; DJ$1, DataRegularSeason20242025!$E$3:$E$1314, $A38)</calculatedColumnFormula>
    </tableColumn>
    <tableColumn id="113" xr3:uid="{C351110E-6771-4C2B-9666-81532FF709AA}" name="2025-01-22" totalsRowFunction="average" dataDxfId="508">
      <calculatedColumnFormula>SUMIFS(DataRegularSeason20242025!$AA$3:$AA$1314,DataRegularSeason20242025!$B$3:$B$1314, "&lt;=" &amp; DK$1, DataRegularSeason20242025!$D$3:$D$1314, $A38)+SUMIFS(DataRegularSeason20242025!$AB$3:$AB$1314,DataRegularSeason20242025!$B$3:$B$1314, "&lt;=" &amp; DK$1, DataRegularSeason20242025!$E$3:$E$1314, $A38)</calculatedColumnFormula>
    </tableColumn>
    <tableColumn id="114" xr3:uid="{F02B9C0B-5906-462D-9424-F70E858ECFEA}" name="2025-01-23" totalsRowFunction="average" dataDxfId="507">
      <calculatedColumnFormula>SUMIFS(DataRegularSeason20242025!$AA$3:$AA$1314,DataRegularSeason20242025!$B$3:$B$1314, "&lt;=" &amp; DL$1, DataRegularSeason20242025!$D$3:$D$1314, $A38)+SUMIFS(DataRegularSeason20242025!$AB$3:$AB$1314,DataRegularSeason20242025!$B$3:$B$1314, "&lt;=" &amp; DL$1, DataRegularSeason20242025!$E$3:$E$1314, $A38)</calculatedColumnFormula>
    </tableColumn>
    <tableColumn id="115" xr3:uid="{41775CF0-11BC-4010-B9F1-65F3CA5C5A1B}" name="2025-01-24" totalsRowFunction="average" dataDxfId="506">
      <calculatedColumnFormula>SUMIFS(DataRegularSeason20242025!$AA$3:$AA$1314,DataRegularSeason20242025!$B$3:$B$1314, "&lt;=" &amp; DM$1, DataRegularSeason20242025!$D$3:$D$1314, $A38)+SUMIFS(DataRegularSeason20242025!$AB$3:$AB$1314,DataRegularSeason20242025!$B$3:$B$1314, "&lt;=" &amp; DM$1, DataRegularSeason20242025!$E$3:$E$1314, $A38)</calculatedColumnFormula>
    </tableColumn>
    <tableColumn id="116" xr3:uid="{11A92494-A26E-4AF1-95E4-AE0C0F24BE9B}" name="2025-01-25" totalsRowFunction="average" dataDxfId="505">
      <calculatedColumnFormula>SUMIFS(DataRegularSeason20242025!$AA$3:$AA$1314,DataRegularSeason20242025!$B$3:$B$1314, "&lt;=" &amp; DN$1, DataRegularSeason20242025!$D$3:$D$1314, $A38)+SUMIFS(DataRegularSeason20242025!$AB$3:$AB$1314,DataRegularSeason20242025!$B$3:$B$1314, "&lt;=" &amp; DN$1, DataRegularSeason20242025!$E$3:$E$1314, $A38)</calculatedColumnFormula>
    </tableColumn>
    <tableColumn id="117" xr3:uid="{39235DA8-CDCB-4701-BC14-7C194C34B824}" name="2025-01-26" totalsRowFunction="average" dataDxfId="504">
      <calculatedColumnFormula>SUMIFS(DataRegularSeason20242025!$AA$3:$AA$1314,DataRegularSeason20242025!$B$3:$B$1314, "&lt;=" &amp; DO$1, DataRegularSeason20242025!$D$3:$D$1314, $A38)+SUMIFS(DataRegularSeason20242025!$AB$3:$AB$1314,DataRegularSeason20242025!$B$3:$B$1314, "&lt;=" &amp; DO$1, DataRegularSeason20242025!$E$3:$E$1314, $A38)</calculatedColumnFormula>
    </tableColumn>
    <tableColumn id="118" xr3:uid="{83F0D1E0-31A8-407B-96BD-B5768CE60A83}" name="2025-01-27" totalsRowFunction="average" dataDxfId="503">
      <calculatedColumnFormula>SUMIFS(DataRegularSeason20242025!$AA$3:$AA$1314,DataRegularSeason20242025!$B$3:$B$1314, "&lt;=" &amp; DP$1, DataRegularSeason20242025!$D$3:$D$1314, $A38)+SUMIFS(DataRegularSeason20242025!$AB$3:$AB$1314,DataRegularSeason20242025!$B$3:$B$1314, "&lt;=" &amp; DP$1, DataRegularSeason20242025!$E$3:$E$1314, $A38)</calculatedColumnFormula>
    </tableColumn>
    <tableColumn id="119" xr3:uid="{664FFE3D-D3AC-4D7E-A46A-CD48CDD56C63}" name="2025-01-28" totalsRowFunction="average" dataDxfId="502">
      <calculatedColumnFormula>SUMIFS(DataRegularSeason20242025!$AA$3:$AA$1314,DataRegularSeason20242025!$B$3:$B$1314, "&lt;=" &amp; DQ$1, DataRegularSeason20242025!$D$3:$D$1314, $A38)+SUMIFS(DataRegularSeason20242025!$AB$3:$AB$1314,DataRegularSeason20242025!$B$3:$B$1314, "&lt;=" &amp; DQ$1, DataRegularSeason20242025!$E$3:$E$1314, $A38)</calculatedColumnFormula>
    </tableColumn>
    <tableColumn id="120" xr3:uid="{99076D3D-C438-45F4-89F8-48A69F57A47A}" name="2025-01-29" totalsRowFunction="average" dataDxfId="501">
      <calculatedColumnFormula>SUMIFS(DataRegularSeason20242025!$AA$3:$AA$1314,DataRegularSeason20242025!$B$3:$B$1314, "&lt;=" &amp; DR$1, DataRegularSeason20242025!$D$3:$D$1314, $A38)+SUMIFS(DataRegularSeason20242025!$AB$3:$AB$1314,DataRegularSeason20242025!$B$3:$B$1314, "&lt;=" &amp; DR$1, DataRegularSeason20242025!$E$3:$E$1314, $A38)</calculatedColumnFormula>
    </tableColumn>
    <tableColumn id="121" xr3:uid="{5DA71604-0379-4821-84AD-9C44A9FEA044}" name="2025-01-30" totalsRowFunction="average" dataDxfId="500">
      <calculatedColumnFormula>SUMIFS(DataRegularSeason20242025!$AA$3:$AA$1314,DataRegularSeason20242025!$B$3:$B$1314, "&lt;=" &amp; DS$1, DataRegularSeason20242025!$D$3:$D$1314, $A38)+SUMIFS(DataRegularSeason20242025!$AB$3:$AB$1314,DataRegularSeason20242025!$B$3:$B$1314, "&lt;=" &amp; DS$1, DataRegularSeason20242025!$E$3:$E$1314, $A38)</calculatedColumnFormula>
    </tableColumn>
    <tableColumn id="122" xr3:uid="{DC4FC20E-A416-4182-A5E4-FBFA58C2C252}" name="2025-01-31" totalsRowFunction="average" dataDxfId="499">
      <calculatedColumnFormula>SUMIFS(DataRegularSeason20242025!$AA$3:$AA$1314,DataRegularSeason20242025!$B$3:$B$1314, "&lt;=" &amp; DT$1, DataRegularSeason20242025!$D$3:$D$1314, $A38)+SUMIFS(DataRegularSeason20242025!$AB$3:$AB$1314,DataRegularSeason20242025!$B$3:$B$1314, "&lt;=" &amp; DT$1, DataRegularSeason20242025!$E$3:$E$1314, $A38)</calculatedColumnFormula>
    </tableColumn>
    <tableColumn id="123" xr3:uid="{A0AEDB6E-72DF-475A-B189-63DD35BAF686}" name="2025-02-01" totalsRowFunction="average" dataDxfId="498">
      <calculatedColumnFormula>SUMIFS(DataRegularSeason20242025!$AA$3:$AA$1314,DataRegularSeason20242025!$B$3:$B$1314, "&lt;=" &amp; DU$1, DataRegularSeason20242025!$D$3:$D$1314, $A38)+SUMIFS(DataRegularSeason20242025!$AB$3:$AB$1314,DataRegularSeason20242025!$B$3:$B$1314, "&lt;=" &amp; DU$1, DataRegularSeason20242025!$E$3:$E$1314, $A38)</calculatedColumnFormula>
    </tableColumn>
    <tableColumn id="124" xr3:uid="{AC29BF09-478A-4D35-963B-B9552A9E622E}" name="2025-02-02" totalsRowFunction="average" dataDxfId="497">
      <calculatedColumnFormula>SUMIFS(DataRegularSeason20242025!$AA$3:$AA$1314,DataRegularSeason20242025!$B$3:$B$1314, "&lt;=" &amp; DV$1, DataRegularSeason20242025!$D$3:$D$1314, $A38)+SUMIFS(DataRegularSeason20242025!$AB$3:$AB$1314,DataRegularSeason20242025!$B$3:$B$1314, "&lt;=" &amp; DV$1, DataRegularSeason20242025!$E$3:$E$1314, $A38)</calculatedColumnFormula>
    </tableColumn>
    <tableColumn id="125" xr3:uid="{143B585B-A7D1-4287-9B00-EBFB12196234}" name="2025-02-03" totalsRowFunction="average" dataDxfId="496">
      <calculatedColumnFormula>SUMIFS(DataRegularSeason20242025!$AA$3:$AA$1314,DataRegularSeason20242025!$B$3:$B$1314, "&lt;=" &amp; DW$1, DataRegularSeason20242025!$D$3:$D$1314, $A38)+SUMIFS(DataRegularSeason20242025!$AB$3:$AB$1314,DataRegularSeason20242025!$B$3:$B$1314, "&lt;=" &amp; DW$1, DataRegularSeason20242025!$E$3:$E$1314, $A38)</calculatedColumnFormula>
    </tableColumn>
    <tableColumn id="126" xr3:uid="{956CFDEE-B487-468B-9119-90BCC1524FF9}" name="2025-02-04" totalsRowFunction="average" dataDxfId="495">
      <calculatedColumnFormula>SUMIFS(DataRegularSeason20242025!$AA$3:$AA$1314,DataRegularSeason20242025!$B$3:$B$1314, "&lt;=" &amp; DX$1, DataRegularSeason20242025!$D$3:$D$1314, $A38)+SUMIFS(DataRegularSeason20242025!$AB$3:$AB$1314,DataRegularSeason20242025!$B$3:$B$1314, "&lt;=" &amp; DX$1, DataRegularSeason20242025!$E$3:$E$1314, $A38)</calculatedColumnFormula>
    </tableColumn>
    <tableColumn id="127" xr3:uid="{9042AFDD-867C-46B6-8BFA-D1D5A75DE905}" name="2025-02-05" totalsRowFunction="average" dataDxfId="494">
      <calculatedColumnFormula>SUMIFS(DataRegularSeason20242025!$AA$3:$AA$1314,DataRegularSeason20242025!$B$3:$B$1314, "&lt;=" &amp; DY$1, DataRegularSeason20242025!$D$3:$D$1314, $A38)+SUMIFS(DataRegularSeason20242025!$AB$3:$AB$1314,DataRegularSeason20242025!$B$3:$B$1314, "&lt;=" &amp; DY$1, DataRegularSeason20242025!$E$3:$E$1314, $A38)</calculatedColumnFormula>
    </tableColumn>
    <tableColumn id="128" xr3:uid="{9917CD27-32E5-48C3-9429-CE488376EACB}" name="2025-02-06" totalsRowFunction="average" dataDxfId="493">
      <calculatedColumnFormula>SUMIFS(DataRegularSeason20242025!$AA$3:$AA$1314,DataRegularSeason20242025!$B$3:$B$1314, "&lt;=" &amp; DZ$1, DataRegularSeason20242025!$D$3:$D$1314, $A38)+SUMIFS(DataRegularSeason20242025!$AB$3:$AB$1314,DataRegularSeason20242025!$B$3:$B$1314, "&lt;=" &amp; DZ$1, DataRegularSeason20242025!$E$3:$E$1314, $A38)</calculatedColumnFormula>
    </tableColumn>
    <tableColumn id="129" xr3:uid="{5CC4D18F-4C22-4098-9104-90AD73F7D71E}" name="2025-02-07" totalsRowFunction="average" dataDxfId="492">
      <calculatedColumnFormula>SUMIFS(DataRegularSeason20242025!$AA$3:$AA$1314,DataRegularSeason20242025!$B$3:$B$1314, "&lt;=" &amp; EA$1, DataRegularSeason20242025!$D$3:$D$1314, $A38)+SUMIFS(DataRegularSeason20242025!$AB$3:$AB$1314,DataRegularSeason20242025!$B$3:$B$1314, "&lt;=" &amp; EA$1, DataRegularSeason20242025!$E$3:$E$1314, $A38)</calculatedColumnFormula>
    </tableColumn>
    <tableColumn id="130" xr3:uid="{6FCEA703-7C95-49E3-8907-412AE13156DC}" name="2025-02-08" totalsRowFunction="average" dataDxfId="491">
      <calculatedColumnFormula>SUMIFS(DataRegularSeason20242025!$AA$3:$AA$1314,DataRegularSeason20242025!$B$3:$B$1314, "&lt;=" &amp; EB$1, DataRegularSeason20242025!$D$3:$D$1314, $A38)+SUMIFS(DataRegularSeason20242025!$AB$3:$AB$1314,DataRegularSeason20242025!$B$3:$B$1314, "&lt;=" &amp; EB$1, DataRegularSeason20242025!$E$3:$E$1314, $A38)</calculatedColumnFormula>
    </tableColumn>
    <tableColumn id="131" xr3:uid="{8575DE2F-6889-46E6-AFB6-8C6AB061FFB0}" name="2025-02-09" totalsRowFunction="average" dataDxfId="490">
      <calculatedColumnFormula>SUMIFS(DataRegularSeason20242025!$AA$3:$AA$1314,DataRegularSeason20242025!$B$3:$B$1314, "&lt;=" &amp; EC$1, DataRegularSeason20242025!$D$3:$D$1314, $A38)+SUMIFS(DataRegularSeason20242025!$AB$3:$AB$1314,DataRegularSeason20242025!$B$3:$B$1314, "&lt;=" &amp; EC$1, DataRegularSeason20242025!$E$3:$E$1314, $A38)</calculatedColumnFormula>
    </tableColumn>
    <tableColumn id="132" xr3:uid="{A32E2713-23E4-458A-90E8-39086A03347D}" name="2025-02-10" totalsRowFunction="average" dataDxfId="489">
      <calculatedColumnFormula>SUMIFS(DataRegularSeason20242025!$AA$3:$AA$1314,DataRegularSeason20242025!$B$3:$B$1314, "&lt;=" &amp; ED$1, DataRegularSeason20242025!$D$3:$D$1314, $A38)+SUMIFS(DataRegularSeason20242025!$AB$3:$AB$1314,DataRegularSeason20242025!$B$3:$B$1314, "&lt;=" &amp; ED$1, DataRegularSeason20242025!$E$3:$E$1314, $A38)</calculatedColumnFormula>
    </tableColumn>
    <tableColumn id="133" xr3:uid="{6C79F20F-8D44-489A-A03B-767B04D84933}" name="2025-02-11" totalsRowFunction="average" dataDxfId="488">
      <calculatedColumnFormula>SUMIFS(DataRegularSeason20242025!$AA$3:$AA$1314,DataRegularSeason20242025!$B$3:$B$1314, "&lt;=" &amp; EE$1, DataRegularSeason20242025!$D$3:$D$1314, $A38)+SUMIFS(DataRegularSeason20242025!$AB$3:$AB$1314,DataRegularSeason20242025!$B$3:$B$1314, "&lt;=" &amp; EE$1, DataRegularSeason20242025!$E$3:$E$1314, $A38)</calculatedColumnFormula>
    </tableColumn>
    <tableColumn id="134" xr3:uid="{1062510F-D0EE-4AA2-937B-58440966FC3A}" name="2025-02-12" totalsRowFunction="average" dataDxfId="487">
      <calculatedColumnFormula>SUMIFS(DataRegularSeason20242025!$AA$3:$AA$1314,DataRegularSeason20242025!$B$3:$B$1314, "&lt;=" &amp; EF$1, DataRegularSeason20242025!$D$3:$D$1314, $A38)+SUMIFS(DataRegularSeason20242025!$AB$3:$AB$1314,DataRegularSeason20242025!$B$3:$B$1314, "&lt;=" &amp; EF$1, DataRegularSeason20242025!$E$3:$E$1314, $A38)</calculatedColumnFormula>
    </tableColumn>
    <tableColumn id="135" xr3:uid="{6D1691E1-0721-4A56-B3C7-F2A685156DEF}" name="2025-02-13" totalsRowFunction="average" dataDxfId="486">
      <calculatedColumnFormula>SUMIFS(DataRegularSeason20242025!$AA$3:$AA$1314,DataRegularSeason20242025!$B$3:$B$1314, "&lt;=" &amp; EG$1, DataRegularSeason20242025!$D$3:$D$1314, $A38)+SUMIFS(DataRegularSeason20242025!$AB$3:$AB$1314,DataRegularSeason20242025!$B$3:$B$1314, "&lt;=" &amp; EG$1, DataRegularSeason20242025!$E$3:$E$1314, $A38)</calculatedColumnFormula>
    </tableColumn>
    <tableColumn id="136" xr3:uid="{C7399DB6-A405-4192-99AA-657852244835}" name="2025-02-14" totalsRowFunction="average" dataDxfId="485">
      <calculatedColumnFormula>SUMIFS(DataRegularSeason20242025!$AA$3:$AA$1314,DataRegularSeason20242025!$B$3:$B$1314, "&lt;=" &amp; EH$1, DataRegularSeason20242025!$D$3:$D$1314, $A38)+SUMIFS(DataRegularSeason20242025!$AB$3:$AB$1314,DataRegularSeason20242025!$B$3:$B$1314, "&lt;=" &amp; EH$1, DataRegularSeason20242025!$E$3:$E$1314, $A38)</calculatedColumnFormula>
    </tableColumn>
    <tableColumn id="137" xr3:uid="{AD17F38E-33DF-4E2D-AA3D-2463BCF82E32}" name="2025-02-15" totalsRowFunction="average" dataDxfId="484">
      <calculatedColumnFormula>SUMIFS(DataRegularSeason20242025!$AA$3:$AA$1314,DataRegularSeason20242025!$B$3:$B$1314, "&lt;=" &amp; EI$1, DataRegularSeason20242025!$D$3:$D$1314, $A38)+SUMIFS(DataRegularSeason20242025!$AB$3:$AB$1314,DataRegularSeason20242025!$B$3:$B$1314, "&lt;=" &amp; EI$1, DataRegularSeason20242025!$E$3:$E$1314, $A38)</calculatedColumnFormula>
    </tableColumn>
    <tableColumn id="138" xr3:uid="{7C8290DE-3E9F-43B0-A899-99009F88E331}" name="2025-02-16" totalsRowFunction="average" dataDxfId="483">
      <calculatedColumnFormula>SUMIFS(DataRegularSeason20242025!$AA$3:$AA$1314,DataRegularSeason20242025!$B$3:$B$1314, "&lt;=" &amp; EJ$1, DataRegularSeason20242025!$D$3:$D$1314, $A38)+SUMIFS(DataRegularSeason20242025!$AB$3:$AB$1314,DataRegularSeason20242025!$B$3:$B$1314, "&lt;=" &amp; EJ$1, DataRegularSeason20242025!$E$3:$E$1314, $A38)</calculatedColumnFormula>
    </tableColumn>
    <tableColumn id="139" xr3:uid="{5279A544-1132-4FEC-8C5F-B417B18B3EC7}" name="2025-02-17" totalsRowFunction="average" dataDxfId="482">
      <calculatedColumnFormula>SUMIFS(DataRegularSeason20242025!$AA$3:$AA$1314,DataRegularSeason20242025!$B$3:$B$1314, "&lt;=" &amp; EK$1, DataRegularSeason20242025!$D$3:$D$1314, $A38)+SUMIFS(DataRegularSeason20242025!$AB$3:$AB$1314,DataRegularSeason20242025!$B$3:$B$1314, "&lt;=" &amp; EK$1, DataRegularSeason20242025!$E$3:$E$1314, $A38)</calculatedColumnFormula>
    </tableColumn>
    <tableColumn id="140" xr3:uid="{6F3B277F-253D-423F-8E32-F7D4D2BF3ED9}" name="2025-02-18" totalsRowFunction="average" dataDxfId="481">
      <calculatedColumnFormula>SUMIFS(DataRegularSeason20242025!$AA$3:$AA$1314,DataRegularSeason20242025!$B$3:$B$1314, "&lt;=" &amp; EL$1, DataRegularSeason20242025!$D$3:$D$1314, $A38)+SUMIFS(DataRegularSeason20242025!$AB$3:$AB$1314,DataRegularSeason20242025!$B$3:$B$1314, "&lt;=" &amp; EL$1, DataRegularSeason20242025!$E$3:$E$1314, $A38)</calculatedColumnFormula>
    </tableColumn>
    <tableColumn id="141" xr3:uid="{4A34D0D2-3403-4AE0-984A-E9E6676B14F8}" name="2025-02-19" totalsRowFunction="average" dataDxfId="480">
      <calculatedColumnFormula>SUMIFS(DataRegularSeason20242025!$AA$3:$AA$1314,DataRegularSeason20242025!$B$3:$B$1314, "&lt;=" &amp; EM$1, DataRegularSeason20242025!$D$3:$D$1314, $A38)+SUMIFS(DataRegularSeason20242025!$AB$3:$AB$1314,DataRegularSeason20242025!$B$3:$B$1314, "&lt;=" &amp; EM$1, DataRegularSeason20242025!$E$3:$E$1314, $A38)</calculatedColumnFormula>
    </tableColumn>
    <tableColumn id="142" xr3:uid="{FCF56F81-5637-413E-9436-7F118007D00C}" name="2025-02-20" totalsRowFunction="average" dataDxfId="479">
      <calculatedColumnFormula>SUMIFS(DataRegularSeason20242025!$AA$3:$AA$1314,DataRegularSeason20242025!$B$3:$B$1314, "&lt;=" &amp; EN$1, DataRegularSeason20242025!$D$3:$D$1314, $A38)+SUMIFS(DataRegularSeason20242025!$AB$3:$AB$1314,DataRegularSeason20242025!$B$3:$B$1314, "&lt;=" &amp; EN$1, DataRegularSeason20242025!$E$3:$E$1314, $A38)</calculatedColumnFormula>
    </tableColumn>
    <tableColumn id="143" xr3:uid="{9FEED4A9-703F-4FA3-A474-1F38B6ADA9DA}" name="2025-02-21" totalsRowFunction="average" dataDxfId="478">
      <calculatedColumnFormula>SUMIFS(DataRegularSeason20242025!$AA$3:$AA$1314,DataRegularSeason20242025!$B$3:$B$1314, "&lt;=" &amp; EO$1, DataRegularSeason20242025!$D$3:$D$1314, $A38)+SUMIFS(DataRegularSeason20242025!$AB$3:$AB$1314,DataRegularSeason20242025!$B$3:$B$1314, "&lt;=" &amp; EO$1, DataRegularSeason20242025!$E$3:$E$1314, $A38)</calculatedColumnFormula>
    </tableColumn>
    <tableColumn id="144" xr3:uid="{F1228066-3A22-46F6-B11B-85900A8D909C}" name="2025-02-22" totalsRowFunction="average" dataDxfId="477">
      <calculatedColumnFormula>SUMIFS(DataRegularSeason20242025!$AA$3:$AA$1314,DataRegularSeason20242025!$B$3:$B$1314, "&lt;=" &amp; EP$1, DataRegularSeason20242025!$D$3:$D$1314, $A38)+SUMIFS(DataRegularSeason20242025!$AB$3:$AB$1314,DataRegularSeason20242025!$B$3:$B$1314, "&lt;=" &amp; EP$1, DataRegularSeason20242025!$E$3:$E$1314, $A38)</calculatedColumnFormula>
    </tableColumn>
    <tableColumn id="145" xr3:uid="{BE77C434-28C1-480A-B68C-B6FA7F600073}" name="2025-02-23" totalsRowFunction="average" dataDxfId="476">
      <calculatedColumnFormula>SUMIFS(DataRegularSeason20242025!$AA$3:$AA$1314,DataRegularSeason20242025!$B$3:$B$1314, "&lt;=" &amp; EQ$1, DataRegularSeason20242025!$D$3:$D$1314, $A38)+SUMIFS(DataRegularSeason20242025!$AB$3:$AB$1314,DataRegularSeason20242025!$B$3:$B$1314, "&lt;=" &amp; EQ$1, DataRegularSeason20242025!$E$3:$E$1314, $A38)</calculatedColumnFormula>
    </tableColumn>
    <tableColumn id="146" xr3:uid="{D6E3E300-3565-4B7E-9F2B-7906F580CC6C}" name="2025-02-24" totalsRowFunction="average" dataDxfId="475">
      <calculatedColumnFormula>SUMIFS(DataRegularSeason20242025!$AA$3:$AA$1314,DataRegularSeason20242025!$B$3:$B$1314, "&lt;=" &amp; ER$1, DataRegularSeason20242025!$D$3:$D$1314, $A38)+SUMIFS(DataRegularSeason20242025!$AB$3:$AB$1314,DataRegularSeason20242025!$B$3:$B$1314, "&lt;=" &amp; ER$1, DataRegularSeason20242025!$E$3:$E$1314, $A38)</calculatedColumnFormula>
    </tableColumn>
    <tableColumn id="147" xr3:uid="{50C113D8-05B8-45E8-A4D0-51192324BC81}" name="2025-02-25" totalsRowFunction="average" dataDxfId="474">
      <calculatedColumnFormula>SUMIFS(DataRegularSeason20242025!$AA$3:$AA$1314,DataRegularSeason20242025!$B$3:$B$1314, "&lt;=" &amp; ES$1, DataRegularSeason20242025!$D$3:$D$1314, $A38)+SUMIFS(DataRegularSeason20242025!$AB$3:$AB$1314,DataRegularSeason20242025!$B$3:$B$1314, "&lt;=" &amp; ES$1, DataRegularSeason20242025!$E$3:$E$1314, $A38)</calculatedColumnFormula>
    </tableColumn>
    <tableColumn id="148" xr3:uid="{4E5D3588-FB57-456B-992A-06489E19BA8B}" name="2025-02-26" totalsRowFunction="average" dataDxfId="473">
      <calculatedColumnFormula>SUMIFS(DataRegularSeason20242025!$AA$3:$AA$1314,DataRegularSeason20242025!$B$3:$B$1314, "&lt;=" &amp; ET$1, DataRegularSeason20242025!$D$3:$D$1314, $A38)+SUMIFS(DataRegularSeason20242025!$AB$3:$AB$1314,DataRegularSeason20242025!$B$3:$B$1314, "&lt;=" &amp; ET$1, DataRegularSeason20242025!$E$3:$E$1314, $A38)</calculatedColumnFormula>
    </tableColumn>
    <tableColumn id="149" xr3:uid="{812CEEB3-E23D-4FB3-99D8-C2542802FEA1}" name="2025-02-27" totalsRowFunction="average" dataDxfId="472">
      <calculatedColumnFormula>SUMIFS(DataRegularSeason20242025!$AA$3:$AA$1314,DataRegularSeason20242025!$B$3:$B$1314, "&lt;=" &amp; EU$1, DataRegularSeason20242025!$D$3:$D$1314, $A38)+SUMIFS(DataRegularSeason20242025!$AB$3:$AB$1314,DataRegularSeason20242025!$B$3:$B$1314, "&lt;=" &amp; EU$1, DataRegularSeason20242025!$E$3:$E$1314, $A38)</calculatedColumnFormula>
    </tableColumn>
    <tableColumn id="150" xr3:uid="{87270DC5-CEF9-49C0-9529-2E30592EA7DE}" name="2025-02-28" totalsRowFunction="average" dataDxfId="471">
      <calculatedColumnFormula>SUMIFS(DataRegularSeason20242025!$AA$3:$AA$1314,DataRegularSeason20242025!$B$3:$B$1314, "&lt;=" &amp; EV$1, DataRegularSeason20242025!$D$3:$D$1314, $A38)+SUMIFS(DataRegularSeason20242025!$AB$3:$AB$1314,DataRegularSeason20242025!$B$3:$B$1314, "&lt;=" &amp; EV$1, DataRegularSeason20242025!$E$3:$E$1314, $A38)</calculatedColumnFormula>
    </tableColumn>
    <tableColumn id="151" xr3:uid="{5D967038-A4DB-4DA7-BAF7-9199EAFB257E}" name="2025-03-01" totalsRowFunction="average" dataDxfId="470">
      <calculatedColumnFormula>SUMIFS(DataRegularSeason20242025!$AA$3:$AA$1314,DataRegularSeason20242025!$B$3:$B$1314, "&lt;=" &amp; EW$1, DataRegularSeason20242025!$D$3:$D$1314, $A38)+SUMIFS(DataRegularSeason20242025!$AB$3:$AB$1314,DataRegularSeason20242025!$B$3:$B$1314, "&lt;=" &amp; EW$1, DataRegularSeason20242025!$E$3:$E$1314, $A38)</calculatedColumnFormula>
    </tableColumn>
    <tableColumn id="152" xr3:uid="{0BB78141-8706-473C-BCAB-4B0666E36E66}" name="2025-03-02" totalsRowFunction="average" dataDxfId="469">
      <calculatedColumnFormula>SUMIFS(DataRegularSeason20242025!$AA$3:$AA$1314,DataRegularSeason20242025!$B$3:$B$1314, "&lt;=" &amp; EX$1, DataRegularSeason20242025!$D$3:$D$1314, $A38)+SUMIFS(DataRegularSeason20242025!$AB$3:$AB$1314,DataRegularSeason20242025!$B$3:$B$1314, "&lt;=" &amp; EX$1, DataRegularSeason20242025!$E$3:$E$1314, $A38)</calculatedColumnFormula>
    </tableColumn>
    <tableColumn id="153" xr3:uid="{FFD8E317-7D67-416D-890C-EBD4BA3C3F9D}" name="2025-03-03" totalsRowFunction="average" dataDxfId="468">
      <calculatedColumnFormula>SUMIFS(DataRegularSeason20242025!$AA$3:$AA$1314,DataRegularSeason20242025!$B$3:$B$1314, "&lt;=" &amp; EY$1, DataRegularSeason20242025!$D$3:$D$1314, $A38)+SUMIFS(DataRegularSeason20242025!$AB$3:$AB$1314,DataRegularSeason20242025!$B$3:$B$1314, "&lt;=" &amp; EY$1, DataRegularSeason20242025!$E$3:$E$1314, $A38)</calculatedColumnFormula>
    </tableColumn>
    <tableColumn id="154" xr3:uid="{EFE71DBA-ECB6-4AA5-BAA8-C99C9B4EDF58}" name="2025-03-04" totalsRowFunction="average" dataDxfId="467">
      <calculatedColumnFormula>SUMIFS(DataRegularSeason20242025!$AA$3:$AA$1314,DataRegularSeason20242025!$B$3:$B$1314, "&lt;=" &amp; EZ$1, DataRegularSeason20242025!$D$3:$D$1314, $A38)+SUMIFS(DataRegularSeason20242025!$AB$3:$AB$1314,DataRegularSeason20242025!$B$3:$B$1314, "&lt;=" &amp; EZ$1, DataRegularSeason20242025!$E$3:$E$1314, $A38)</calculatedColumnFormula>
    </tableColumn>
    <tableColumn id="155" xr3:uid="{35D34B36-A07E-4EBF-A07C-6459ED4F2771}" name="2025-03-05" totalsRowFunction="average" dataDxfId="466">
      <calculatedColumnFormula>SUMIFS(DataRegularSeason20242025!$AA$3:$AA$1314,DataRegularSeason20242025!$B$3:$B$1314, "&lt;=" &amp; FA$1, DataRegularSeason20242025!$D$3:$D$1314, $A38)+SUMIFS(DataRegularSeason20242025!$AB$3:$AB$1314,DataRegularSeason20242025!$B$3:$B$1314, "&lt;=" &amp; FA$1, DataRegularSeason20242025!$E$3:$E$1314, $A38)</calculatedColumnFormula>
    </tableColumn>
    <tableColumn id="156" xr3:uid="{EDFD2CAC-EDF1-4260-B5D3-A68693F2C7C0}" name="2025-03-06" totalsRowFunction="average" dataDxfId="465">
      <calculatedColumnFormula>SUMIFS(DataRegularSeason20242025!$AA$3:$AA$1314,DataRegularSeason20242025!$B$3:$B$1314, "&lt;=" &amp; FB$1, DataRegularSeason20242025!$D$3:$D$1314, $A38)+SUMIFS(DataRegularSeason20242025!$AB$3:$AB$1314,DataRegularSeason20242025!$B$3:$B$1314, "&lt;=" &amp; FB$1, DataRegularSeason20242025!$E$3:$E$1314, $A38)</calculatedColumnFormula>
    </tableColumn>
    <tableColumn id="157" xr3:uid="{E0A21554-4EFD-4189-AACF-27243348AB1E}" name="2025-03-07" totalsRowFunction="average" dataDxfId="464">
      <calculatedColumnFormula>SUMIFS(DataRegularSeason20242025!$AA$3:$AA$1314,DataRegularSeason20242025!$B$3:$B$1314, "&lt;=" &amp; FC$1, DataRegularSeason20242025!$D$3:$D$1314, $A38)+SUMIFS(DataRegularSeason20242025!$AB$3:$AB$1314,DataRegularSeason20242025!$B$3:$B$1314, "&lt;=" &amp; FC$1, DataRegularSeason20242025!$E$3:$E$1314, $A38)</calculatedColumnFormula>
    </tableColumn>
    <tableColumn id="158" xr3:uid="{8ED30224-E4C1-4097-BF39-F440309B3ECD}" name="2025-03-08" totalsRowFunction="average" dataDxfId="463">
      <calculatedColumnFormula>SUMIFS(DataRegularSeason20242025!$AA$3:$AA$1314,DataRegularSeason20242025!$B$3:$B$1314, "&lt;=" &amp; FD$1, DataRegularSeason20242025!$D$3:$D$1314, $A38)+SUMIFS(DataRegularSeason20242025!$AB$3:$AB$1314,DataRegularSeason20242025!$B$3:$B$1314, "&lt;=" &amp; FD$1, DataRegularSeason20242025!$E$3:$E$1314, $A38)</calculatedColumnFormula>
    </tableColumn>
    <tableColumn id="159" xr3:uid="{5D343B55-967B-477B-AF0D-B9091268D5FC}" name="2025-03-09" totalsRowFunction="average" dataDxfId="462">
      <calculatedColumnFormula>SUMIFS(DataRegularSeason20242025!$AA$3:$AA$1314,DataRegularSeason20242025!$B$3:$B$1314, "&lt;=" &amp; FE$1, DataRegularSeason20242025!$D$3:$D$1314, $A38)+SUMIFS(DataRegularSeason20242025!$AB$3:$AB$1314,DataRegularSeason20242025!$B$3:$B$1314, "&lt;=" &amp; FE$1, DataRegularSeason20242025!$E$3:$E$1314, $A38)</calculatedColumnFormula>
    </tableColumn>
    <tableColumn id="160" xr3:uid="{ECB33CDE-53E5-416D-9A31-01C9096E5C16}" name="2025-03-10" totalsRowFunction="average" dataDxfId="461">
      <calculatedColumnFormula>SUMIFS(DataRegularSeason20242025!$AA$3:$AA$1314,DataRegularSeason20242025!$B$3:$B$1314, "&lt;=" &amp; FF$1, DataRegularSeason20242025!$D$3:$D$1314, $A38)+SUMIFS(DataRegularSeason20242025!$AB$3:$AB$1314,DataRegularSeason20242025!$B$3:$B$1314, "&lt;=" &amp; FF$1, DataRegularSeason20242025!$E$3:$E$1314, $A38)</calculatedColumnFormula>
    </tableColumn>
    <tableColumn id="161" xr3:uid="{EBF20EC0-F30B-40D7-9155-98BBE8E31EC1}" name="2025-03-11" totalsRowFunction="average" dataDxfId="460">
      <calculatedColumnFormula>SUMIFS(DataRegularSeason20242025!$AA$3:$AA$1314,DataRegularSeason20242025!$B$3:$B$1314, "&lt;=" &amp; FG$1, DataRegularSeason20242025!$D$3:$D$1314, $A38)+SUMIFS(DataRegularSeason20242025!$AB$3:$AB$1314,DataRegularSeason20242025!$B$3:$B$1314, "&lt;=" &amp; FG$1, DataRegularSeason20242025!$E$3:$E$1314, $A38)</calculatedColumnFormula>
    </tableColumn>
    <tableColumn id="162" xr3:uid="{A2E0DF48-6A8E-4E1E-BB65-7F4F0F7DB525}" name="2025-03-12" totalsRowFunction="average" dataDxfId="459">
      <calculatedColumnFormula>SUMIFS(DataRegularSeason20242025!$AA$3:$AA$1314,DataRegularSeason20242025!$B$3:$B$1314, "&lt;=" &amp; FH$1, DataRegularSeason20242025!$D$3:$D$1314, $A38)+SUMIFS(DataRegularSeason20242025!$AB$3:$AB$1314,DataRegularSeason20242025!$B$3:$B$1314, "&lt;=" &amp; FH$1, DataRegularSeason20242025!$E$3:$E$1314, $A38)</calculatedColumnFormula>
    </tableColumn>
    <tableColumn id="163" xr3:uid="{77275446-F8C0-4848-BA00-0EE7FCC8C0D4}" name="2025-03-13" totalsRowFunction="average" dataDxfId="458">
      <calculatedColumnFormula>SUMIFS(DataRegularSeason20242025!$AA$3:$AA$1314,DataRegularSeason20242025!$B$3:$B$1314, "&lt;=" &amp; FI$1, DataRegularSeason20242025!$D$3:$D$1314, $A38)+SUMIFS(DataRegularSeason20242025!$AB$3:$AB$1314,DataRegularSeason20242025!$B$3:$B$1314, "&lt;=" &amp; FI$1, DataRegularSeason20242025!$E$3:$E$1314, $A38)</calculatedColumnFormula>
    </tableColumn>
    <tableColumn id="164" xr3:uid="{0E3CAB99-98E6-4805-B1C4-631E63E40B02}" name="2025-03-14" totalsRowFunction="average" dataDxfId="457">
      <calculatedColumnFormula>SUMIFS(DataRegularSeason20242025!$AA$3:$AA$1314,DataRegularSeason20242025!$B$3:$B$1314, "&lt;=" &amp; FJ$1, DataRegularSeason20242025!$D$3:$D$1314, $A38)+SUMIFS(DataRegularSeason20242025!$AB$3:$AB$1314,DataRegularSeason20242025!$B$3:$B$1314, "&lt;=" &amp; FJ$1, DataRegularSeason20242025!$E$3:$E$1314, $A38)</calculatedColumnFormula>
    </tableColumn>
    <tableColumn id="165" xr3:uid="{4C6DC25F-EE8D-42E7-92B7-BFC0CF99421C}" name="2025-03-15" totalsRowFunction="average" dataDxfId="456">
      <calculatedColumnFormula>SUMIFS(DataRegularSeason20242025!$AA$3:$AA$1314,DataRegularSeason20242025!$B$3:$B$1314, "&lt;=" &amp; FK$1, DataRegularSeason20242025!$D$3:$D$1314, $A38)+SUMIFS(DataRegularSeason20242025!$AB$3:$AB$1314,DataRegularSeason20242025!$B$3:$B$1314, "&lt;=" &amp; FK$1, DataRegularSeason20242025!$E$3:$E$1314, $A38)</calculatedColumnFormula>
    </tableColumn>
    <tableColumn id="166" xr3:uid="{3F3692CD-8C7D-4CA3-A24A-CDC27C9F8D5E}" name="2025-03-16" totalsRowFunction="average" dataDxfId="455">
      <calculatedColumnFormula>SUMIFS(DataRegularSeason20242025!$AA$3:$AA$1314,DataRegularSeason20242025!$B$3:$B$1314, "&lt;=" &amp; FL$1, DataRegularSeason20242025!$D$3:$D$1314, $A38)+SUMIFS(DataRegularSeason20242025!$AB$3:$AB$1314,DataRegularSeason20242025!$B$3:$B$1314, "&lt;=" &amp; FL$1, DataRegularSeason20242025!$E$3:$E$1314, $A38)</calculatedColumnFormula>
    </tableColumn>
    <tableColumn id="167" xr3:uid="{F43D0F7D-3897-4EB0-AD80-3EE1A9DAF255}" name="2025-03-17" totalsRowFunction="average" dataDxfId="454">
      <calculatedColumnFormula>SUMIFS(DataRegularSeason20242025!$AA$3:$AA$1314,DataRegularSeason20242025!$B$3:$B$1314, "&lt;=" &amp; FM$1, DataRegularSeason20242025!$D$3:$D$1314, $A38)+SUMIFS(DataRegularSeason20242025!$AB$3:$AB$1314,DataRegularSeason20242025!$B$3:$B$1314, "&lt;=" &amp; FM$1, DataRegularSeason20242025!$E$3:$E$1314, $A38)</calculatedColumnFormula>
    </tableColumn>
    <tableColumn id="168" xr3:uid="{6A3EECE9-273C-4916-8878-074C07F64124}" name="2025-03-18" totalsRowFunction="average" dataDxfId="453">
      <calculatedColumnFormula>SUMIFS(DataRegularSeason20242025!$AA$3:$AA$1314,DataRegularSeason20242025!$B$3:$B$1314, "&lt;=" &amp; FN$1, DataRegularSeason20242025!$D$3:$D$1314, $A38)+SUMIFS(DataRegularSeason20242025!$AB$3:$AB$1314,DataRegularSeason20242025!$B$3:$B$1314, "&lt;=" &amp; FN$1, DataRegularSeason20242025!$E$3:$E$1314, $A38)</calculatedColumnFormula>
    </tableColumn>
    <tableColumn id="169" xr3:uid="{F4FAA17F-5DCD-4850-9EB9-426E82CBAEB2}" name="2025-03-19" totalsRowFunction="average" dataDxfId="452">
      <calculatedColumnFormula>SUMIFS(DataRegularSeason20242025!$AA$3:$AA$1314,DataRegularSeason20242025!$B$3:$B$1314, "&lt;=" &amp; FO$1, DataRegularSeason20242025!$D$3:$D$1314, $A38)+SUMIFS(DataRegularSeason20242025!$AB$3:$AB$1314,DataRegularSeason20242025!$B$3:$B$1314, "&lt;=" &amp; FO$1, DataRegularSeason20242025!$E$3:$E$1314, $A38)</calculatedColumnFormula>
    </tableColumn>
    <tableColumn id="170" xr3:uid="{09FC262A-CA2D-4711-A1D4-8966F56728DB}" name="2025-03-20" totalsRowFunction="average" dataDxfId="451">
      <calculatedColumnFormula>SUMIFS(DataRegularSeason20242025!$AA$3:$AA$1314,DataRegularSeason20242025!$B$3:$B$1314, "&lt;=" &amp; FP$1, DataRegularSeason20242025!$D$3:$D$1314, $A38)+SUMIFS(DataRegularSeason20242025!$AB$3:$AB$1314,DataRegularSeason20242025!$B$3:$B$1314, "&lt;=" &amp; FP$1, DataRegularSeason20242025!$E$3:$E$1314, $A38)</calculatedColumnFormula>
    </tableColumn>
    <tableColumn id="171" xr3:uid="{185B1A25-7EB8-49E2-8855-7B66E96C3B0C}" name="2025-03-21" totalsRowFunction="average" dataDxfId="450">
      <calculatedColumnFormula>SUMIFS(DataRegularSeason20242025!$AA$3:$AA$1314,DataRegularSeason20242025!$B$3:$B$1314, "&lt;=" &amp; FQ$1, DataRegularSeason20242025!$D$3:$D$1314, $A38)+SUMIFS(DataRegularSeason20242025!$AB$3:$AB$1314,DataRegularSeason20242025!$B$3:$B$1314, "&lt;=" &amp; FQ$1, DataRegularSeason20242025!$E$3:$E$1314, $A38)</calculatedColumnFormula>
    </tableColumn>
    <tableColumn id="172" xr3:uid="{F714F0E9-12D4-4B27-8A64-C7A81A72109D}" name="2025-03-22" totalsRowFunction="average" dataDxfId="449">
      <calculatedColumnFormula>SUMIFS(DataRegularSeason20242025!$AA$3:$AA$1314,DataRegularSeason20242025!$B$3:$B$1314, "&lt;=" &amp; FR$1, DataRegularSeason20242025!$D$3:$D$1314, $A38)+SUMIFS(DataRegularSeason20242025!$AB$3:$AB$1314,DataRegularSeason20242025!$B$3:$B$1314, "&lt;=" &amp; FR$1, DataRegularSeason20242025!$E$3:$E$1314, $A38)</calculatedColumnFormula>
    </tableColumn>
    <tableColumn id="173" xr3:uid="{90DA879D-9CAE-47C6-9970-FE02855E6B25}" name="2025-03-23" totalsRowFunction="average" dataDxfId="448">
      <calculatedColumnFormula>SUMIFS(DataRegularSeason20242025!$AA$3:$AA$1314,DataRegularSeason20242025!$B$3:$B$1314, "&lt;=" &amp; FS$1, DataRegularSeason20242025!$D$3:$D$1314, $A38)+SUMIFS(DataRegularSeason20242025!$AB$3:$AB$1314,DataRegularSeason20242025!$B$3:$B$1314, "&lt;=" &amp; FS$1, DataRegularSeason20242025!$E$3:$E$1314, $A38)</calculatedColumnFormula>
    </tableColumn>
    <tableColumn id="174" xr3:uid="{8418C5D7-72CB-4513-8DDC-A20159B284AC}" name="2025-03-24" totalsRowFunction="average" dataDxfId="447">
      <calculatedColumnFormula>SUMIFS(DataRegularSeason20242025!$AA$3:$AA$1314,DataRegularSeason20242025!$B$3:$B$1314, "&lt;=" &amp; FT$1, DataRegularSeason20242025!$D$3:$D$1314, $A38)+SUMIFS(DataRegularSeason20242025!$AB$3:$AB$1314,DataRegularSeason20242025!$B$3:$B$1314, "&lt;=" &amp; FT$1, DataRegularSeason20242025!$E$3:$E$1314, $A38)</calculatedColumnFormula>
    </tableColumn>
    <tableColumn id="175" xr3:uid="{AAEE47F3-A67C-4E26-AC06-C3825CBAB9F7}" name="2025-03-25" totalsRowFunction="average" dataDxfId="446">
      <calculatedColumnFormula>SUMIFS(DataRegularSeason20242025!$AA$3:$AA$1314,DataRegularSeason20242025!$B$3:$B$1314, "&lt;=" &amp; FU$1, DataRegularSeason20242025!$D$3:$D$1314, $A38)+SUMIFS(DataRegularSeason20242025!$AB$3:$AB$1314,DataRegularSeason20242025!$B$3:$B$1314, "&lt;=" &amp; FU$1, DataRegularSeason20242025!$E$3:$E$1314, $A38)</calculatedColumnFormula>
    </tableColumn>
    <tableColumn id="176" xr3:uid="{D0E50F42-E08B-4744-9B58-9CCB208CFFF5}" name="2025-03-26" totalsRowFunction="average" dataDxfId="445">
      <calculatedColumnFormula>SUMIFS(DataRegularSeason20242025!$AA$3:$AA$1314,DataRegularSeason20242025!$B$3:$B$1314, "&lt;=" &amp; FV$1, DataRegularSeason20242025!$D$3:$D$1314, $A38)+SUMIFS(DataRegularSeason20242025!$AB$3:$AB$1314,DataRegularSeason20242025!$B$3:$B$1314, "&lt;=" &amp; FV$1, DataRegularSeason20242025!$E$3:$E$1314, $A38)</calculatedColumnFormula>
    </tableColumn>
    <tableColumn id="177" xr3:uid="{CF87ED77-502E-4421-9827-C16BD075707F}" name="2025-03-27" totalsRowFunction="average" dataDxfId="444">
      <calculatedColumnFormula>SUMIFS(DataRegularSeason20242025!$AA$3:$AA$1314,DataRegularSeason20242025!$B$3:$B$1314, "&lt;=" &amp; FW$1, DataRegularSeason20242025!$D$3:$D$1314, $A38)+SUMIFS(DataRegularSeason20242025!$AB$3:$AB$1314,DataRegularSeason20242025!$B$3:$B$1314, "&lt;=" &amp; FW$1, DataRegularSeason20242025!$E$3:$E$1314, $A38)</calculatedColumnFormula>
    </tableColumn>
    <tableColumn id="178" xr3:uid="{BCD585B3-816C-4939-A7EB-04F8B46C47A7}" name="2025-03-28" totalsRowFunction="average" dataDxfId="443">
      <calculatedColumnFormula>SUMIFS(DataRegularSeason20242025!$AA$3:$AA$1314,DataRegularSeason20242025!$B$3:$B$1314, "&lt;=" &amp; FX$1, DataRegularSeason20242025!$D$3:$D$1314, $A38)+SUMIFS(DataRegularSeason20242025!$AB$3:$AB$1314,DataRegularSeason20242025!$B$3:$B$1314, "&lt;=" &amp; FX$1, DataRegularSeason20242025!$E$3:$E$1314, $A38)</calculatedColumnFormula>
    </tableColumn>
    <tableColumn id="179" xr3:uid="{B8AA8ED4-EAEF-4AA4-9E0B-05BAAA806968}" name="2025-03-29" totalsRowFunction="average" dataDxfId="442">
      <calculatedColumnFormula>SUMIFS(DataRegularSeason20242025!$AA$3:$AA$1314,DataRegularSeason20242025!$B$3:$B$1314, "&lt;=" &amp; FY$1, DataRegularSeason20242025!$D$3:$D$1314, $A38)+SUMIFS(DataRegularSeason20242025!$AB$3:$AB$1314,DataRegularSeason20242025!$B$3:$B$1314, "&lt;=" &amp; FY$1, DataRegularSeason20242025!$E$3:$E$1314, $A38)</calculatedColumnFormula>
    </tableColumn>
    <tableColumn id="180" xr3:uid="{FE361EB7-38C1-4C13-B67A-022374BEAC25}" name="2025-03-30" totalsRowFunction="average" dataDxfId="441">
      <calculatedColumnFormula>SUMIFS(DataRegularSeason20242025!$AA$3:$AA$1314,DataRegularSeason20242025!$B$3:$B$1314, "&lt;=" &amp; FZ$1, DataRegularSeason20242025!$D$3:$D$1314, $A38)+SUMIFS(DataRegularSeason20242025!$AB$3:$AB$1314,DataRegularSeason20242025!$B$3:$B$1314, "&lt;=" &amp; FZ$1, DataRegularSeason20242025!$E$3:$E$1314, $A38)</calculatedColumnFormula>
    </tableColumn>
    <tableColumn id="181" xr3:uid="{2FB6222E-F06F-46B9-A19C-B630F9AAF531}" name="2025-03-31" totalsRowFunction="average" dataDxfId="440">
      <calculatedColumnFormula>SUMIFS(DataRegularSeason20242025!$AA$3:$AA$1314,DataRegularSeason20242025!$B$3:$B$1314, "&lt;=" &amp; GA$1, DataRegularSeason20242025!$D$3:$D$1314, $A38)+SUMIFS(DataRegularSeason20242025!$AB$3:$AB$1314,DataRegularSeason20242025!$B$3:$B$1314, "&lt;=" &amp; GA$1, DataRegularSeason20242025!$E$3:$E$1314, $A38)</calculatedColumnFormula>
    </tableColumn>
    <tableColumn id="182" xr3:uid="{E93E7F4A-DD3C-4EC4-B958-769137C72172}" name="2025-04-01" totalsRowFunction="average" dataDxfId="439">
      <calculatedColumnFormula>SUMIFS(DataRegularSeason20242025!$AA$3:$AA$1314,DataRegularSeason20242025!$B$3:$B$1314, "&lt;=" &amp; GB$1, DataRegularSeason20242025!$D$3:$D$1314, $A38)+SUMIFS(DataRegularSeason20242025!$AB$3:$AB$1314,DataRegularSeason20242025!$B$3:$B$1314, "&lt;=" &amp; GB$1, DataRegularSeason20242025!$E$3:$E$1314, $A38)</calculatedColumnFormula>
    </tableColumn>
    <tableColumn id="183" xr3:uid="{69DDA4FB-18EA-453D-9B3B-7E34E2C41BA5}" name="2025-04-02" totalsRowFunction="average" dataDxfId="438">
      <calculatedColumnFormula>SUMIFS(DataRegularSeason20242025!$AA$3:$AA$1314,DataRegularSeason20242025!$B$3:$B$1314, "&lt;=" &amp; GC$1, DataRegularSeason20242025!$D$3:$D$1314, $A38)+SUMIFS(DataRegularSeason20242025!$AB$3:$AB$1314,DataRegularSeason20242025!$B$3:$B$1314, "&lt;=" &amp; GC$1, DataRegularSeason20242025!$E$3:$E$1314, $A38)</calculatedColumnFormula>
    </tableColumn>
    <tableColumn id="184" xr3:uid="{C04D309F-1141-4334-B459-F08A45AD598D}" name="2025-04-03" totalsRowFunction="average" dataDxfId="437">
      <calculatedColumnFormula>SUMIFS(DataRegularSeason20242025!$AA$3:$AA$1314,DataRegularSeason20242025!$B$3:$B$1314, "&lt;=" &amp; GD$1, DataRegularSeason20242025!$D$3:$D$1314, $A38)+SUMIFS(DataRegularSeason20242025!$AB$3:$AB$1314,DataRegularSeason20242025!$B$3:$B$1314, "&lt;=" &amp; GD$1, DataRegularSeason20242025!$E$3:$E$1314, $A38)</calculatedColumnFormula>
    </tableColumn>
    <tableColumn id="185" xr3:uid="{51E9D147-A2A3-4BD4-B1C1-D0D1015E587D}" name="2025-04-04" totalsRowFunction="average" dataDxfId="436">
      <calculatedColumnFormula>SUMIFS(DataRegularSeason20242025!$AA$3:$AA$1314,DataRegularSeason20242025!$B$3:$B$1314, "&lt;=" &amp; GE$1, DataRegularSeason20242025!$D$3:$D$1314, $A38)+SUMIFS(DataRegularSeason20242025!$AB$3:$AB$1314,DataRegularSeason20242025!$B$3:$B$1314, "&lt;=" &amp; GE$1, DataRegularSeason20242025!$E$3:$E$1314, $A38)</calculatedColumnFormula>
    </tableColumn>
    <tableColumn id="186" xr3:uid="{19E07540-A554-462E-8780-A46365A6078F}" name="2025-04-05" totalsRowFunction="average" dataDxfId="435">
      <calculatedColumnFormula>SUMIFS(DataRegularSeason20242025!$AA$3:$AA$1314,DataRegularSeason20242025!$B$3:$B$1314, "&lt;=" &amp; GF$1, DataRegularSeason20242025!$D$3:$D$1314, $A38)+SUMIFS(DataRegularSeason20242025!$AB$3:$AB$1314,DataRegularSeason20242025!$B$3:$B$1314, "&lt;=" &amp; GF$1, DataRegularSeason20242025!$E$3:$E$1314, $A38)</calculatedColumnFormula>
    </tableColumn>
    <tableColumn id="187" xr3:uid="{1F40DE12-B0EF-4950-B970-237F44A927AD}" name="2025-04-06" totalsRowFunction="average" dataDxfId="434">
      <calculatedColumnFormula>SUMIFS(DataRegularSeason20242025!$AA$3:$AA$1314,DataRegularSeason20242025!$B$3:$B$1314, "&lt;=" &amp; GG$1, DataRegularSeason20242025!$D$3:$D$1314, $A38)+SUMIFS(DataRegularSeason20242025!$AB$3:$AB$1314,DataRegularSeason20242025!$B$3:$B$1314, "&lt;=" &amp; GG$1, DataRegularSeason20242025!$E$3:$E$1314, $A38)</calculatedColumnFormula>
    </tableColumn>
    <tableColumn id="188" xr3:uid="{14AD083B-C148-451D-A1AC-C39453586B17}" name="2025-04-07" totalsRowFunction="average" dataDxfId="433">
      <calculatedColumnFormula>SUMIFS(DataRegularSeason20242025!$AA$3:$AA$1314,DataRegularSeason20242025!$B$3:$B$1314, "&lt;=" &amp; GH$1, DataRegularSeason20242025!$D$3:$D$1314, $A38)+SUMIFS(DataRegularSeason20242025!$AB$3:$AB$1314,DataRegularSeason20242025!$B$3:$B$1314, "&lt;=" &amp; GH$1, DataRegularSeason20242025!$E$3:$E$1314, $A38)</calculatedColumnFormula>
    </tableColumn>
    <tableColumn id="189" xr3:uid="{A202EC87-4573-4E81-93D5-11CA73F813FB}" name="2025-04-08" totalsRowFunction="average" dataDxfId="432">
      <calculatedColumnFormula>SUMIFS(DataRegularSeason20242025!$AA$3:$AA$1314,DataRegularSeason20242025!$B$3:$B$1314, "&lt;=" &amp; GI$1, DataRegularSeason20242025!$D$3:$D$1314, $A38)+SUMIFS(DataRegularSeason20242025!$AB$3:$AB$1314,DataRegularSeason20242025!$B$3:$B$1314, "&lt;=" &amp; GI$1, DataRegularSeason20242025!$E$3:$E$1314, $A38)</calculatedColumnFormula>
    </tableColumn>
    <tableColumn id="190" xr3:uid="{42816435-DC84-445F-A624-0D229F975E98}" name="2025-04-09" totalsRowFunction="average" dataDxfId="431">
      <calculatedColumnFormula>SUMIFS(DataRegularSeason20242025!$AA$3:$AA$1314,DataRegularSeason20242025!$B$3:$B$1314, "&lt;=" &amp; GJ$1, DataRegularSeason20242025!$D$3:$D$1314, $A38)+SUMIFS(DataRegularSeason20242025!$AB$3:$AB$1314,DataRegularSeason20242025!$B$3:$B$1314, "&lt;=" &amp; GJ$1, DataRegularSeason20242025!$E$3:$E$1314, $A38)</calculatedColumnFormula>
    </tableColumn>
    <tableColumn id="191" xr3:uid="{0DC83AB1-477A-4F4A-A7DA-B0735CFB0A73}" name="2025-04-10" totalsRowFunction="average" dataDxfId="430">
      <calculatedColumnFormula>SUMIFS(DataRegularSeason20242025!$AA$3:$AA$1314,DataRegularSeason20242025!$B$3:$B$1314, "&lt;=" &amp; GK$1, DataRegularSeason20242025!$D$3:$D$1314, $A38)+SUMIFS(DataRegularSeason20242025!$AB$3:$AB$1314,DataRegularSeason20242025!$B$3:$B$1314, "&lt;=" &amp; GK$1, DataRegularSeason20242025!$E$3:$E$1314, $A38)</calculatedColumnFormula>
    </tableColumn>
    <tableColumn id="192" xr3:uid="{7AC0B807-EE32-4B0B-898C-3CA2F2954D5D}" name="2025-04-11" totalsRowFunction="average" dataDxfId="429">
      <calculatedColumnFormula>SUMIFS(DataRegularSeason20242025!$AA$3:$AA$1314,DataRegularSeason20242025!$B$3:$B$1314, "&lt;=" &amp; GL$1, DataRegularSeason20242025!$D$3:$D$1314, $A38)+SUMIFS(DataRegularSeason20242025!$AB$3:$AB$1314,DataRegularSeason20242025!$B$3:$B$1314, "&lt;=" &amp; GL$1, DataRegularSeason20242025!$E$3:$E$1314, $A38)</calculatedColumnFormula>
    </tableColumn>
    <tableColumn id="193" xr3:uid="{EECC14A8-912A-478B-A952-B354E831023B}" name="2025-04-12" totalsRowFunction="average" dataDxfId="428">
      <calculatedColumnFormula>SUMIFS(DataRegularSeason20242025!$AA$3:$AA$1314,DataRegularSeason20242025!$B$3:$B$1314, "&lt;=" &amp; GM$1, DataRegularSeason20242025!$D$3:$D$1314, $A38)+SUMIFS(DataRegularSeason20242025!$AB$3:$AB$1314,DataRegularSeason20242025!$B$3:$B$1314, "&lt;=" &amp; GM$1, DataRegularSeason20242025!$E$3:$E$1314, $A38)</calculatedColumnFormula>
    </tableColumn>
    <tableColumn id="194" xr3:uid="{F4C30489-8605-4EFD-AD5A-536EEC88209B}" name="2025-04-13" totalsRowFunction="average" dataDxfId="427">
      <calculatedColumnFormula>SUMIFS(DataRegularSeason20242025!$AA$3:$AA$1314,DataRegularSeason20242025!$B$3:$B$1314, "&lt;=" &amp; GN$1, DataRegularSeason20242025!$D$3:$D$1314, $A38)+SUMIFS(DataRegularSeason20242025!$AB$3:$AB$1314,DataRegularSeason20242025!$B$3:$B$1314, "&lt;=" &amp; GN$1, DataRegularSeason20242025!$E$3:$E$1314, $A38)</calculatedColumnFormula>
    </tableColumn>
    <tableColumn id="195" xr3:uid="{DD502D24-7BD6-4C15-80BA-73FCE90ED469}" name="2025-04-14" totalsRowFunction="average" dataDxfId="426">
      <calculatedColumnFormula>SUMIFS(DataRegularSeason20242025!$AA$3:$AA$1314,DataRegularSeason20242025!$B$3:$B$1314, "&lt;=" &amp; GO$1, DataRegularSeason20242025!$D$3:$D$1314, $A38)+SUMIFS(DataRegularSeason20242025!$AB$3:$AB$1314,DataRegularSeason20242025!$B$3:$B$1314, "&lt;=" &amp; GO$1, DataRegularSeason20242025!$E$3:$E$1314, $A38)</calculatedColumnFormula>
    </tableColumn>
    <tableColumn id="196" xr3:uid="{26809EC5-8371-42D9-A3EB-3EB88C97F339}" name="2025-04-15" totalsRowFunction="average" dataDxfId="425">
      <calculatedColumnFormula>SUMIFS(DataRegularSeason20242025!$AA$3:$AA$1314,DataRegularSeason20242025!$B$3:$B$1314, "&lt;=" &amp; GP$1, DataRegularSeason20242025!$D$3:$D$1314, $A38)+SUMIFS(DataRegularSeason20242025!$AB$3:$AB$1314,DataRegularSeason20242025!$B$3:$B$1314, "&lt;=" &amp; GP$1, DataRegularSeason20242025!$E$3:$E$1314, $A38)</calculatedColumnFormula>
    </tableColumn>
    <tableColumn id="197" xr3:uid="{B64D609D-9500-4F16-A057-29E873EDC230}" name="2025-04-16" totalsRowFunction="average" dataDxfId="424">
      <calculatedColumnFormula>SUMIFS(DataRegularSeason20242025!$AA$3:$AA$1314,DataRegularSeason20242025!$B$3:$B$1314, "&lt;=" &amp; GQ$1, DataRegularSeason20242025!$D$3:$D$1314, $A38)+SUMIFS(DataRegularSeason20242025!$AB$3:$AB$1314,DataRegularSeason20242025!$B$3:$B$1314, "&lt;=" &amp; GQ$1, DataRegularSeason20242025!$E$3:$E$1314, $A38)</calculatedColumnFormula>
    </tableColumn>
    <tableColumn id="198" xr3:uid="{34C70EA7-619F-4653-B821-94F592B1CAF0}" name="2025-04-17" totalsRowFunction="average" dataDxfId="423">
      <calculatedColumnFormula>SUMIFS(DataRegularSeason20242025!$AA$3:$AA$1314,DataRegularSeason20242025!$B$3:$B$1314, "&lt;=" &amp; GR$1, DataRegularSeason20242025!$D$3:$D$1314, $A38)+SUMIFS(DataRegularSeason20242025!$AB$3:$AB$1314,DataRegularSeason20242025!$B$3:$B$1314, "&lt;=" &amp; GR$1, DataRegularSeason20242025!$E$3:$E$1314, $A38)</calculatedColumnFormula>
    </tableColumn>
    <tableColumn id="199" xr3:uid="{DFBF31D8-9995-47D8-A96B-FEF712201B9C}" name="2025-04-18" totalsRowFunction="average" dataDxfId="422">
      <calculatedColumnFormula>SUMIFS(DataRegularSeason20242025!$AA$3:$AA$1314,DataRegularSeason20242025!$B$3:$B$1314, "&lt;=" &amp; GS$1, DataRegularSeason20242025!$D$3:$D$1314, $A38)+SUMIFS(DataRegularSeason20242025!$AB$3:$AB$1314,DataRegularSeason20242025!$B$3:$B$1314, "&lt;=" &amp; GS$1, DataRegularSeason20242025!$E$3:$E$1314, $A38)</calculatedColumnFormula>
    </tableColumn>
    <tableColumn id="200" xr3:uid="{A25EC0CE-FD3C-442B-8F26-5181F8F1D601}" name="2025-04-19" totalsRowFunction="average" dataDxfId="421">
      <calculatedColumnFormula>SUMIFS(DataRegularSeason20242025!$AA$3:$AA$1314,DataRegularSeason20242025!$B$3:$B$1314, "&lt;=" &amp; GT$1, DataRegularSeason20242025!$D$3:$D$1314, $A38)+SUMIFS(DataRegularSeason20242025!$AB$3:$AB$1314,DataRegularSeason20242025!$B$3:$B$1314, "&lt;=" &amp; GT$1, DataRegularSeason20242025!$E$3:$E$1314, $A38)</calculatedColumnFormula>
    </tableColumn>
    <tableColumn id="201" xr3:uid="{31C2B4C3-E3D4-427E-B445-5F4F68DDD76D}" name="2025-04-20" totalsRowFunction="average" dataDxfId="420">
      <calculatedColumnFormula>SUMIFS(DataRegularSeason20242025!$AA$3:$AA$1314,DataRegularSeason20242025!$B$3:$B$1314, "&lt;=" &amp; GU$1, DataRegularSeason20242025!$D$3:$D$1314, $A38)+SUMIFS(DataRegularSeason20242025!$AB$3:$AB$1314,DataRegularSeason20242025!$B$3:$B$1314, "&lt;=" &amp; GU$1, DataRegularSeason20242025!$E$3:$E$1314, $A38)</calculatedColumnFormula>
    </tableColumn>
    <tableColumn id="202" xr3:uid="{C3C3AB31-4E63-4D5F-AC91-B0049BC96C25}" name="2025-04-21" dataDxfId="419"/>
    <tableColumn id="203" xr3:uid="{669DF731-A16A-4A16-B166-62D16EB040F1}" name="2025-04-22" dataDxfId="418"/>
    <tableColumn id="204" xr3:uid="{707C842B-7FEF-43DB-B1E4-C841190286EF}" name="2025-04-23" dataDxfId="417"/>
    <tableColumn id="205" xr3:uid="{5EC331B4-8F33-4173-A3A6-D8CE4C2D4383}" name="2025-04-24" dataDxfId="416"/>
    <tableColumn id="206" xr3:uid="{4F412742-F64C-4BF7-9D0D-488E7DCD1891}" name="2025-04-25" dataDxfId="415"/>
    <tableColumn id="207" xr3:uid="{BD11B2DD-DEC6-441A-8741-DC5E6FE684AD}" name="2025-04-26" dataDxfId="414"/>
    <tableColumn id="208" xr3:uid="{01E98C63-5032-4D66-B075-8A1E371C642D}" name="2025-04-27" dataDxfId="413"/>
    <tableColumn id="209" xr3:uid="{316E8AF4-CD07-4887-B340-BE9B9DA31CF5}" name="2025-04-28" dataDxfId="412"/>
    <tableColumn id="210" xr3:uid="{6D75A24F-3048-4A53-A6E2-194D8F14D184}" name="2025-04-29" dataDxfId="411"/>
    <tableColumn id="211" xr3:uid="{BB0FF42A-83E1-43D0-A164-ECD7741F459C}" name="2025-04-30" dataDxfId="410"/>
    <tableColumn id="212" xr3:uid="{10B32DD9-A02E-431E-B3B5-841A5AEF700E}" name="2025-05-01" dataDxfId="409"/>
    <tableColumn id="213" xr3:uid="{BCBD5454-C4BC-438B-895E-47FA1420274F}" name="2025-05-02" dataDxfId="408"/>
    <tableColumn id="214" xr3:uid="{B1169E04-BA65-464B-A342-F34C0FEA6A2C}" name="2025-05-03" dataDxfId="407"/>
    <tableColumn id="215" xr3:uid="{3C97D612-9AC1-4E31-A48E-8106EF9FAE48}" name="2025-05-04" dataDxfId="406"/>
    <tableColumn id="216" xr3:uid="{FEE32124-295E-4813-AC14-90EA0229E033}" name="2025-05-05" dataDxfId="405"/>
    <tableColumn id="217" xr3:uid="{1757C997-E861-4C66-A53A-95D2250D386E}" name="2025-05-06" dataDxfId="404"/>
    <tableColumn id="218" xr3:uid="{D6DFB818-75F8-4F5B-A7F2-30898198AE61}" name="2025-05-07" dataDxfId="403"/>
    <tableColumn id="219" xr3:uid="{A0BB9636-488B-4747-88BD-AE87668E490B}" name="2025-05-08" dataDxfId="402"/>
    <tableColumn id="220" xr3:uid="{264045BF-A92C-40EE-B15A-F04831AB1BED}" name="2025-05-09" dataDxfId="401"/>
    <tableColumn id="221" xr3:uid="{FA9546C5-5203-4EBD-8BEE-E5CB96224CC9}" name="2025-05-10" dataDxfId="400"/>
    <tableColumn id="222" xr3:uid="{DD55014D-EFA1-4E41-98B0-530079E82F06}" name="2025-05-11" dataDxfId="399"/>
    <tableColumn id="223" xr3:uid="{51F01270-F49A-4487-90CB-75B5B319BE64}" name="2025-05-12" dataDxfId="398"/>
    <tableColumn id="224" xr3:uid="{7DBD5A9E-B478-4E1C-B1A2-A5B25692A3F2}" name="2025-05-13" dataDxfId="397"/>
    <tableColumn id="225" xr3:uid="{A17E540D-2F28-46E5-B930-5279214FBAA1}" name="2025-05-14" dataDxfId="396"/>
    <tableColumn id="226" xr3:uid="{94D24299-28DD-4494-89EF-03C6686A22A4}" name="2025-05-15" dataDxfId="395"/>
    <tableColumn id="227" xr3:uid="{17568BC2-90D8-4C63-BE94-026D855AB482}" name="2025-05-16" dataDxfId="394"/>
    <tableColumn id="228" xr3:uid="{6F85633D-6A2A-4A1D-AF78-AD747CA479E7}" name="2025-05-17" dataDxfId="393"/>
    <tableColumn id="229" xr3:uid="{6C6AF260-0FB9-4B73-8C48-C1DB7C4061BF}" name="2025-05-18" dataDxfId="392"/>
    <tableColumn id="230" xr3:uid="{70800AA9-D126-4C37-AB50-1E13B3AFC665}" name="2025-05-19" dataDxfId="391"/>
    <tableColumn id="231" xr3:uid="{5260BE1B-4EEB-4A35-A8C1-6603C8D03A07}" name="2025-05-20" dataDxfId="390"/>
    <tableColumn id="232" xr3:uid="{0D959241-A561-4878-9E45-0836E005AAEA}" name="2025-05-21" dataDxfId="389"/>
    <tableColumn id="233" xr3:uid="{9E4BDDD8-4EB5-4667-BEAC-D7D9387C3573}" name="2025-05-22" dataDxfId="388"/>
    <tableColumn id="234" xr3:uid="{0F3E2935-A85F-4840-9D68-1228E373814C}" name="2025-05-23" dataDxfId="387"/>
    <tableColumn id="235" xr3:uid="{CE06132F-B6B4-41BE-BE73-A3642C101841}" name="2025-05-24" dataDxfId="386"/>
    <tableColumn id="236" xr3:uid="{4AED8CE4-2376-40CC-A3CC-CC50D5C754B0}" name="2025-05-25" dataDxfId="385"/>
    <tableColumn id="237" xr3:uid="{1F92138E-0618-4529-98AD-ACF9AF2E796F}" name="2025-05-26" dataDxfId="384"/>
    <tableColumn id="238" xr3:uid="{3BD6FF95-4DBA-41C0-AAF8-3E9DDEE2BF16}" name="2025-05-27" dataDxfId="383"/>
    <tableColumn id="239" xr3:uid="{4EA86621-2249-4313-BDA7-CC5EC4D06A33}" name="2025-05-28" dataDxfId="382"/>
    <tableColumn id="240" xr3:uid="{37DB0B4A-8E90-4626-8901-1E757334B36B}" name="2025-05-29" dataDxfId="381"/>
    <tableColumn id="241" xr3:uid="{3AF90AA8-A691-4266-BC29-1064BF39CCA1}" name="2025-05-30" dataDxfId="380"/>
    <tableColumn id="242" xr3:uid="{B668308B-6AD5-4A63-8600-6C7B20D782F9}" name="2025-05-31" dataDxfId="379"/>
    <tableColumn id="243" xr3:uid="{4F3CD694-1072-4A2E-912B-0FDC3FE7AC80}" name="2025-06-01" dataDxfId="378"/>
    <tableColumn id="244" xr3:uid="{335A3B3B-63CC-4ECC-A0A4-4038918A3EA2}" name="2025-06-02" dataDxfId="377"/>
    <tableColumn id="245" xr3:uid="{385F91FB-0AE4-44BD-82A5-86A5AB9B071F}" name="2025-06-03" dataDxfId="376"/>
    <tableColumn id="246" xr3:uid="{319A6FA6-07E2-4EEA-9772-58E82236CB41}" name="2025-06-04" dataDxfId="375"/>
    <tableColumn id="247" xr3:uid="{B4941D09-3489-4868-ACC3-47D921355755}" name="2025-06-05" dataDxfId="374"/>
    <tableColumn id="248" xr3:uid="{EF4C253C-D8E4-4646-B8B4-93BC006A696E}" name="2025-06-06" dataDxfId="373"/>
    <tableColumn id="249" xr3:uid="{B90F8FE2-1821-4816-94D2-5A12DFC3B4A2}" name="2025-06-07" dataDxfId="372"/>
    <tableColumn id="250" xr3:uid="{E3F6BC30-0266-454D-9E4A-0FE864BFFB2B}" name="2025-06-08" dataDxfId="371"/>
    <tableColumn id="251" xr3:uid="{142CB93A-809D-4D7D-9A92-AC45A7DC6871}" name="2025-06-09" dataDxfId="370"/>
    <tableColumn id="252" xr3:uid="{321F823B-7550-4A9E-8132-870E1FA08449}" name="2025-06-10" dataDxfId="369"/>
    <tableColumn id="253" xr3:uid="{32879841-DF09-4A0B-8B28-8E9E30AB109B}" name="2025-06-11" dataDxfId="368"/>
    <tableColumn id="254" xr3:uid="{660EA0C5-DE72-406A-BB4D-72C37F3C458B}" name="2025-06-12" dataDxfId="367"/>
    <tableColumn id="255" xr3:uid="{1C0F2603-121E-46C4-B720-7A61810F19FC}" name="2025-06-13" dataDxfId="366"/>
    <tableColumn id="256" xr3:uid="{30E46327-4699-4823-8EB2-889776D583A6}" name="2025-06-14" dataDxfId="365"/>
    <tableColumn id="257" xr3:uid="{99BD5150-3286-4D02-94CE-5B954932F50F}" name="2025-06-15" dataDxfId="364"/>
    <tableColumn id="258" xr3:uid="{15C6F836-5F52-4D76-BC77-96B6CA4FFCBE}" name="2025-06-16" dataDxfId="363"/>
    <tableColumn id="259" xr3:uid="{D1EA0DE6-C75B-4A21-8EC3-6648FF7782DE}" name="2025-06-17" dataDxfId="362"/>
    <tableColumn id="260" xr3:uid="{F61721FF-5883-4743-971E-52A3A1EB7B14}" name="2025-06-18" dataDxfId="361"/>
    <tableColumn id="261" xr3:uid="{75C80C97-AF8E-4F9E-B2B5-02C534F6353D}" name="2025-06-19" dataDxfId="360"/>
    <tableColumn id="262" xr3:uid="{8486A84E-5348-4DEC-BF9B-DA69614D8FA4}" name="2025-06-20" dataDxfId="359"/>
    <tableColumn id="263" xr3:uid="{3C258950-EE85-4494-BB18-625B938F03D1}" name="2025-06-21" dataDxfId="358"/>
    <tableColumn id="264" xr3:uid="{BD3F4478-E75C-4A32-86EE-715226D1085D}" name="2025-06-22" dataDxfId="357"/>
    <tableColumn id="265" xr3:uid="{F9DEC6F8-2679-455A-A9C4-32787A2D4E11}" name="2025-06-23" dataDxfId="356"/>
    <tableColumn id="266" xr3:uid="{784A4807-A629-4F3F-AD53-1FCFB318B1F7}" name="2025-06-24" dataDxfId="355"/>
    <tableColumn id="267" xr3:uid="{1F8884D5-4F44-449C-9BC0-9EB9000E6F35}" name="2025-06-25" dataDxfId="354"/>
    <tableColumn id="268" xr3:uid="{8015116D-D8CE-49DC-A393-362351FEC77C}" name="2025-06-26" dataDxfId="353"/>
    <tableColumn id="269" xr3:uid="{A6A81A45-9617-444D-BF76-F6142CCA14C4}" name="2025-06-27" dataDxfId="352"/>
    <tableColumn id="270" xr3:uid="{BE589CA9-AA90-41B7-8D5F-41757C65CE41}" name="2025-06-28" dataDxfId="351"/>
    <tableColumn id="271" xr3:uid="{86028D04-58A7-4A7C-A177-17398024CB22}" name="2025-06-29" dataDxfId="350"/>
    <tableColumn id="272" xr3:uid="{E146A928-574B-4D77-A53C-63CE01F33DDD}" name="2025-06-30" dataDxfId="349"/>
    <tableColumn id="273" xr3:uid="{7EDAFB8B-A951-4043-88FD-40BE980E7D2F}" name="2025-07-01" totalsRowFunction="count" dataDxfId="34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347">
  <autoFilter ref="A1:CL33" xr:uid="{A403E24F-C71A-433A-846A-0616DE78145D}"/>
  <sortState xmlns:xlrd2="http://schemas.microsoft.com/office/spreadsheetml/2017/richdata2" ref="A2:CL33">
    <sortCondition descending="1" ref="AS1:AS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346">
      <calculatedColumnFormula>COUNTIFS(DataRegularSeason20242025!$D$3:$D$1314,$A2,DataRegularSeason20242025!$R$3:$R$1314,1,DataRegularSeason20242025!$N$3:$N$1314,1) + COUNTIFS(DataRegularSeason20242025!$E$3:$E$1314,$A2,DataRegularSeason20242025!$R$3:$R$1314,1,DataRegularSeason20242025!$N$3:$N$1314,1)</calculatedColumnFormula>
    </tableColumn>
    <tableColumn id="61" xr3:uid="{F1118E7C-5AF8-41F7-8B42-737EB2BFACE0}" name="Watched%" dataDxfId="345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COUNTIFS(DataRegularSeason20242025!$N$3:$N$1314,1,DataRegularSeason20242025!$D$3:$D$1314,$A2)</calculatedColumnFormula>
    </tableColumn>
    <tableColumn id="47" xr3:uid="{0885BAAD-8A59-4C8E-8680-C471B22C60B3}" name="GR_A" dataDxfId="344">
      <calculatedColumnFormula>41-Table3[[#This Row],[GP_A]]</calculatedColumnFormula>
    </tableColumn>
    <tableColumn id="6" xr3:uid="{4EC76903-34C8-488D-838F-61F22FEDBC3D}" name="GP_H">
      <calculatedColumnFormula>COUNTIFS(DataRegularSeason20242025!$E$3:$E$1314,$A2,DataRegularSeason20242025!$N$3:$N$1314,1)</calculatedColumnFormula>
    </tableColumn>
    <tableColumn id="48" xr3:uid="{2A7E1234-0F64-47C8-9DBD-0E094E21125C}" name="GR_H" dataDxfId="343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342">
      <calculatedColumnFormula>82-Table3[[#This Row],[GP]]</calculatedColumnFormula>
    </tableColumn>
    <tableColumn id="8" xr3:uid="{DC5BCB71-D6F2-4DED-9BF4-BE6AD666D06E}" name="W_A">
      <calculatedColumnFormula>COUNTIFS(DataRegularSeason20242025!$D$3:$D$1314,$A2, DataRegularSeason20242025!$L$3:$L$1314, $A2,DataRegularSeason20242025!$N$3:$N$1314,1)</calculatedColumnFormula>
    </tableColumn>
    <tableColumn id="38" xr3:uid="{9E3972C0-06D4-4F72-9C19-8CB6E2E159FC}" name="RW_A" dataDxfId="341">
      <calculatedColumnFormula>COUNTIFS(DataRegularSeason20242025!$D$3:$D$1314,$A2, DataRegularSeason20242025!$L$3:$L$1314, $A2,DataRegularSeason20242025!$N$3:$N$1314,1,DataRegularSeason20242025!$M$3:$M$1314,"REG")</calculatedColumnFormula>
    </tableColumn>
    <tableColumn id="39" xr3:uid="{9EAF3FA4-4DBB-4D57-AF04-D8577494CB21}" name="OTW_A" dataDxfId="340">
      <calculatedColumnFormula>COUNTIFS(DataRegularSeason20242025!$D$3:$D$1314,$A2, DataRegularSeason20242025!$L$3:$L$1314, $A2,DataRegularSeason20242025!$N$3:$N$1314,1,DataRegularSeason20242025!$M$3:$M$1314,"OT")</calculatedColumnFormula>
    </tableColumn>
    <tableColumn id="40" xr3:uid="{9A2F15FB-04EF-4CAA-811B-4034C9429E97}" name="SOW_A" dataDxfId="339">
      <calculatedColumnFormula>COUNTIFS(DataRegularSeason20242025!$D$3:$D$1314,$A2, DataRegularSeason20242025!$L$3:$L$1314, $A2,DataRegularSeason20242025!$N$3:$N$1314,1,DataRegularSeason20242025!$M$3:$M$1314,"SO")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338">
      <calculatedColumnFormula>COUNTIFS(DataRegularSeason20242025!$D$3:$D$1314,$A2, DataRegularSeason20242025!$S$3:$S$1314, $A2,DataRegularSeason20242025!$M$3:$M$1314,"REG")</calculatedColumnFormula>
    </tableColumn>
    <tableColumn id="10" xr3:uid="{C115448F-D956-43FF-BCE2-AA4200195163}" name="OTL_A">
      <calculatedColumnFormula>COUNTIFS(DataRegularSeason20242025!$D$3:$D$1314,$A2, DataRegularSeason20242025!$S$3:$S$1314, $A2,DataRegularSeason20242025!$M$3:$M$1314,"OT")</calculatedColumnFormula>
    </tableColumn>
    <tableColumn id="11" xr3:uid="{DB8E4180-A1AD-40B5-828A-68620698FB62}" name="SOL_A">
      <calculatedColumnFormula>COUNTIFS(DataRegularSeason20242025!$D$3:$D$1314,$A2, DataRegularSeason20242025!$S$3:$S$1314, $A2,DataRegularSeason20242025!$M$3:$M$1314,"SO")</calculatedColumnFormula>
    </tableColumn>
    <tableColumn id="12" xr3:uid="{642B9B16-9E11-43A4-B40C-DF2F901FA12E}" name="W_H" dataDxfId="337">
      <calculatedColumnFormula>COUNTIFS(DataRegularSeason20242025!$E$3:$E$1314,$A2, DataRegularSeason20242025!$L$3:$L$1314, $A2, DataRegularSeason20242025!$N$3:$N$1314,1)</calculatedColumnFormula>
    </tableColumn>
    <tableColumn id="43" xr3:uid="{080CA1AA-BE46-4D92-85F9-CB14E09F42A9}" name="RW_H" dataDxfId="336">
      <calculatedColumnFormula>COUNTIFS(DataRegularSeason20242025!$E$3:$E$1314,$A2, DataRegularSeason20242025!$L$3:$L$1314, $A2,DataRegularSeason20242025!$N$3:$N$1314,1,DataRegularSeason20242025!$M$3:$M$1314,"REG")</calculatedColumnFormula>
    </tableColumn>
    <tableColumn id="42" xr3:uid="{FEA1E254-E38B-48EE-A97E-8A3647372BC0}" name="OTW_H" dataDxfId="335">
      <calculatedColumnFormula>COUNTIFS(DataRegularSeason20242025!$E$3:$E$1314,$A2, DataRegularSeason20242025!$L$3:$L$1314, $A2,DataRegularSeason20242025!$N$3:$N$1314,1,DataRegularSeason20242025!$M$3:$M$1314,"OT")</calculatedColumnFormula>
    </tableColumn>
    <tableColumn id="41" xr3:uid="{D17823F3-B47E-487C-B2B1-B02A87ECAD7C}" name="SOW_H" dataDxfId="334">
      <calculatedColumnFormula>COUNTIFS(DataRegularSeason20242025!$E$3:$E$1314,$A2, DataRegularSeason20242025!$L$3:$L$1314, $A2,DataRegularSeason20242025!$N$3:$N$1314,1,DataRegularSeason20242025!$M$3:$M$1314,"SO")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333">
      <calculatedColumnFormula>COUNTIFS(DataRegularSeason20242025!$E$3:$E$1314,$A2, DataRegularSeason20242025!$S$3:$S$1314, $A2,DataRegularSeason20242025!$M$3:$M$1314,"REG")</calculatedColumnFormula>
    </tableColumn>
    <tableColumn id="35" xr3:uid="{9E9FAC75-9E40-4447-8D44-C5EA7137197A}" name="OTL_H" dataDxfId="332">
      <calculatedColumnFormula>COUNTIFS(DataRegularSeason20242025!$E$3:$E$1314,$A2, DataRegularSeason20242025!$S$3:$S$1314, $A2,DataRegularSeason20242025!$M$3:$M$1314,"OT")</calculatedColumnFormula>
    </tableColumn>
    <tableColumn id="34" xr3:uid="{0BE27D3D-4AFA-42CE-BE44-914976589EB9}" name="SOL_H" dataDxfId="331">
      <calculatedColumnFormula>COUNTIFS(DataRegularSeason20242025!$E$3:$E$1314,$A2, DataRegularSeason20242025!$S$3:$S$1314, $A2,DataRegularSeason20242025!$M$3:$M$1314,"SO")</calculatedColumnFormula>
    </tableColumn>
    <tableColumn id="88" xr3:uid="{143D5576-9A9B-44BE-9E23-9D28A2DB1DDE}" name="W/L%" dataDxfId="330">
      <calculatedColumnFormula>Table3[[#This Row],[W]]/MAX(1,Table3[[#This Row],[W]]+Table3[[#This Row],[L]])</calculatedColumnFormula>
    </tableColumn>
    <tableColumn id="52" xr3:uid="{835E8B4B-1B56-4988-ADA0-E6D362F4CA4D}" name="W" dataDxfId="329">
      <calculatedColumnFormula>Table3[[#This Row],[W_A]]+Table3[[#This Row],[W_H]]</calculatedColumnFormula>
    </tableColumn>
    <tableColumn id="53" xr3:uid="{88446FA8-50DC-4FD7-ADED-80F797D341F2}" name="L" dataDxfId="328">
      <calculatedColumnFormula>Table3[[#This Row],[L_A]]+Table3[[#This Row],[L_H]]</calculatedColumnFormula>
    </tableColumn>
    <tableColumn id="54" xr3:uid="{8B16E8B3-A102-413E-9653-CF701CEEB9C9}" name="RW" dataDxfId="327">
      <calculatedColumnFormula>Table3[[#This Row],[RW_A]]+Table3[[#This Row],[RW_H]]</calculatedColumnFormula>
    </tableColumn>
    <tableColumn id="56" xr3:uid="{8CC6F779-2722-4557-A481-A8ECBA4EC611}" name="RL" dataDxfId="326">
      <calculatedColumnFormula>Table3[[#This Row],[RL_A]]+Table3[[#This Row],[RL_H]]</calculatedColumnFormula>
    </tableColumn>
    <tableColumn id="55" xr3:uid="{B5F893C5-62B6-4BD4-A363-58006E427EB4}" name="OTW" dataDxfId="325">
      <calculatedColumnFormula>Table3[[#This Row],[OTW_A]]+Table3[[#This Row],[OTW_H]]</calculatedColumnFormula>
    </tableColumn>
    <tableColumn id="57" xr3:uid="{65CBB9B0-79F9-4697-BF9E-46D8F8199661}" name="OTL" dataDxfId="324">
      <calculatedColumnFormula>Table3[[#This Row],[OTL_A]]+Table3[[#This Row],[OTL_H]]</calculatedColumnFormula>
    </tableColumn>
    <tableColumn id="58" xr3:uid="{935B18B6-6EE9-4AB7-96D2-5CC21B3091F1}" name="SOW" dataDxfId="323">
      <calculatedColumnFormula>Table3[[#This Row],[SOW_A]]+Table3[[#This Row],[SOW_H]]</calculatedColumnFormula>
    </tableColumn>
    <tableColumn id="59" xr3:uid="{72AA5675-42CA-4646-9D56-F903019CA984}" name="SOL" dataDxfId="322">
      <calculatedColumnFormula>Table3[[#This Row],[SOL_A]]+Table3[[#This Row],[SOL_H]]</calculatedColumnFormula>
    </tableColumn>
    <tableColumn id="74" xr3:uid="{2189042C-91CF-4BD8-82AF-C8C409607107}" name="OT_SO_Record" dataDxfId="321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320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319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318">
      <calculatedColumnFormula>Table3[[#This Row],[Total_ExtraTimes]]/MAX(1,Table3[[#This Row],[GP]])</calculatedColumnFormula>
    </tableColumn>
    <tableColumn id="36" xr3:uid="{963D35F6-3613-4CF0-B60C-81F6AC38687D}" name="PTS" dataDxfId="317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316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315">
      <calculatedColumnFormula>Table3[[#This Row],[PTS]]/(2*Table3[[#This Row],[GP]])</calculatedColumnFormula>
    </tableColumn>
    <tableColumn id="64" xr3:uid="{C4462842-CB72-4A45-8AE0-F1C2F1896F3C}" name="PTS%2" dataDxfId="314">
      <calculatedColumnFormula>Table3[[#This Row],[PTS2]]/(3*Table3[[#This Row],[GP]])</calculatedColumnFormula>
    </tableColumn>
    <tableColumn id="49" xr3:uid="{A615DA94-4BB4-4863-8FB3-13B2512D6354}" name="MAX_PTS" dataDxfId="313">
      <calculatedColumnFormula>(2*Table3[[#This Row],[GR]])+Table3[[#This Row],[PTS]]</calculatedColumnFormula>
    </tableColumn>
    <tableColumn id="50" xr3:uid="{8E72A434-A9EA-4A87-9B77-6458DC51D3DD}" name="MAX_PTS2" dataDxfId="312">
      <calculatedColumnFormula>(3*Table3[[#This Row],[GR]])+Table3[[#This Row],[PTS2]]</calculatedColumnFormula>
    </tableColumn>
    <tableColumn id="67" xr3:uid="{685476C7-AB55-4647-B9F7-7860AABCA2A3}" name="PROJ_PTS" dataDxfId="311">
      <calculatedColumnFormula>Table3[[#This Row],[PTS]]+(2 * Table3[[#This Row],[GR]] * Table3[[#This Row],[PTS%]])</calculatedColumnFormula>
    </tableColumn>
    <tableColumn id="68" xr3:uid="{B82889C2-551D-43DB-AD0C-EA626770F09C}" name="PROJ_PTS2" dataDxfId="310">
      <calculatedColumnFormula>Table3[[#This Row],[PTS2]]+(3 * Table3[[#This Row],[GR]] * Table3[[#This Row],[PTS%2]])</calculatedColumnFormula>
    </tableColumn>
    <tableColumn id="60" xr3:uid="{EE4931FD-ADC7-49F3-98DE-CE48D4109732}" name="RECORD" dataDxfId="309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308" dataCellStyle="Output">
      <calculatedColumnFormula>COUNTIFS(DataRegularSeason20242025!$D$3:$D$1314,Table3[[#This Row],[Teams]],DataRegularSeason20242025!$K$3:$K$1314,0)</calculatedColumnFormula>
    </tableColumn>
    <tableColumn id="14" xr3:uid="{A0FD1172-07F3-4E8D-84CA-96197C59DBFE}" name="GF_A">
      <calculatedColumnFormula>SUMIF(DataRegularSeason20242025!$D$3:$D$1314,$A2, DataRegularSeason20242025!$J$3:$J$1314)</calculatedColumnFormula>
    </tableColumn>
    <tableColumn id="15" xr3:uid="{A4874107-6578-4769-97E8-D823B7552E16}" name="GA_A">
      <calculatedColumnFormula>SUMIF(DataRegularSeason20242025!$D$3:$D$1314,$A2, DataRegularSeason20242025!$K$3:$K$1314)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307">
      <calculatedColumnFormula>COUNTIFS(DataRegularSeason20242025!$E$3:$E$1314,Table3[[#This Row],[Teams]],DataRegularSeason20242025!$J$3:$J$1314,0)</calculatedColumnFormula>
    </tableColumn>
    <tableColumn id="17" xr3:uid="{68C01ABD-69CC-4D18-9ABC-A49FC7A4DB79}" name="GF_H">
      <calculatedColumnFormula>SUMIF(DataRegularSeason20242025!$E$3:$E$1314,$A2,DataRegularSeason20242025!$K$3:$K$1314)</calculatedColumnFormula>
    </tableColumn>
    <tableColumn id="18" xr3:uid="{1EE93F79-3F45-47F4-A23A-70C862E62535}" name="GA_H">
      <calculatedColumnFormula>SUMIF(DataRegularSeason20242025!$E$3:$E$1314,$A2,DataRegularSeason20242025!$J$3:$J$1314)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306">
      <calculatedColumnFormula>Table3[[#This Row],[GF]]/Table3[[#This Row],[GP]]</calculatedColumnFormula>
    </tableColumn>
    <tableColumn id="32" xr3:uid="{F1CD7542-6690-4276-B0F0-95BFD01CFF0B}" name="GAPG" dataDxfId="305">
      <calculatedColumnFormula>Table3[[#This Row],[GA]]/Table3[[#This Row],[GP]]</calculatedColumnFormula>
    </tableColumn>
    <tableColumn id="31" xr3:uid="{39B39AC6-8EA7-4628-BDD5-D00B1BD609DA}" name="GDPG" dataDxfId="304">
      <calculatedColumnFormula>(Table3[[#This Row],[GF]]-Table3[[#This Row],[GA]])/Table3[[#This Row],[GP]]</calculatedColumnFormula>
    </tableColumn>
    <tableColumn id="66" xr3:uid="{507DA38A-B238-41CE-9C18-7D9B525AE471}" name="HOME_RECORD" dataDxfId="303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302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301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300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99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98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97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96">
      <calculatedColumnFormula>Table3[[#This Row],[TeamCost83]]/Table3[[#This Row],[GP]]</calculatedColumnFormula>
    </tableColumn>
    <tableColumn id="23" xr3:uid="{96B64A31-865A-4CC8-8BA8-C7027FB896A9}" name="TimesPredictedWinnerAway" dataDxfId="295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94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93">
      <calculatedColumnFormula>INDEX(Table2[AwayTeam], Table3[[#This Row],[Column2]])</calculatedColumnFormula>
    </tableColumn>
    <tableColumn id="76" xr3:uid="{9B9B8B21-342B-462C-8D29-32167E678CD0}" name="Column2" dataDxfId="292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291">
      <calculatedColumnFormula>SUMIFS(Table2[GamePredictionScore], Table2[AwayTeam], Table3[[#This Row],[Teams]])</calculatedColumnFormula>
    </tableColumn>
    <tableColumn id="82" xr3:uid="{9053A00E-0209-4673-A66E-8C0E85603822}" name="Column4" dataDxfId="290">
      <calculatedColumnFormula>SUMIFS(Table2[GamePredictionScore], Table2[HomeTeam], Table3[[#This Row],[Teams]])</calculatedColumnFormula>
    </tableColumn>
    <tableColumn id="83" xr3:uid="{64B7785D-B2C4-4ACC-A9E3-3EDA70F2A57A}" name="Column5" dataDxfId="289">
      <calculatedColumnFormula>Table3[[#This Row],[Column4]]+Table3[[#This Row],[Column3]]</calculatedColumnFormula>
    </tableColumn>
    <tableColumn id="84" xr3:uid="{D8BED368-DAC9-48FF-80E2-915F13132254}" name="Column6" dataDxfId="288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287" headerRowBorderDxfId="286" tableBorderDxfId="285" totalsRowBorderDxfId="284">
  <autoFilter ref="A1:E33" xr:uid="{CF6344AB-A7D7-4470-97E8-25F345DCEB50}"/>
  <tableColumns count="5">
    <tableColumn id="1" xr3:uid="{9D810EAE-C7D0-4954-9C7C-A98F443DB376}" name="Teams" dataDxfId="283"/>
    <tableColumn id="2" xr3:uid="{2CCA5DB0-3229-4630-954B-5B483D49092B}" name="C" dataDxfId="282"/>
    <tableColumn id="3" xr3:uid="{DF5449A8-1B40-49C5-A31E-A4CCE3B98D7D}" name="D" dataDxfId="281"/>
    <tableColumn id="4" xr3:uid="{ED972387-8DB1-432C-B36F-2D37E10DE551}" name="PTS" dataDxfId="280">
      <calculatedColumnFormula>INDEX(Table3[PTS], MATCH(Table6[[#This Row],[Teams]], Table3[Teams],0))</calculatedColumnFormula>
    </tableColumn>
    <tableColumn id="5" xr3:uid="{F2DDCA70-8451-496C-BD0D-42540EE60669}" name="Column2" dataDxfId="279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278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277">
      <calculatedColumnFormula>INDEX(Table6[PTS], MATCH($T2, Table6[Teams], 0))</calculatedColumnFormula>
    </tableColumn>
    <tableColumn id="4" xr3:uid="{424CFEDF-201C-4AD9-83C5-6C8C6D57757F}" name="ANA" dataDxfId="276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275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274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273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272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271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270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269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268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267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266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265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264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263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262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261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260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259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258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257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256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255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254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253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252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251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250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249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248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247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246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245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244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243">
      <calculatedColumnFormula>INDEX(Table6[PTS], MATCH($T12, Table6[Teams], 0))</calculatedColumnFormula>
    </tableColumn>
    <tableColumn id="4" xr3:uid="{DA5E44C6-FE41-47EF-8152-7A78B5002053}" name="ANA" dataDxfId="242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241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240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239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238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237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236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235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234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233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232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231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230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229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228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227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226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225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224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223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222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221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220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219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218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217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216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215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214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213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212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211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210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209">
      <calculatedColumnFormula>INDEX(Table6[PTS], MATCH($T22, Table6[Teams], 0))</calculatedColumnFormula>
    </tableColumn>
    <tableColumn id="4" xr3:uid="{3DA1C0D4-49FC-4E4D-8B98-108051EF4486}" name="ANA" dataDxfId="208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207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206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205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204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203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202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201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200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99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98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97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96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95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94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93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192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191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190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189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188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187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186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185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184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183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182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181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180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179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178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177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176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175">
      <calculatedColumnFormula>INDEX(Table6[PTS], MATCH($T32, Table6[Teams], 0))</calculatedColumnFormula>
    </tableColumn>
    <tableColumn id="4" xr3:uid="{55BDE359-ED2E-4B0A-858C-73F04D31F61E}" name="ANA" dataDxfId="174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173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172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171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170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169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168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167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166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165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164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163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162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161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160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159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158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157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156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155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154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153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152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151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150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149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148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147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146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145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144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143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abSelected="1" topLeftCell="A2" workbookViewId="0">
      <selection activeCell="I24" sqref="I24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46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57" t="s">
        <v>71</v>
      </c>
      <c r="F1" s="157"/>
      <c r="G1" s="157"/>
      <c r="H1" s="157"/>
      <c r="I1" s="157" t="s">
        <v>72</v>
      </c>
      <c r="J1" s="157"/>
      <c r="K1" s="157"/>
      <c r="L1" s="157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50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47" t="s">
        <v>155</v>
      </c>
      <c r="AA2" s="147" t="s">
        <v>159</v>
      </c>
      <c r="AB2" s="147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719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719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48">
        <f>IF(AND(Table2[[#This Row],[GameIsOver]]=1,Table2[[#This Row],[ActualHomeScore]]*Table2[[#This Row],[ActualAwayScore]]=0), 1,0)</f>
        <v>0</v>
      </c>
      <c r="AA3" s="148">
        <f>IF(Table2[[#This Row],[GameIsOver]]=0,0, IF(Table2[[#This Row],[ActualWinner]]=Table2[[#This Row],[AwayTeam]], 2, IF(OR(Table2[[#This Row],[ActualResult]]="OT", Table2[[#This Row],[ActualResult]]="SO"), 1, 0)))</f>
        <v>0</v>
      </c>
      <c r="AB3" s="148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-8</v>
      </c>
      <c r="AJ3" s="8"/>
      <c r="AK3" s="2"/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2"/>
      <c r="AV3" s="2"/>
      <c r="BH3" t="s">
        <v>126</v>
      </c>
      <c r="BI3">
        <v>100</v>
      </c>
      <c r="BK3" s="57"/>
      <c r="BL3" s="154" t="s">
        <v>472</v>
      </c>
      <c r="BM3" s="155"/>
      <c r="BN3" s="155"/>
      <c r="BO3" s="155"/>
      <c r="BP3" s="156"/>
      <c r="BR3" s="151" t="s">
        <v>466</v>
      </c>
      <c r="BS3" s="151"/>
      <c r="BT3" s="151"/>
      <c r="BU3" s="151"/>
      <c r="BV3" s="2"/>
      <c r="BW3" s="2"/>
    </row>
    <row r="4" spans="1:82" x14ac:dyDescent="0.25">
      <c r="A4" s="3">
        <v>45937</v>
      </c>
      <c r="B4" s="3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720</v>
      </c>
      <c r="J4" s="2">
        <v>3</v>
      </c>
      <c r="K4" s="2">
        <v>0</v>
      </c>
      <c r="L4" s="2" t="str">
        <f t="shared" si="1"/>
        <v>PIT</v>
      </c>
      <c r="M4" s="2" t="s">
        <v>719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45">
        <f>IF(AND(Table2[[#This Row],[GameIsOver]]=1,Table2[[#This Row],[ActualHomeScore]]*Table2[[#This Row],[ActualAwayScore]]=0), 1,0)</f>
        <v>1</v>
      </c>
      <c r="AA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 t="shared" si="3"/>
        <v>0</v>
      </c>
      <c r="AI4" s="2">
        <f t="shared" si="4"/>
        <v>-8</v>
      </c>
      <c r="AJ4" s="2"/>
      <c r="AK4" s="2"/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" s="2" t="str">
        <f>INDEX(Sheet5!$B$2:$AG$33, MATCH(Table2[[#This Row],[AwayTeam]],Sheet5!$A$2:$A$33, 0), MATCH(Table2[[#This Row],[HomeTeam]],Sheet5!$A$2:$A$33, 0))</f>
        <v>1-0-0</v>
      </c>
      <c r="AP4" s="2" t="str">
        <f>INDEX(Sheet5!$B$2:$AG$33, MATCH(Table2[[#This Row],[HomeTeam]],Sheet5!$A$2:$A$33, 0), MATCH(Table2[[#This Row],[AwayTeam]],Sheet5!$A$2:$A$33, 0))</f>
        <v>0-1-0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/>
      <c r="AV4" s="2"/>
      <c r="BC4" t="s">
        <v>80</v>
      </c>
      <c r="BD4">
        <f>COUNTA($M$3:$M$1315)</f>
        <v>7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3</v>
      </c>
      <c r="BP4" s="57"/>
      <c r="BR4" s="44" t="s">
        <v>465</v>
      </c>
      <c r="BS4" s="151" t="s">
        <v>463</v>
      </c>
      <c r="BT4" s="151"/>
      <c r="BU4" s="151" t="s">
        <v>464</v>
      </c>
      <c r="BV4" s="151"/>
      <c r="BW4" s="2" t="s">
        <v>510</v>
      </c>
      <c r="BX4" s="2" t="s">
        <v>469</v>
      </c>
      <c r="CD4" t="s">
        <v>479</v>
      </c>
    </row>
    <row r="5" spans="1:82" x14ac:dyDescent="0.25">
      <c r="A5" s="141">
        <v>45937</v>
      </c>
      <c r="B5" s="141">
        <v>45937</v>
      </c>
      <c r="C5" s="142">
        <v>2025020003</v>
      </c>
      <c r="D5" s="143" t="s">
        <v>25</v>
      </c>
      <c r="E5" s="143" t="s">
        <v>27</v>
      </c>
      <c r="F5" s="143">
        <v>5</v>
      </c>
      <c r="G5" s="143">
        <v>3</v>
      </c>
      <c r="H5" s="143" t="str">
        <f t="shared" si="0"/>
        <v>COL</v>
      </c>
      <c r="I5" s="143" t="s">
        <v>719</v>
      </c>
      <c r="J5" s="143">
        <v>4</v>
      </c>
      <c r="K5" s="143">
        <v>1</v>
      </c>
      <c r="L5" s="143" t="str">
        <f t="shared" si="1"/>
        <v>COL</v>
      </c>
      <c r="M5" s="141" t="s">
        <v>719</v>
      </c>
      <c r="N5" s="143">
        <f>IF(ISBLANK(Table2[[#This Row],[ActualResult]]), 0, 1)</f>
        <v>1</v>
      </c>
      <c r="O5" s="143" t="str">
        <f>IF(ISBLANK(Table2[[#This Row],[ActualResult]]), "_", IF(Table2[[#This Row],[ActualWinner]]=Table2[[#This Row],[PredictedWinner]], "Y", "N"))</f>
        <v>Y</v>
      </c>
      <c r="P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43">
        <v>1</v>
      </c>
      <c r="S5" s="143" t="str">
        <f t="shared" si="2"/>
        <v>LAK</v>
      </c>
      <c r="T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43">
        <f>IF(Table2[[#This Row],[InterConf]]=1,IF(Table2[[#This Row],[InterDiv]]=0, 1, 0), 0)</f>
        <v>1</v>
      </c>
      <c r="W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43"/>
      <c r="Y5" s="143"/>
      <c r="Z5" s="149">
        <f>IF(AND(Table2[[#This Row],[GameIsOver]]=1,Table2[[#This Row],[ActualHomeScore]]*Table2[[#This Row],[ActualAwayScore]]=0), 1,0)</f>
        <v>0</v>
      </c>
      <c r="AA5" s="149">
        <f>IF(Table2[[#This Row],[GameIsOver]]=0,0, IF(Table2[[#This Row],[ActualWinner]]=Table2[[#This Row],[AwayTeam]], 2, IF(OR(Table2[[#This Row],[ActualResult]]="OT", Table2[[#This Row],[ActualResult]]="SO"), 1, 0)))</f>
        <v>2</v>
      </c>
      <c r="AB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43">
        <f>Table2[[#This Row],[ActualAwayScore]]-Table2[[#This Row],[PredictedAwayScore]]</f>
        <v>-1</v>
      </c>
      <c r="AG5" s="143">
        <f>Table2[[#This Row],[ActualHomeScore]]-Table2[[#This Row],[PredictedHomeScore]]</f>
        <v>-2</v>
      </c>
      <c r="AH5" s="143">
        <f t="shared" si="3"/>
        <v>0</v>
      </c>
      <c r="AI5" s="143">
        <f t="shared" si="4"/>
        <v>-8</v>
      </c>
      <c r="AJ5" s="143"/>
      <c r="AK5" s="143"/>
      <c r="AL5" s="143">
        <f>IF(Table2[[#This Row],[GameIsOver]]=0,0,IF(Table2[[#This Row],[ActualWinner]]=Table2[[#This Row],[AwayTeam]], 1, 0))</f>
        <v>1</v>
      </c>
      <c r="AM5" s="143">
        <f>IF(Table2[[#This Row],[GameIsOver]]=0,0,IF(Table2[[#This Row],[ActualWinner]]=Table2[[#This Row],[HomeTeam]], 1, 0))</f>
        <v>0</v>
      </c>
      <c r="AN5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" s="143" t="str">
        <f>INDEX(Sheet5!$B$2:$AG$33, MATCH(Table2[[#This Row],[AwayTeam]],Sheet5!$A$2:$A$33, 0), MATCH(Table2[[#This Row],[HomeTeam]],Sheet5!$A$2:$A$33, 0))</f>
        <v>1-0-0</v>
      </c>
      <c r="AP5" s="143" t="str">
        <f>INDEX(Sheet5!$B$2:$AG$33, MATCH(Table2[[#This Row],[HomeTeam]],Sheet5!$A$2:$A$33, 0), MATCH(Table2[[#This Row],[AwayTeam]],Sheet5!$A$2:$A$33, 0))</f>
        <v>0-1-0</v>
      </c>
      <c r="AQ5" s="143">
        <f>IF(Table2[[#This Row],[GameHasShutOut]], 1, 0)</f>
        <v>0</v>
      </c>
      <c r="AR5" s="143">
        <f>IF(Table2[[#This Row],[ActualAwayScore]] + Table2[[#This Row],[ActualHomeScore]] &gt;= 10, 1, 0)</f>
        <v>0</v>
      </c>
      <c r="AS5" s="143">
        <f>IF(ABS(Table2[[#This Row],[ActualAwayScore]]-Table2[[#This Row],[ActualHomeScore]])&gt;=5, 1, 0)</f>
        <v>0</v>
      </c>
      <c r="AT5" s="143">
        <f>IF(Table2[[#This Row],[ActualAwayScore]] + Table2[[#This Row],[ActualHomeScore]] &lt;= 3, 1, 0)</f>
        <v>0</v>
      </c>
      <c r="AU5" s="2"/>
      <c r="AV5" s="2"/>
      <c r="BC5" t="s">
        <v>79</v>
      </c>
      <c r="BD5">
        <f>COUNTIF($O$3:$O$1315,"Y")</f>
        <v>3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2</v>
      </c>
      <c r="BP5" s="57"/>
      <c r="BR5" s="2">
        <v>0</v>
      </c>
      <c r="BS5" s="110" cm="1">
        <f t="array" ref="BS5">SUM(--(ABS($F$3:$F$1315 - $J$3:$J$1315) = 0)) -(((32*82)/2) - $BD$4)</f>
        <v>-12</v>
      </c>
      <c r="BT5" s="111">
        <f>$BS5/$BD$4</f>
        <v>-1.7142857142857142</v>
      </c>
      <c r="BU5" s="112" cm="1">
        <f t="array" ref="BU5">SUM(--(ABS($G$3:$G$1315 - $K$3:$K$1315) = 0)) -(((32*82)/2) - $BD$4)</f>
        <v>-12</v>
      </c>
      <c r="BV5" s="113">
        <f>$BU5/$BD$4</f>
        <v>-1.7142857142857142</v>
      </c>
      <c r="BW5" s="109">
        <f t="shared" ref="BW5:BW15" si="5">BS5+BU5</f>
        <v>-24</v>
      </c>
      <c r="BX5" s="114">
        <f t="shared" ref="BX5:BX15" si="6">(BS5+BU5)/($BD$4*2)</f>
        <v>-1.7142857142857142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719</v>
      </c>
      <c r="J6" s="2">
        <v>2</v>
      </c>
      <c r="K6" s="2">
        <v>5</v>
      </c>
      <c r="L6" s="2" t="str">
        <f t="shared" si="1"/>
        <v>TOR</v>
      </c>
      <c r="M6" s="3" t="s">
        <v>719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45">
        <f>IF(AND(Table2[[#This Row],[GameIsOver]]=1,Table2[[#This Row],[ActualHomeScore]]*Table2[[#This Row],[ActualAwayScore]]=0), 1,0)</f>
        <v>0</v>
      </c>
      <c r="AA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 t="shared" si="3"/>
        <v>5</v>
      </c>
      <c r="AI6" s="2">
        <f t="shared" si="4"/>
        <v>-2</v>
      </c>
      <c r="AJ6" s="2"/>
      <c r="AK6" s="2"/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2"/>
      <c r="AV6" s="2"/>
      <c r="BC6" t="s">
        <v>81</v>
      </c>
      <c r="BD6">
        <f>BD4-BD5</f>
        <v>4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0</v>
      </c>
      <c r="BP6" s="57"/>
      <c r="BR6" s="2">
        <v>1</v>
      </c>
      <c r="BS6" s="110" cm="1">
        <f t="array" ref="BS6">SUM(--(ABS($F$3:$F$1315 - $J$3:$J$1315) = $BR6))</f>
        <v>5</v>
      </c>
      <c r="BT6" s="111">
        <f t="shared" ref="BT6:BT15" si="7">$BS6/$BD$4</f>
        <v>0.7142857142857143</v>
      </c>
      <c r="BU6" s="112" cm="1">
        <f t="array" ref="BU6">SUM(--(ABS($G$3:$G$1315 - $K$3:$K$1315) = $BR6))</f>
        <v>2</v>
      </c>
      <c r="BV6" s="113">
        <f t="shared" ref="BV6:BV15" si="8">$BU6/$BD$4</f>
        <v>0.2857142857142857</v>
      </c>
      <c r="BW6" s="109">
        <f t="shared" si="5"/>
        <v>7</v>
      </c>
      <c r="BX6" s="114">
        <f t="shared" si="6"/>
        <v>0.5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719</v>
      </c>
      <c r="J7" s="2">
        <v>3</v>
      </c>
      <c r="K7" s="2">
        <v>1</v>
      </c>
      <c r="L7" s="2" t="str">
        <f t="shared" si="1"/>
        <v>BOS</v>
      </c>
      <c r="M7" s="3" t="s">
        <v>719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45">
        <f>IF(AND(Table2[[#This Row],[GameIsOver]]=1,Table2[[#This Row],[ActualHomeScore]]*Table2[[#This Row],[ActualAwayScore]]=0), 1,0)</f>
        <v>0</v>
      </c>
      <c r="AA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 t="shared" si="3"/>
        <v>5</v>
      </c>
      <c r="AI7" s="2">
        <f t="shared" si="4"/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2"/>
      <c r="AV7" s="2"/>
      <c r="BC7" t="s">
        <v>82</v>
      </c>
      <c r="BD7" s="10">
        <f>BD5/BD4</f>
        <v>0.42857142857142855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0</v>
      </c>
      <c r="BP7" s="57"/>
      <c r="BR7" s="2">
        <v>2</v>
      </c>
      <c r="BS7" s="110" cm="1">
        <f t="array" ref="BS7">SUM(--(ABS($F$3:$F$1315 - $J$3:$J$1315) = $BR7))</f>
        <v>5</v>
      </c>
      <c r="BT7" s="111">
        <f t="shared" si="7"/>
        <v>0.7142857142857143</v>
      </c>
      <c r="BU7" s="112" cm="1">
        <f t="array" ref="BU7">SUM(--(ABS($G$3:$G$1315 - $K$3:$K$1315) = $BR7))</f>
        <v>4</v>
      </c>
      <c r="BV7" s="113">
        <f t="shared" si="8"/>
        <v>0.5714285714285714</v>
      </c>
      <c r="BW7" s="109">
        <f t="shared" si="5"/>
        <v>9</v>
      </c>
      <c r="BX7" s="114">
        <f t="shared" si="6"/>
        <v>0.6428571428571429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721</v>
      </c>
      <c r="J8" s="2">
        <v>4</v>
      </c>
      <c r="K8" s="2">
        <v>3</v>
      </c>
      <c r="L8" s="2" t="str">
        <f t="shared" si="1"/>
        <v>CGY</v>
      </c>
      <c r="M8" s="3" t="s">
        <v>720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45">
        <f>IF(AND(Table2[[#This Row],[GameIsOver]]=1,Table2[[#This Row],[ActualHomeScore]]*Table2[[#This Row],[ActualAwayScore]]=0), 1,0)</f>
        <v>0</v>
      </c>
      <c r="AA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 t="shared" si="3"/>
        <v>5</v>
      </c>
      <c r="AI8" s="2">
        <f t="shared" si="4"/>
        <v>-2</v>
      </c>
      <c r="AJ8" s="2"/>
      <c r="AK8" s="2"/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2"/>
      <c r="AV8" s="2"/>
      <c r="BH8" t="s">
        <v>133</v>
      </c>
      <c r="BI8">
        <v>55</v>
      </c>
      <c r="BK8" s="57"/>
      <c r="BL8" t="s">
        <v>123</v>
      </c>
      <c r="BM8">
        <f>COUNTIFS($O$3:$O$1315, "Y", $M$3:$M$1315, "SO")</f>
        <v>0</v>
      </c>
      <c r="BP8" s="57"/>
      <c r="BR8" s="2">
        <v>3</v>
      </c>
      <c r="BS8" s="110" cm="1">
        <f t="array" ref="BS8">SUM(--(ABS($F$3:$F$1315 - $J$3:$J$1315) = $BR8))</f>
        <v>6</v>
      </c>
      <c r="BT8" s="111">
        <f t="shared" si="7"/>
        <v>0.8571428571428571</v>
      </c>
      <c r="BU8" s="112" cm="1">
        <f t="array" ref="BU8">SUM(--(ABS($G$3:$G$1315 - $K$3:$K$1315) = $BR8))</f>
        <v>2</v>
      </c>
      <c r="BV8" s="113">
        <f t="shared" si="8"/>
        <v>0.2857142857142857</v>
      </c>
      <c r="BW8" s="109">
        <f t="shared" si="5"/>
        <v>8</v>
      </c>
      <c r="BX8" s="114">
        <f t="shared" si="6"/>
        <v>0.5714285714285714</v>
      </c>
      <c r="CD8" t="s">
        <v>483</v>
      </c>
    </row>
    <row r="9" spans="1:82" x14ac:dyDescent="0.25">
      <c r="A9" s="141">
        <v>45938</v>
      </c>
      <c r="B9" s="141">
        <v>45938</v>
      </c>
      <c r="C9" s="142">
        <v>2025020007</v>
      </c>
      <c r="D9" s="143" t="s">
        <v>27</v>
      </c>
      <c r="E9" s="143" t="s">
        <v>26</v>
      </c>
      <c r="F9" s="143">
        <v>3</v>
      </c>
      <c r="G9" s="143">
        <v>4</v>
      </c>
      <c r="H9" s="143" t="str">
        <f t="shared" si="0"/>
        <v>VGK</v>
      </c>
      <c r="I9" s="143" t="s">
        <v>721</v>
      </c>
      <c r="J9" s="143">
        <v>6</v>
      </c>
      <c r="K9" s="143">
        <v>5</v>
      </c>
      <c r="L9" s="143" t="str">
        <f t="shared" si="1"/>
        <v>LAK</v>
      </c>
      <c r="M9" s="141" t="s">
        <v>720</v>
      </c>
      <c r="N9" s="143">
        <f>IF(ISBLANK(Table2[[#This Row],[ActualResult]]), 0, 1)</f>
        <v>1</v>
      </c>
      <c r="O9" s="143" t="str">
        <f>IF(ISBLANK(Table2[[#This Row],[ActualResult]]), "_", IF(Table2[[#This Row],[ActualWinner]]=Table2[[#This Row],[PredictedWinner]], "Y", "N"))</f>
        <v>N</v>
      </c>
      <c r="P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143">
        <v>0</v>
      </c>
      <c r="S9" s="143" t="str">
        <f t="shared" si="2"/>
        <v>VGK</v>
      </c>
      <c r="T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43">
        <f>IF(Table2[[#This Row],[InterConf]]=1,IF(Table2[[#This Row],[InterDiv]]=0, 1, 0), 0)</f>
        <v>0</v>
      </c>
      <c r="W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43"/>
      <c r="Y9" s="143"/>
      <c r="Z9" s="149">
        <f>IF(AND(Table2[[#This Row],[GameIsOver]]=1,Table2[[#This Row],[ActualHomeScore]]*Table2[[#This Row],[ActualAwayScore]]=0), 1,0)</f>
        <v>0</v>
      </c>
      <c r="AA9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143">
        <f>Table2[[#This Row],[ActualAwayScore]]-Table2[[#This Row],[PredictedAwayScore]]</f>
        <v>3</v>
      </c>
      <c r="AG9" s="143">
        <f>Table2[[#This Row],[ActualHomeScore]]-Table2[[#This Row],[PredictedHomeScore]]</f>
        <v>1</v>
      </c>
      <c r="AH9" s="143">
        <f t="shared" si="3"/>
        <v>5</v>
      </c>
      <c r="AI9" s="143">
        <f t="shared" si="4"/>
        <v>-2</v>
      </c>
      <c r="AJ9" s="143"/>
      <c r="AK9" s="143"/>
      <c r="AL9" s="143">
        <f>IF(Table2[[#This Row],[GameIsOver]]=0,0,IF(Table2[[#This Row],[ActualWinner]]=Table2[[#This Row],[AwayTeam]], 1, 0))</f>
        <v>1</v>
      </c>
      <c r="AM9" s="143">
        <f>IF(Table2[[#This Row],[GameIsOver]]=0,0,IF(Table2[[#This Row],[ActualWinner]]=Table2[[#This Row],[HomeTeam]], 1, 0))</f>
        <v>0</v>
      </c>
      <c r="AN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" s="143" t="str">
        <f>INDEX(Sheet5!$B$2:$AG$33, MATCH(Table2[[#This Row],[AwayTeam]],Sheet5!$A$2:$A$33, 0), MATCH(Table2[[#This Row],[HomeTeam]],Sheet5!$A$2:$A$33, 0))</f>
        <v>1-0-0</v>
      </c>
      <c r="AP9" s="143" t="str">
        <f>INDEX(Sheet5!$B$2:$AG$33, MATCH(Table2[[#This Row],[HomeTeam]],Sheet5!$A$2:$A$33, 0), MATCH(Table2[[#This Row],[AwayTeam]],Sheet5!$A$2:$A$33, 0))</f>
        <v>0-0-1</v>
      </c>
      <c r="AQ9" s="143">
        <f>IF(Table2[[#This Row],[GameHasShutOut]], 1, 0)</f>
        <v>0</v>
      </c>
      <c r="AR9" s="143">
        <f>IF(Table2[[#This Row],[ActualAwayScore]] + Table2[[#This Row],[ActualHomeScore]] &gt;= 10, 1, 0)</f>
        <v>1</v>
      </c>
      <c r="AS9" s="143">
        <f>IF(ABS(Table2[[#This Row],[ActualAwayScore]]-Table2[[#This Row],[ActualHomeScore]])&gt;=5, 1, 0)</f>
        <v>0</v>
      </c>
      <c r="AT9" s="143">
        <f>IF(Table2[[#This Row],[ActualAwayScore]] + Table2[[#This Row],[ActualHomeScore]] &lt;= 3, 1, 0)</f>
        <v>0</v>
      </c>
      <c r="AU9" s="2"/>
      <c r="AV9" s="2"/>
      <c r="BC9" t="s">
        <v>438</v>
      </c>
      <c r="BD9" s="23">
        <f>SUMIF($N$3:$N$1315,1, $AC$3:$AC$1315)</f>
        <v>2.6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2</v>
      </c>
      <c r="BP9" s="57"/>
      <c r="BR9" s="2">
        <v>4</v>
      </c>
      <c r="BS9" s="110" cm="1">
        <f t="array" ref="BS9">SUM(--(ABS($F$3:$F$1315 - $J$3:$J$1315) = $BR9))</f>
        <v>3</v>
      </c>
      <c r="BT9" s="111">
        <f t="shared" si="7"/>
        <v>0.42857142857142855</v>
      </c>
      <c r="BU9" s="112" cm="1">
        <f t="array" ref="BU9">SUM(--(ABS($G$3:$G$1315 - $K$3:$K$1315) = $BR9))</f>
        <v>8</v>
      </c>
      <c r="BV9" s="113">
        <f t="shared" si="8"/>
        <v>1.1428571428571428</v>
      </c>
      <c r="BW9" s="109">
        <f t="shared" si="5"/>
        <v>11</v>
      </c>
      <c r="BX9" s="114">
        <f t="shared" si="6"/>
        <v>0.7857142857142857</v>
      </c>
      <c r="CD9" t="s">
        <v>484</v>
      </c>
    </row>
    <row r="10" spans="1:82" ht="15.75" thickBot="1" x14ac:dyDescent="0.3">
      <c r="A10" s="3">
        <v>45939</v>
      </c>
      <c r="B10" s="3">
        <v>45939</v>
      </c>
      <c r="C10" s="5">
        <v>2025020008</v>
      </c>
      <c r="D10" s="2" t="s">
        <v>16</v>
      </c>
      <c r="E10" s="2" t="s">
        <v>15</v>
      </c>
      <c r="F10" s="2">
        <v>3</v>
      </c>
      <c r="G10" s="2">
        <v>4</v>
      </c>
      <c r="H10" s="2" t="str">
        <f t="shared" si="0"/>
        <v>BOS</v>
      </c>
      <c r="I10" s="2" t="s">
        <v>720</v>
      </c>
      <c r="J10" s="2"/>
      <c r="K10" s="2"/>
      <c r="L10" s="2" t="str">
        <f t="shared" si="1"/>
        <v>_</v>
      </c>
      <c r="M10" s="3"/>
      <c r="N10" s="2">
        <f>IF(ISBLANK(Table2[[#This Row],[ActualResult]]), 0, 1)</f>
        <v>0</v>
      </c>
      <c r="O10" s="2" t="str">
        <f>IF(ISBLANK(Table2[[#This Row],[ActualResult]]), "_", IF(Table2[[#This Row],[ActualWinner]]=Table2[[#This Row],[PredictedWinner]], "Y", "N"))</f>
        <v>_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" s="2"/>
      <c r="S10" s="2" t="str">
        <f t="shared" si="2"/>
        <v>_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45">
        <f>IF(AND(Table2[[#This Row],[GameIsOver]]=1,Table2[[#This Row],[ActualHomeScore]]*Table2[[#This Row],[ActualAwayScore]]=0), 1,0)</f>
        <v>0</v>
      </c>
      <c r="AA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-3</v>
      </c>
      <c r="AG10" s="2">
        <f>Table2[[#This Row],[ActualHomeScore]]-Table2[[#This Row],[PredictedHomeScore]]</f>
        <v>-4</v>
      </c>
      <c r="AH10" s="2">
        <f t="shared" si="3"/>
        <v>-41</v>
      </c>
      <c r="AI10" s="2">
        <f t="shared" si="4"/>
        <v>-56</v>
      </c>
      <c r="AJ10" s="2"/>
      <c r="AK10" s="2"/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0</v>
      </c>
      <c r="AN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" s="2" t="str">
        <f>INDEX(Sheet5!$B$2:$AG$33, MATCH(Table2[[#This Row],[AwayTeam]],Sheet5!$A$2:$A$33, 0), MATCH(Table2[[#This Row],[HomeTeam]],Sheet5!$A$2:$A$33, 0))</f>
        <v>0-0-0</v>
      </c>
      <c r="AP10" s="2" t="str">
        <f>INDEX(Sheet5!$B$2:$AG$33, MATCH(Table2[[#This Row],[HomeTeam]],Sheet5!$A$2:$A$33, 0), MATCH(Table2[[#This Row],[AwayTeam]],Sheet5!$A$2:$A$33, 0))</f>
        <v>0-0-0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1</v>
      </c>
      <c r="AU10" s="2"/>
      <c r="AV10" s="2"/>
      <c r="BC10" t="s">
        <v>439</v>
      </c>
      <c r="BD10" s="23">
        <f>BD9/$BD$4</f>
        <v>0.37142857142857144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1</v>
      </c>
      <c r="BT10" s="111">
        <f t="shared" si="7"/>
        <v>0.14285714285714285</v>
      </c>
      <c r="BU10" s="112" cm="1">
        <f t="array" ref="BU10">SUM(--(ABS($G$3:$G$1315 - $K$3:$K$1315) = $BR10))</f>
        <v>2</v>
      </c>
      <c r="BV10" s="113">
        <f t="shared" si="8"/>
        <v>0.2857142857142857</v>
      </c>
      <c r="BW10" s="109">
        <f t="shared" si="5"/>
        <v>3</v>
      </c>
      <c r="BX10" s="114">
        <f t="shared" si="6"/>
        <v>0.21428571428571427</v>
      </c>
    </row>
    <row r="11" spans="1:82" ht="15.75" thickBot="1" x14ac:dyDescent="0.3">
      <c r="A11" s="3">
        <v>45939</v>
      </c>
      <c r="B11" s="3">
        <v>45939</v>
      </c>
      <c r="C11" s="5">
        <v>2025020009</v>
      </c>
      <c r="D11" s="2" t="s">
        <v>19</v>
      </c>
      <c r="E11" s="2" t="s">
        <v>28</v>
      </c>
      <c r="F11" s="2">
        <v>3</v>
      </c>
      <c r="G11" s="2">
        <v>6</v>
      </c>
      <c r="H11" s="2" t="str">
        <f t="shared" si="0"/>
        <v>BUF</v>
      </c>
      <c r="I11" s="2" t="s">
        <v>719</v>
      </c>
      <c r="J11" s="2"/>
      <c r="K11" s="2"/>
      <c r="L11" s="2" t="str">
        <f t="shared" si="1"/>
        <v>_</v>
      </c>
      <c r="M11" s="3"/>
      <c r="N11" s="2">
        <f>IF(ISBLANK(Table2[[#This Row],[ActualResult]]), 0, 1)</f>
        <v>0</v>
      </c>
      <c r="O11" s="2" t="str">
        <f>IF(ISBLANK(Table2[[#This Row],[ActualResult]]), "_", IF(Table2[[#This Row],[ActualWinner]]=Table2[[#This Row],[PredictedWinner]], "Y", "N"))</f>
        <v>_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" s="2"/>
      <c r="S11" s="2" t="str">
        <f t="shared" si="2"/>
        <v>_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45">
        <f>IF(AND(Table2[[#This Row],[GameIsOver]]=1,Table2[[#This Row],[ActualHomeScore]]*Table2[[#This Row],[ActualAwayScore]]=0), 1,0)</f>
        <v>0</v>
      </c>
      <c r="AA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-3</v>
      </c>
      <c r="AG11" s="2">
        <f>Table2[[#This Row],[ActualHomeScore]]-Table2[[#This Row],[PredictedHomeScore]]</f>
        <v>-6</v>
      </c>
      <c r="AH11" s="2">
        <f t="shared" si="3"/>
        <v>-41</v>
      </c>
      <c r="AI11" s="2">
        <f t="shared" si="4"/>
        <v>-56</v>
      </c>
      <c r="AJ11" s="2"/>
      <c r="AK11" s="2"/>
      <c r="AL11" s="2">
        <f>IF(Table2[[#This Row],[GameIsOver]]=0,0,IF(Table2[[#This Row],[ActualWinner]]=Table2[[#This Row],[AwayTeam]], 1, 0))</f>
        <v>0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" s="2" t="str">
        <f>INDEX(Sheet5!$B$2:$AG$33, MATCH(Table2[[#This Row],[AwayTeam]],Sheet5!$A$2:$A$33, 0), MATCH(Table2[[#This Row],[HomeTeam]],Sheet5!$A$2:$A$33, 0))</f>
        <v>0-0-0</v>
      </c>
      <c r="AP11" s="2" t="str">
        <f>INDEX(Sheet5!$B$2:$AG$33, MATCH(Table2[[#This Row],[HomeTeam]],Sheet5!$A$2:$A$33, 0), MATCH(Table2[[#This Row],[AwayTeam]],Sheet5!$A$2:$A$33, 0))</f>
        <v>0-0-0</v>
      </c>
      <c r="AQ11" s="2">
        <f>IF(Table2[[#This Row],[GameHasShutOut]], 1, 0)</f>
        <v>0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1</v>
      </c>
      <c r="AU11" s="2"/>
      <c r="AV11" s="2"/>
      <c r="BA11" t="s">
        <v>446</v>
      </c>
      <c r="BC11" t="s">
        <v>440</v>
      </c>
      <c r="BD11" s="23">
        <f>$BF$11*($BD$5)</f>
        <v>2.4000000000000004</v>
      </c>
      <c r="BF11">
        <f>80/100</f>
        <v>0.8</v>
      </c>
      <c r="BH11" t="s">
        <v>135</v>
      </c>
      <c r="BI11">
        <v>65</v>
      </c>
      <c r="BK11" s="57"/>
      <c r="BL11" s="158" t="str">
        <f>_xlfn.CONCAT(TEXT(BM4+BM6+BM8, "0"),"-",TEXT(BM5, "0"),"-",TEXT(BM7+BM9, "0"))</f>
        <v>3-2-2</v>
      </c>
      <c r="BM11" s="159"/>
      <c r="BN11" t="s">
        <v>528</v>
      </c>
      <c r="BP11" s="57"/>
      <c r="BR11" s="2">
        <v>6</v>
      </c>
      <c r="BS11" s="110" cm="1">
        <f t="array" ref="BS11">SUM(--(ABS($F$3:$F$1315 - $J$3:$J$1315) = $BR11))</f>
        <v>0</v>
      </c>
      <c r="BT11" s="111">
        <f t="shared" si="7"/>
        <v>0</v>
      </c>
      <c r="BU11" s="112" cm="1">
        <f t="array" ref="BU11">SUM(--(ABS($G$3:$G$1315 - $K$3:$K$1315) = $BR11))</f>
        <v>2</v>
      </c>
      <c r="BV11" s="113">
        <f t="shared" si="8"/>
        <v>0.2857142857142857</v>
      </c>
      <c r="BW11" s="109">
        <f t="shared" si="5"/>
        <v>2</v>
      </c>
      <c r="BX11" s="114">
        <f t="shared" si="6"/>
        <v>0.14285714285714285</v>
      </c>
    </row>
    <row r="12" spans="1:82" ht="15.75" thickBot="1" x14ac:dyDescent="0.3">
      <c r="A12" s="3">
        <v>45939</v>
      </c>
      <c r="B12" s="3">
        <v>45939</v>
      </c>
      <c r="C12" s="5">
        <v>2025020010</v>
      </c>
      <c r="D12" s="2" t="s">
        <v>18</v>
      </c>
      <c r="E12" s="2" t="s">
        <v>30</v>
      </c>
      <c r="F12" s="2">
        <v>3</v>
      </c>
      <c r="G12" s="2">
        <v>2</v>
      </c>
      <c r="H12" s="2" t="str">
        <f t="shared" si="0"/>
        <v>MTL</v>
      </c>
      <c r="I12" s="2" t="s">
        <v>719</v>
      </c>
      <c r="J12" s="2"/>
      <c r="K12" s="2"/>
      <c r="L12" s="2" t="str">
        <f t="shared" si="1"/>
        <v>_</v>
      </c>
      <c r="M12" s="3"/>
      <c r="N12" s="2">
        <f>IF(ISBLANK(Table2[[#This Row],[ActualResult]]), 0, 1)</f>
        <v>0</v>
      </c>
      <c r="O12" s="2" t="str">
        <f>IF(ISBLANK(Table2[[#This Row],[ActualResult]]), "_", IF(Table2[[#This Row],[ActualWinner]]=Table2[[#This Row],[PredictedWinner]], "Y", "N"))</f>
        <v>_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" s="2"/>
      <c r="S12" s="2" t="str">
        <f t="shared" si="2"/>
        <v>_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45">
        <f>IF(AND(Table2[[#This Row],[GameIsOver]]=1,Table2[[#This Row],[ActualHomeScore]]*Table2[[#This Row],[ActualAwayScore]]=0), 1,0)</f>
        <v>0</v>
      </c>
      <c r="AA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-3</v>
      </c>
      <c r="AG12" s="2">
        <f>Table2[[#This Row],[ActualHomeScore]]-Table2[[#This Row],[PredictedHomeScore]]</f>
        <v>-2</v>
      </c>
      <c r="AH12" s="2">
        <f t="shared" si="3"/>
        <v>-41</v>
      </c>
      <c r="AI12" s="2">
        <f t="shared" si="4"/>
        <v>-56</v>
      </c>
      <c r="AJ12" s="2"/>
      <c r="AK12" s="2"/>
      <c r="AL12" s="2">
        <f>IF(Table2[[#This Row],[GameIsOver]]=0,0,IF(Table2[[#This Row],[ActualWinner]]=Table2[[#This Row],[AwayTeam]], 1, 0))</f>
        <v>0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" s="2" t="str">
        <f>INDEX(Sheet5!$B$2:$AG$33, MATCH(Table2[[#This Row],[AwayTeam]],Sheet5!$A$2:$A$33, 0), MATCH(Table2[[#This Row],[HomeTeam]],Sheet5!$A$2:$A$33, 0))</f>
        <v>0-0-0</v>
      </c>
      <c r="AP12" s="2" t="str">
        <f>INDEX(Sheet5!$B$2:$AG$33, MATCH(Table2[[#This Row],[HomeTeam]],Sheet5!$A$2:$A$33, 0), MATCH(Table2[[#This Row],[AwayTeam]],Sheet5!$A$2:$A$33, 0))</f>
        <v>0-0-0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1</v>
      </c>
      <c r="AU12" s="2"/>
      <c r="AV12" s="2"/>
      <c r="BC12" t="s">
        <v>442</v>
      </c>
      <c r="BD12" s="23">
        <f>COUNTIFS($N$3:$N$1315,1, $P$3:$P$1315, "Y")</f>
        <v>1</v>
      </c>
      <c r="BF12">
        <f>10/100</f>
        <v>0.1</v>
      </c>
      <c r="BK12" s="57"/>
      <c r="BL12" s="152" t="str">
        <f>_xlfn.CONCAT(TEXT(BM4, "0"),"-",TEXT(BM5, "0"),"-",TEXT(BM7+BM9+BM6+BM8, "0"))</f>
        <v>3-2-2</v>
      </c>
      <c r="BM12" s="153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7"/>
        <v>0</v>
      </c>
      <c r="BU12" s="112" cm="1">
        <f t="array" ref="BU12">SUM(--(ABS($G$3:$G$1315 - $K$3:$K$1315) = $BR12))</f>
        <v>0</v>
      </c>
      <c r="BV12" s="113">
        <f t="shared" si="8"/>
        <v>0</v>
      </c>
      <c r="BW12" s="109">
        <f t="shared" si="5"/>
        <v>0</v>
      </c>
      <c r="BX12" s="114">
        <f t="shared" si="6"/>
        <v>0</v>
      </c>
    </row>
    <row r="13" spans="1:82" ht="15.75" thickTop="1" x14ac:dyDescent="0.25">
      <c r="A13" s="3">
        <v>45939</v>
      </c>
      <c r="B13" s="3">
        <v>45939</v>
      </c>
      <c r="C13" s="5">
        <v>2025020011</v>
      </c>
      <c r="D13" s="2" t="s">
        <v>29</v>
      </c>
      <c r="E13" s="2" t="s">
        <v>40</v>
      </c>
      <c r="F13" s="2">
        <v>2</v>
      </c>
      <c r="G13" s="2">
        <v>5</v>
      </c>
      <c r="H13" s="2" t="str">
        <f t="shared" si="0"/>
        <v>TBL</v>
      </c>
      <c r="I13" s="2" t="s">
        <v>719</v>
      </c>
      <c r="J13" s="2"/>
      <c r="K13" s="2"/>
      <c r="L13" s="2" t="str">
        <f t="shared" si="1"/>
        <v>_</v>
      </c>
      <c r="M13" s="3"/>
      <c r="N13" s="2">
        <f>IF(ISBLANK(Table2[[#This Row],[ActualResult]]), 0, 1)</f>
        <v>0</v>
      </c>
      <c r="O13" s="2" t="str">
        <f>IF(ISBLANK(Table2[[#This Row],[ActualResult]]), "_", IF(Table2[[#This Row],[ActualWinner]]=Table2[[#This Row],[PredictedWinner]], "Y", "N"))</f>
        <v>_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" s="2"/>
      <c r="S13" s="2" t="str">
        <f t="shared" si="2"/>
        <v>_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45">
        <f>IF(AND(Table2[[#This Row],[GameIsOver]]=1,Table2[[#This Row],[ActualHomeScore]]*Table2[[#This Row],[ActualAwayScore]]=0), 1,0)</f>
        <v>0</v>
      </c>
      <c r="AA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-2</v>
      </c>
      <c r="AG13" s="2">
        <f>Table2[[#This Row],[ActualHomeScore]]-Table2[[#This Row],[PredictedHomeScore]]</f>
        <v>-5</v>
      </c>
      <c r="AH13" s="2">
        <f t="shared" si="3"/>
        <v>-41</v>
      </c>
      <c r="AI13" s="2">
        <f t="shared" si="4"/>
        <v>-56</v>
      </c>
      <c r="AJ13" s="2"/>
      <c r="AK13" s="2"/>
      <c r="AL13" s="2">
        <f>IF(Table2[[#This Row],[GameIsOver]]=0,0,IF(Table2[[#This Row],[ActualWinner]]=Table2[[#This Row],[AwayTeam]], 1, 0))</f>
        <v>0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" s="2" t="str">
        <f>INDEX(Sheet5!$B$2:$AG$33, MATCH(Table2[[#This Row],[AwayTeam]],Sheet5!$A$2:$A$33, 0), MATCH(Table2[[#This Row],[HomeTeam]],Sheet5!$A$2:$A$33, 0))</f>
        <v>0-0-0</v>
      </c>
      <c r="AP13" s="2" t="str">
        <f>INDEX(Sheet5!$B$2:$AG$33, MATCH(Table2[[#This Row],[HomeTeam]],Sheet5!$A$2:$A$33, 0), MATCH(Table2[[#This Row],[AwayTeam]],Sheet5!$A$2:$A$33, 0))</f>
        <v>0-0-0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1</v>
      </c>
      <c r="AU13" s="2"/>
      <c r="AV13" s="2"/>
      <c r="BC13" t="s">
        <v>441</v>
      </c>
      <c r="BD13" s="23">
        <f>COUNTIFS($N$3:$N$1315,1, $Q$3:$Q$1315, "Y")*$BF$13</f>
        <v>0.1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7"/>
        <v>0</v>
      </c>
      <c r="BU13" s="112" cm="1">
        <f t="array" ref="BU13">SUM(--(ABS($G$3:$G$1315 - $K$3:$K$1315) = $BR13))</f>
        <v>0</v>
      </c>
      <c r="BV13" s="113">
        <f t="shared" si="8"/>
        <v>0</v>
      </c>
      <c r="BW13" s="109">
        <f t="shared" si="5"/>
        <v>0</v>
      </c>
      <c r="BX13" s="114">
        <f t="shared" si="6"/>
        <v>0</v>
      </c>
    </row>
    <row r="14" spans="1:82" x14ac:dyDescent="0.25">
      <c r="A14" s="3">
        <v>45939</v>
      </c>
      <c r="B14" s="3">
        <v>45939</v>
      </c>
      <c r="C14" s="5">
        <v>2025020012</v>
      </c>
      <c r="D14" s="2" t="s">
        <v>42</v>
      </c>
      <c r="E14" s="2" t="s">
        <v>13</v>
      </c>
      <c r="F14" s="2">
        <v>1</v>
      </c>
      <c r="G14" s="2">
        <v>4</v>
      </c>
      <c r="H14" s="2" t="str">
        <f t="shared" si="0"/>
        <v>FLA</v>
      </c>
      <c r="I14" s="2" t="s">
        <v>719</v>
      </c>
      <c r="J14" s="2"/>
      <c r="K14" s="2"/>
      <c r="L14" s="2" t="str">
        <f t="shared" si="1"/>
        <v>_</v>
      </c>
      <c r="M14" s="3"/>
      <c r="N14" s="2">
        <f>IF(ISBLANK(Table2[[#This Row],[ActualResult]]), 0, 1)</f>
        <v>0</v>
      </c>
      <c r="O14" s="2" t="str">
        <f>IF(ISBLANK(Table2[[#This Row],[ActualResult]]), "_", IF(Table2[[#This Row],[ActualWinner]]=Table2[[#This Row],[PredictedWinner]], "Y", "N"))</f>
        <v>_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" s="2"/>
      <c r="S14" s="2" t="str">
        <f t="shared" si="2"/>
        <v>_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45">
        <f>IF(AND(Table2[[#This Row],[GameIsOver]]=1,Table2[[#This Row],[ActualHomeScore]]*Table2[[#This Row],[ActualAwayScore]]=0), 1,0)</f>
        <v>0</v>
      </c>
      <c r="AA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-1</v>
      </c>
      <c r="AG14" s="2">
        <f>Table2[[#This Row],[ActualHomeScore]]-Table2[[#This Row],[PredictedHomeScore]]</f>
        <v>-4</v>
      </c>
      <c r="AH14" s="2">
        <f t="shared" si="3"/>
        <v>-41</v>
      </c>
      <c r="AI14" s="2">
        <f t="shared" si="4"/>
        <v>-56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0</v>
      </c>
      <c r="AN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" s="2" t="str">
        <f>INDEX(Sheet5!$B$2:$AG$33, MATCH(Table2[[#This Row],[AwayTeam]],Sheet5!$A$2:$A$33, 0), MATCH(Table2[[#This Row],[HomeTeam]],Sheet5!$A$2:$A$33, 0))</f>
        <v>0-0-0</v>
      </c>
      <c r="AP14" s="2" t="str">
        <f>INDEX(Sheet5!$B$2:$AG$33, MATCH(Table2[[#This Row],[HomeTeam]],Sheet5!$A$2:$A$33, 0), MATCH(Table2[[#This Row],[AwayTeam]],Sheet5!$A$2:$A$33, 0))</f>
        <v>0-0-0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/>
      <c r="AV14" s="2"/>
      <c r="BR14" s="2">
        <v>9</v>
      </c>
      <c r="BS14" s="110" cm="1">
        <f t="array" ref="BS14">SUM(--(ABS($F$3:$F$1315 - $J$3:$J$1315) = $BR14))</f>
        <v>0</v>
      </c>
      <c r="BT14" s="111">
        <f t="shared" si="7"/>
        <v>0</v>
      </c>
      <c r="BU14" s="112" cm="1">
        <f t="array" ref="BU14">SUM(--(ABS($G$3:$G$1315 - $K$3:$K$1315) = $BR14))</f>
        <v>0</v>
      </c>
      <c r="BV14" s="113">
        <f t="shared" si="8"/>
        <v>0</v>
      </c>
      <c r="BW14" s="109">
        <f t="shared" si="5"/>
        <v>0</v>
      </c>
      <c r="BX14" s="114">
        <f t="shared" si="6"/>
        <v>0</v>
      </c>
    </row>
    <row r="15" spans="1:82" x14ac:dyDescent="0.25">
      <c r="A15" s="3">
        <v>45939</v>
      </c>
      <c r="B15" s="3">
        <v>45939</v>
      </c>
      <c r="C15" s="5">
        <v>2025020013</v>
      </c>
      <c r="D15" s="2" t="s">
        <v>32</v>
      </c>
      <c r="E15" s="2" t="s">
        <v>20</v>
      </c>
      <c r="F15" s="2">
        <v>2</v>
      </c>
      <c r="G15" s="2">
        <v>4</v>
      </c>
      <c r="H15" s="2" t="str">
        <f t="shared" si="0"/>
        <v>PIT</v>
      </c>
      <c r="I15" s="2" t="s">
        <v>719</v>
      </c>
      <c r="J15" s="2"/>
      <c r="K15" s="2"/>
      <c r="L15" s="2" t="str">
        <f t="shared" si="1"/>
        <v>_</v>
      </c>
      <c r="M15" s="3"/>
      <c r="N15" s="2">
        <f>IF(ISBLANK(Table2[[#This Row],[ActualResult]]), 0, 1)</f>
        <v>0</v>
      </c>
      <c r="O15" s="2" t="str">
        <f>IF(ISBLANK(Table2[[#This Row],[ActualResult]]), "_", IF(Table2[[#This Row],[ActualWinner]]=Table2[[#This Row],[PredictedWinner]], "Y", "N"))</f>
        <v>_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" s="2"/>
      <c r="S15" s="2" t="str">
        <f t="shared" si="2"/>
        <v>_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45">
        <f>IF(AND(Table2[[#This Row],[GameIsOver]]=1,Table2[[#This Row],[ActualHomeScore]]*Table2[[#This Row],[ActualAwayScore]]=0), 1,0)</f>
        <v>0</v>
      </c>
      <c r="AA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-2</v>
      </c>
      <c r="AG15" s="2">
        <f>Table2[[#This Row],[ActualHomeScore]]-Table2[[#This Row],[PredictedHomeScore]]</f>
        <v>-4</v>
      </c>
      <c r="AH15" s="2">
        <f t="shared" si="3"/>
        <v>-41</v>
      </c>
      <c r="AI15" s="2">
        <f t="shared" si="4"/>
        <v>-56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0</v>
      </c>
      <c r="AN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" s="2" t="str">
        <f>INDEX(Sheet5!$B$2:$AG$33, MATCH(Table2[[#This Row],[AwayTeam]],Sheet5!$A$2:$A$33, 0), MATCH(Table2[[#This Row],[HomeTeam]],Sheet5!$A$2:$A$33, 0))</f>
        <v>0-0-0</v>
      </c>
      <c r="AP15" s="2" t="str">
        <f>INDEX(Sheet5!$B$2:$AG$33, MATCH(Table2[[#This Row],[HomeTeam]],Sheet5!$A$2:$A$33, 0), MATCH(Table2[[#This Row],[AwayTeam]],Sheet5!$A$2:$A$33, 0))</f>
        <v>0-0-0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1</v>
      </c>
      <c r="AU15" s="2"/>
      <c r="AV15" s="2"/>
      <c r="BR15" s="2">
        <v>10</v>
      </c>
      <c r="BS15" s="110" cm="1">
        <f t="array" ref="BS15">SUM(--(ABS($F$3:$F$1315 - $J$3:$J$1315) = $BR15))</f>
        <v>0</v>
      </c>
      <c r="BT15" s="111">
        <f t="shared" si="7"/>
        <v>0</v>
      </c>
      <c r="BU15" s="112" cm="1">
        <f t="array" ref="BU15">SUM(--(ABS($G$3:$G$1315 - $K$3:$K$1315) = $BR15))</f>
        <v>0</v>
      </c>
      <c r="BV15" s="113">
        <f t="shared" si="8"/>
        <v>0</v>
      </c>
      <c r="BW15" s="109">
        <f t="shared" si="5"/>
        <v>0</v>
      </c>
      <c r="BX15" s="114">
        <f t="shared" si="6"/>
        <v>0</v>
      </c>
    </row>
    <row r="16" spans="1:82" x14ac:dyDescent="0.25">
      <c r="A16" s="3">
        <v>45939</v>
      </c>
      <c r="B16" s="3">
        <v>45939</v>
      </c>
      <c r="C16" s="5">
        <v>2025020014</v>
      </c>
      <c r="D16" s="2" t="s">
        <v>31</v>
      </c>
      <c r="E16" s="2" t="s">
        <v>41</v>
      </c>
      <c r="F16" s="2">
        <v>2</v>
      </c>
      <c r="G16" s="2">
        <v>4</v>
      </c>
      <c r="H16" s="2" t="str">
        <f t="shared" si="0"/>
        <v>CAR</v>
      </c>
      <c r="I16" s="2" t="s">
        <v>719</v>
      </c>
      <c r="J16" s="2"/>
      <c r="K16" s="2"/>
      <c r="L16" s="2" t="str">
        <f t="shared" si="1"/>
        <v>_</v>
      </c>
      <c r="M16" s="3"/>
      <c r="N16" s="2">
        <f>IF(ISBLANK(Table2[[#This Row],[ActualResult]]), 0, 1)</f>
        <v>0</v>
      </c>
      <c r="O16" s="2" t="str">
        <f>IF(ISBLANK(Table2[[#This Row],[ActualResult]]), "_", IF(Table2[[#This Row],[ActualWinner]]=Table2[[#This Row],[PredictedWinner]], "Y", "N"))</f>
        <v>_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" s="2"/>
      <c r="S16" s="2" t="str">
        <f t="shared" si="2"/>
        <v>_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45">
        <f>IF(AND(Table2[[#This Row],[GameIsOver]]=1,Table2[[#This Row],[ActualHomeScore]]*Table2[[#This Row],[ActualAwayScore]]=0), 1,0)</f>
        <v>0</v>
      </c>
      <c r="AA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-2</v>
      </c>
      <c r="AG16" s="2">
        <f>Table2[[#This Row],[ActualHomeScore]]-Table2[[#This Row],[PredictedHomeScore]]</f>
        <v>-4</v>
      </c>
      <c r="AH16" s="2">
        <f t="shared" si="3"/>
        <v>-41</v>
      </c>
      <c r="AI16" s="2">
        <f t="shared" si="4"/>
        <v>-56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0</v>
      </c>
      <c r="AN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" s="2" t="str">
        <f>INDEX(Sheet5!$B$2:$AG$33, MATCH(Table2[[#This Row],[AwayTeam]],Sheet5!$A$2:$A$33, 0), MATCH(Table2[[#This Row],[HomeTeam]],Sheet5!$A$2:$A$33, 0))</f>
        <v>0-0-0</v>
      </c>
      <c r="AP16" s="2" t="str">
        <f>INDEX(Sheet5!$B$2:$AG$33, MATCH(Table2[[#This Row],[HomeTeam]],Sheet5!$A$2:$A$33, 0), MATCH(Table2[[#This Row],[AwayTeam]],Sheet5!$A$2:$A$33, 0))</f>
        <v>0-0-0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1</v>
      </c>
      <c r="AU16" s="2"/>
      <c r="AV16" s="2"/>
      <c r="BR16" t="s">
        <v>467</v>
      </c>
      <c r="BS16" s="151">
        <f>((BR5*BT5)+(BT6*BR6)+(BT7*BR7)+(BT8*BR8)+(BT9*BR9)+(BT10*BR10)+(BT11*BR11)+(BT12*BR12)+(BT13*BR13)+(BT14*BR14)+(BT15*BR15))</f>
        <v>7.1428571428571423</v>
      </c>
      <c r="BT16" s="151"/>
      <c r="BU16" s="151">
        <f>((BR5*BV5)+(BV6*BR6)+(BV7*BR7)+(BV8*BR8)+(BV9*BR9)+(BV10*BR10)+(BV11*BR11)+(BV12*BR12)+(BV13*BR13)+(BV14*BR14)+(BV15*BR15))</f>
        <v>9.9999999999999982</v>
      </c>
      <c r="BV16" s="151"/>
      <c r="BX16">
        <f>((BR5*BX5)+(BX6*BR6)+(BX7*BR7)+(BX8*BR8)+(BX9*BR9)+(BX10*BR10)+(BX11*BR11)+(BX12*BR12)+(BX13*BR13)+(BX14*BR14)+(BX15*BR15))</f>
        <v>8.5714285714285712</v>
      </c>
    </row>
    <row r="17" spans="1:61" x14ac:dyDescent="0.25">
      <c r="A17" s="3">
        <v>45939</v>
      </c>
      <c r="B17" s="3">
        <v>45939</v>
      </c>
      <c r="C17" s="5">
        <v>2025020015</v>
      </c>
      <c r="D17" s="2" t="s">
        <v>36</v>
      </c>
      <c r="E17" s="2" t="s">
        <v>12</v>
      </c>
      <c r="F17" s="2">
        <v>5</v>
      </c>
      <c r="G17" s="2">
        <v>3</v>
      </c>
      <c r="H17" s="2" t="str">
        <f t="shared" si="0"/>
        <v>MIN</v>
      </c>
      <c r="I17" s="2" t="s">
        <v>719</v>
      </c>
      <c r="J17" s="2"/>
      <c r="K17" s="2"/>
      <c r="L17" s="2" t="str">
        <f t="shared" si="1"/>
        <v>_</v>
      </c>
      <c r="M17" s="3"/>
      <c r="N17" s="2">
        <f>IF(ISBLANK(Table2[[#This Row],[ActualResult]]), 0, 1)</f>
        <v>0</v>
      </c>
      <c r="O17" s="2" t="str">
        <f>IF(ISBLANK(Table2[[#This Row],[ActualResult]]), "_", IF(Table2[[#This Row],[ActualWinner]]=Table2[[#This Row],[PredictedWinner]], "Y", "N"))</f>
        <v>_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" s="2"/>
      <c r="S17" s="2" t="str">
        <f t="shared" si="2"/>
        <v>_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45">
        <f>IF(AND(Table2[[#This Row],[GameIsOver]]=1,Table2[[#This Row],[ActualHomeScore]]*Table2[[#This Row],[ActualAwayScore]]=0), 1,0)</f>
        <v>0</v>
      </c>
      <c r="AA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" s="2">
        <f>Table2[[#This Row],[ActualAwayScore]]-Table2[[#This Row],[PredictedAwayScore]]</f>
        <v>-5</v>
      </c>
      <c r="AG17" s="2">
        <f>Table2[[#This Row],[ActualHomeScore]]-Table2[[#This Row],[PredictedHomeScore]]</f>
        <v>-3</v>
      </c>
      <c r="AH17" s="2">
        <f t="shared" si="3"/>
        <v>-41</v>
      </c>
      <c r="AI17" s="2">
        <f t="shared" si="4"/>
        <v>-56</v>
      </c>
      <c r="AJ17" s="2"/>
      <c r="AK17" s="2"/>
      <c r="AL17" s="2">
        <f>IF(Table2[[#This Row],[GameIsOver]]=0,0,IF(Table2[[#This Row],[ActualWinner]]=Table2[[#This Row],[AwayTeam]], 1, 0))</f>
        <v>0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" s="2" t="str">
        <f>INDEX(Sheet5!$B$2:$AG$33, MATCH(Table2[[#This Row],[AwayTeam]],Sheet5!$A$2:$A$33, 0), MATCH(Table2[[#This Row],[HomeTeam]],Sheet5!$A$2:$A$33, 0))</f>
        <v>0-0-0</v>
      </c>
      <c r="AP17" s="2" t="str">
        <f>INDEX(Sheet5!$B$2:$AG$33, MATCH(Table2[[#This Row],[HomeTeam]],Sheet5!$A$2:$A$33, 0), MATCH(Table2[[#This Row],[AwayTeam]],Sheet5!$A$2:$A$33, 0))</f>
        <v>0-0-0</v>
      </c>
      <c r="AQ17" s="2">
        <f>IF(Table2[[#This Row],[GameHasShutOut]], 1, 0)</f>
        <v>0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0</v>
      </c>
      <c r="AT17" s="2">
        <f>IF(Table2[[#This Row],[ActualAwayScore]] + Table2[[#This Row],[ActualHomeScore]] &lt;= 3, 1, 0)</f>
        <v>1</v>
      </c>
      <c r="AU17" s="2"/>
      <c r="AV17" s="2"/>
      <c r="BC17" t="s">
        <v>438</v>
      </c>
      <c r="BD17" s="23">
        <f>SUMIF($N$3:$N$1315,1, $AD$3:$AD$1315)</f>
        <v>4.12</v>
      </c>
      <c r="BH17" t="s">
        <v>486</v>
      </c>
      <c r="BI17">
        <f>COUNTIFS($N$3:$N$1315,1,$AC$3:$AC$1315,1)</f>
        <v>0</v>
      </c>
    </row>
    <row r="18" spans="1:61" x14ac:dyDescent="0.25">
      <c r="A18" s="3">
        <v>45939</v>
      </c>
      <c r="B18" s="3">
        <v>45939</v>
      </c>
      <c r="C18" s="5">
        <v>2025020016</v>
      </c>
      <c r="D18" s="2" t="s">
        <v>35</v>
      </c>
      <c r="E18" s="2" t="s">
        <v>34</v>
      </c>
      <c r="F18" s="2">
        <v>3</v>
      </c>
      <c r="G18" s="2">
        <v>4</v>
      </c>
      <c r="H18" s="2" t="str">
        <f t="shared" si="0"/>
        <v>NSH</v>
      </c>
      <c r="I18" s="2" t="s">
        <v>720</v>
      </c>
      <c r="J18" s="2"/>
      <c r="K18" s="2"/>
      <c r="L18" s="2" t="str">
        <f t="shared" si="1"/>
        <v>_</v>
      </c>
      <c r="M18" s="3"/>
      <c r="N18" s="2">
        <f>IF(ISBLANK(Table2[[#This Row],[ActualResult]]), 0, 1)</f>
        <v>0</v>
      </c>
      <c r="O18" s="2" t="str">
        <f>IF(ISBLANK(Table2[[#This Row],[ActualResult]]), "_", IF(Table2[[#This Row],[ActualWinner]]=Table2[[#This Row],[PredictedWinner]], "Y", "N"))</f>
        <v>_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" s="2"/>
      <c r="S18" s="2" t="str">
        <f t="shared" si="2"/>
        <v>_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45">
        <f>IF(AND(Table2[[#This Row],[GameIsOver]]=1,Table2[[#This Row],[ActualHomeScore]]*Table2[[#This Row],[ActualAwayScore]]=0), 1,0)</f>
        <v>0</v>
      </c>
      <c r="AA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8" s="2">
        <f>Table2[[#This Row],[ActualAwayScore]]-Table2[[#This Row],[PredictedAwayScore]]</f>
        <v>-3</v>
      </c>
      <c r="AG18" s="2">
        <f>Table2[[#This Row],[ActualHomeScore]]-Table2[[#This Row],[PredictedHomeScore]]</f>
        <v>-4</v>
      </c>
      <c r="AH18" s="2">
        <f t="shared" si="3"/>
        <v>-41</v>
      </c>
      <c r="AI18" s="2">
        <f t="shared" si="4"/>
        <v>-56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0</v>
      </c>
      <c r="AN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" s="2" t="str">
        <f>INDEX(Sheet5!$B$2:$AG$33, MATCH(Table2[[#This Row],[AwayTeam]],Sheet5!$A$2:$A$33, 0), MATCH(Table2[[#This Row],[HomeTeam]],Sheet5!$A$2:$A$33, 0))</f>
        <v>0-0-0</v>
      </c>
      <c r="AP18" s="2" t="str">
        <f>INDEX(Sheet5!$B$2:$AG$33, MATCH(Table2[[#This Row],[HomeTeam]],Sheet5!$A$2:$A$33, 0), MATCH(Table2[[#This Row],[AwayTeam]],Sheet5!$A$2:$A$33, 0))</f>
        <v>0-0-0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/>
      <c r="AV18" s="2"/>
      <c r="BC18" t="s">
        <v>439</v>
      </c>
      <c r="BD18" s="23">
        <f>BD17/$BD$4</f>
        <v>0.58857142857142863</v>
      </c>
    </row>
    <row r="19" spans="1:61" x14ac:dyDescent="0.25">
      <c r="A19" s="3">
        <v>45939</v>
      </c>
      <c r="B19" s="3">
        <v>45939</v>
      </c>
      <c r="C19" s="5">
        <v>2025020017</v>
      </c>
      <c r="D19" s="2" t="s">
        <v>33</v>
      </c>
      <c r="E19" s="2" t="s">
        <v>21</v>
      </c>
      <c r="F19" s="2">
        <v>4</v>
      </c>
      <c r="G19" s="2">
        <v>2</v>
      </c>
      <c r="H19" s="2" t="str">
        <f t="shared" si="0"/>
        <v>DAL</v>
      </c>
      <c r="I19" s="2" t="s">
        <v>719</v>
      </c>
      <c r="J19" s="2"/>
      <c r="K19" s="2"/>
      <c r="L19" s="2" t="str">
        <f t="shared" si="1"/>
        <v>_</v>
      </c>
      <c r="M19" s="3"/>
      <c r="N19" s="2">
        <f>IF(ISBLANK(Table2[[#This Row],[ActualResult]]), 0, 1)</f>
        <v>0</v>
      </c>
      <c r="O19" s="2" t="str">
        <f>IF(ISBLANK(Table2[[#This Row],[ActualResult]]), "_", IF(Table2[[#This Row],[ActualWinner]]=Table2[[#This Row],[PredictedWinner]], "Y", "N"))</f>
        <v>_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" s="2"/>
      <c r="S19" s="2" t="str">
        <f t="shared" si="2"/>
        <v>_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45">
        <f>IF(AND(Table2[[#This Row],[GameIsOver]]=1,Table2[[#This Row],[ActualHomeScore]]*Table2[[#This Row],[ActualAwayScore]]=0), 1,0)</f>
        <v>0</v>
      </c>
      <c r="AA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9" s="2">
        <f>Table2[[#This Row],[ActualAwayScore]]-Table2[[#This Row],[PredictedAwayScore]]</f>
        <v>-4</v>
      </c>
      <c r="AG19" s="2">
        <f>Table2[[#This Row],[ActualHomeScore]]-Table2[[#This Row],[PredictedHomeScore]]</f>
        <v>-2</v>
      </c>
      <c r="AH19" s="2">
        <f t="shared" si="3"/>
        <v>-41</v>
      </c>
      <c r="AI19" s="2">
        <f t="shared" si="4"/>
        <v>-56</v>
      </c>
      <c r="AJ19" s="2"/>
      <c r="AK19" s="2"/>
      <c r="AL19" s="2">
        <f>IF(Table2[[#This Row],[GameIsOver]]=0,0,IF(Table2[[#This Row],[ActualWinner]]=Table2[[#This Row],[AwayTeam]], 1, 0))</f>
        <v>0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" s="2" t="str">
        <f>INDEX(Sheet5!$B$2:$AG$33, MATCH(Table2[[#This Row],[AwayTeam]],Sheet5!$A$2:$A$33, 0), MATCH(Table2[[#This Row],[HomeTeam]],Sheet5!$A$2:$A$33, 0))</f>
        <v>0-0-0</v>
      </c>
      <c r="AP19" s="2" t="str">
        <f>INDEX(Sheet5!$B$2:$AG$33, MATCH(Table2[[#This Row],[HomeTeam]],Sheet5!$A$2:$A$33, 0), MATCH(Table2[[#This Row],[AwayTeam]],Sheet5!$A$2:$A$33, 0))</f>
        <v>0-0-0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1</v>
      </c>
      <c r="AU19" s="2"/>
      <c r="AV19" s="2"/>
      <c r="BA19" t="s">
        <v>447</v>
      </c>
      <c r="BC19" t="s">
        <v>448</v>
      </c>
      <c r="BD19" s="23">
        <f>COUNTIFS($I$3:$I$1315,"OT",$M$3:$M$1315,"OT",$O$3:$O$1315,"N")</f>
        <v>0</v>
      </c>
    </row>
    <row r="20" spans="1:61" x14ac:dyDescent="0.25">
      <c r="A20" s="3">
        <v>45939</v>
      </c>
      <c r="B20" s="3">
        <v>45939</v>
      </c>
      <c r="C20" s="5">
        <v>2025020018</v>
      </c>
      <c r="D20" s="2" t="s">
        <v>14</v>
      </c>
      <c r="E20" s="2" t="s">
        <v>25</v>
      </c>
      <c r="F20" s="2">
        <v>3</v>
      </c>
      <c r="G20" s="2">
        <v>6</v>
      </c>
      <c r="H20" s="2" t="str">
        <f t="shared" si="0"/>
        <v>COL</v>
      </c>
      <c r="I20" s="2" t="s">
        <v>719</v>
      </c>
      <c r="J20" s="2"/>
      <c r="K20" s="2"/>
      <c r="L20" s="2" t="str">
        <f t="shared" si="1"/>
        <v>_</v>
      </c>
      <c r="M20" s="3"/>
      <c r="N20" s="2">
        <f>IF(ISBLANK(Table2[[#This Row],[ActualResult]]), 0, 1)</f>
        <v>0</v>
      </c>
      <c r="O20" s="2" t="str">
        <f>IF(ISBLANK(Table2[[#This Row],[ActualResult]]), "_", IF(Table2[[#This Row],[ActualWinner]]=Table2[[#This Row],[PredictedWinner]], "Y", "N"))</f>
        <v>_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" s="2"/>
      <c r="S20" s="2" t="str">
        <f t="shared" si="2"/>
        <v>_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45">
        <f>IF(AND(Table2[[#This Row],[GameIsOver]]=1,Table2[[#This Row],[ActualHomeScore]]*Table2[[#This Row],[ActualAwayScore]]=0), 1,0)</f>
        <v>0</v>
      </c>
      <c r="AA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0" s="2">
        <f>Table2[[#This Row],[ActualAwayScore]]-Table2[[#This Row],[PredictedAwayScore]]</f>
        <v>-3</v>
      </c>
      <c r="AG20" s="2">
        <f>Table2[[#This Row],[ActualHomeScore]]-Table2[[#This Row],[PredictedHomeScore]]</f>
        <v>-6</v>
      </c>
      <c r="AH20" s="2">
        <f t="shared" si="3"/>
        <v>-41</v>
      </c>
      <c r="AI20" s="2">
        <f t="shared" si="4"/>
        <v>-56</v>
      </c>
      <c r="AJ20" s="2"/>
      <c r="AK20" s="2"/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0</v>
      </c>
      <c r="AN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" s="2" t="str">
        <f>INDEX(Sheet5!$B$2:$AG$33, MATCH(Table2[[#This Row],[AwayTeam]],Sheet5!$A$2:$A$33, 0), MATCH(Table2[[#This Row],[HomeTeam]],Sheet5!$A$2:$A$33, 0))</f>
        <v>0-0-0</v>
      </c>
      <c r="AP20" s="2" t="str">
        <f>INDEX(Sheet5!$B$2:$AG$33, MATCH(Table2[[#This Row],[HomeTeam]],Sheet5!$A$2:$A$33, 0), MATCH(Table2[[#This Row],[AwayTeam]],Sheet5!$A$2:$A$33, 0))</f>
        <v>0-0-0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/>
      <c r="AV20" s="2"/>
      <c r="BC20" t="s">
        <v>449</v>
      </c>
      <c r="BD20" s="23">
        <f>COUNTIFS($I$3:$I$1315,"SO",$M$3:$M$1315,"SO",$O$3:$O$1315,"N")</f>
        <v>0</v>
      </c>
      <c r="BI20">
        <f>FIND("CGY", "FLA;EDM;COL;BOS;PIT;CGY")</f>
        <v>21</v>
      </c>
    </row>
    <row r="21" spans="1:61" x14ac:dyDescent="0.25">
      <c r="A21" s="3">
        <v>45939</v>
      </c>
      <c r="B21" s="3">
        <v>45939</v>
      </c>
      <c r="C21" s="5">
        <v>2025020019</v>
      </c>
      <c r="D21" s="2" t="s">
        <v>23</v>
      </c>
      <c r="E21" s="2" t="s">
        <v>24</v>
      </c>
      <c r="F21" s="2">
        <v>2</v>
      </c>
      <c r="G21" s="2">
        <v>4</v>
      </c>
      <c r="H21" s="2" t="str">
        <f t="shared" si="0"/>
        <v>VAN</v>
      </c>
      <c r="I21" s="2" t="s">
        <v>719</v>
      </c>
      <c r="J21" s="2"/>
      <c r="K21" s="2"/>
      <c r="L21" s="2" t="str">
        <f t="shared" si="1"/>
        <v>_</v>
      </c>
      <c r="M21" s="3"/>
      <c r="N21" s="2">
        <f>IF(ISBLANK(Table2[[#This Row],[ActualResult]]), 0, 1)</f>
        <v>0</v>
      </c>
      <c r="O21" s="2" t="str">
        <f>IF(ISBLANK(Table2[[#This Row],[ActualResult]]), "_", IF(Table2[[#This Row],[ActualWinner]]=Table2[[#This Row],[PredictedWinner]], "Y", "N"))</f>
        <v>_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" s="2"/>
      <c r="S21" s="2" t="str">
        <f t="shared" si="2"/>
        <v>_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45">
        <f>IF(AND(Table2[[#This Row],[GameIsOver]]=1,Table2[[#This Row],[ActualHomeScore]]*Table2[[#This Row],[ActualAwayScore]]=0), 1,0)</f>
        <v>0</v>
      </c>
      <c r="AA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" s="2">
        <f>Table2[[#This Row],[ActualAwayScore]]-Table2[[#This Row],[PredictedAwayScore]]</f>
        <v>-2</v>
      </c>
      <c r="AG21" s="2">
        <f>Table2[[#This Row],[ActualHomeScore]]-Table2[[#This Row],[PredictedHomeScore]]</f>
        <v>-4</v>
      </c>
      <c r="AH21" s="2">
        <f t="shared" si="3"/>
        <v>-41</v>
      </c>
      <c r="AI21" s="2">
        <f t="shared" si="4"/>
        <v>-56</v>
      </c>
      <c r="AJ21" s="2"/>
      <c r="AK21" s="2"/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0</v>
      </c>
      <c r="AN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" s="2" t="str">
        <f>INDEX(Sheet5!$B$2:$AG$33, MATCH(Table2[[#This Row],[AwayTeam]],Sheet5!$A$2:$A$33, 0), MATCH(Table2[[#This Row],[HomeTeam]],Sheet5!$A$2:$A$33, 0))</f>
        <v>0-0-0</v>
      </c>
      <c r="AP21" s="2" t="str">
        <f>INDEX(Sheet5!$B$2:$AG$33, MATCH(Table2[[#This Row],[HomeTeam]],Sheet5!$A$2:$A$33, 0), MATCH(Table2[[#This Row],[AwayTeam]],Sheet5!$A$2:$A$33, 0))</f>
        <v>0-0-0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1</v>
      </c>
      <c r="AU21" s="2"/>
      <c r="AV21" s="2"/>
      <c r="BC21" t="s">
        <v>450</v>
      </c>
      <c r="BD21" s="23">
        <f>COUNTIFS($I$3:$I$1315,"OT",$M$3:$M$1315,"SO",$O$3:$O$1315,"N")</f>
        <v>2</v>
      </c>
    </row>
    <row r="22" spans="1:61" x14ac:dyDescent="0.25">
      <c r="A22" s="3">
        <v>45939</v>
      </c>
      <c r="B22" s="3">
        <v>45939</v>
      </c>
      <c r="C22" s="5">
        <v>2025020020</v>
      </c>
      <c r="D22" s="2" t="s">
        <v>26</v>
      </c>
      <c r="E22" s="2" t="s">
        <v>37</v>
      </c>
      <c r="F22" s="2">
        <v>4</v>
      </c>
      <c r="G22" s="2">
        <v>3</v>
      </c>
      <c r="H22" s="2" t="str">
        <f t="shared" si="0"/>
        <v>VGK</v>
      </c>
      <c r="I22" s="2" t="s">
        <v>720</v>
      </c>
      <c r="J22" s="2"/>
      <c r="K22" s="2"/>
      <c r="L22" s="2" t="str">
        <f t="shared" si="1"/>
        <v>_</v>
      </c>
      <c r="M22" s="2"/>
      <c r="N22" s="2">
        <f>IF(ISBLANK(Table2[[#This Row],[ActualResult]]), 0, 1)</f>
        <v>0</v>
      </c>
      <c r="O22" s="2" t="str">
        <f>IF(ISBLANK(Table2[[#This Row],[ActualResult]]), "_", IF(Table2[[#This Row],[ActualWinner]]=Table2[[#This Row],[PredictedWinner]], "Y", "N"))</f>
        <v>_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" s="2"/>
      <c r="S22" s="2" t="str">
        <f t="shared" si="2"/>
        <v>_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45">
        <f>IF(AND(Table2[[#This Row],[GameIsOver]]=1,Table2[[#This Row],[ActualHomeScore]]*Table2[[#This Row],[ActualAwayScore]]=0), 1,0)</f>
        <v>0</v>
      </c>
      <c r="AA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2" s="2">
        <f>Table2[[#This Row],[ActualAwayScore]]-Table2[[#This Row],[PredictedAwayScore]]</f>
        <v>-4</v>
      </c>
      <c r="AG22" s="2">
        <f>Table2[[#This Row],[ActualHomeScore]]-Table2[[#This Row],[PredictedHomeScore]]</f>
        <v>-3</v>
      </c>
      <c r="AH22" s="2">
        <f t="shared" si="3"/>
        <v>-41</v>
      </c>
      <c r="AI22" s="2">
        <f t="shared" si="4"/>
        <v>-56</v>
      </c>
      <c r="AJ22" s="2"/>
      <c r="AK22" s="2"/>
      <c r="AL22" s="2">
        <f>IF(Table2[[#This Row],[GameIsOver]]=0,0,IF(Table2[[#This Row],[ActualWinner]]=Table2[[#This Row],[AwayTeam]], 1, 0))</f>
        <v>0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" s="2" t="str">
        <f>INDEX(Sheet5!$B$2:$AG$33, MATCH(Table2[[#This Row],[AwayTeam]],Sheet5!$A$2:$A$33, 0), MATCH(Table2[[#This Row],[HomeTeam]],Sheet5!$A$2:$A$33, 0))</f>
        <v>0-0-0</v>
      </c>
      <c r="AP22" s="2" t="str">
        <f>INDEX(Sheet5!$B$2:$AG$33, MATCH(Table2[[#This Row],[HomeTeam]],Sheet5!$A$2:$A$33, 0), MATCH(Table2[[#This Row],[AwayTeam]],Sheet5!$A$2:$A$33, 0))</f>
        <v>0-0-0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1</v>
      </c>
      <c r="AU22" s="2"/>
      <c r="AV22" s="2"/>
      <c r="BC22" t="s">
        <v>451</v>
      </c>
      <c r="BD22">
        <f>COUNTIFS($I$3:$I$1315,"SO",$M$3:$M$1315,"OT",$O$3:$O$1315,"N")</f>
        <v>0</v>
      </c>
    </row>
    <row r="23" spans="1:61" x14ac:dyDescent="0.25">
      <c r="A23" s="3">
        <v>45939</v>
      </c>
      <c r="B23" s="3">
        <v>45939</v>
      </c>
      <c r="C23" s="5">
        <v>2025020021</v>
      </c>
      <c r="D23" s="2" t="s">
        <v>44</v>
      </c>
      <c r="E23" s="2" t="s">
        <v>11</v>
      </c>
      <c r="F23" s="2">
        <v>4</v>
      </c>
      <c r="G23" s="2">
        <v>5</v>
      </c>
      <c r="H23" s="2" t="str">
        <f t="shared" si="0"/>
        <v>SEA</v>
      </c>
      <c r="I23" s="2" t="s">
        <v>721</v>
      </c>
      <c r="J23" s="2"/>
      <c r="K23" s="2"/>
      <c r="L23" s="2" t="str">
        <f t="shared" si="1"/>
        <v>_</v>
      </c>
      <c r="M23" s="2"/>
      <c r="N23" s="2">
        <f>IF(ISBLANK(Table2[[#This Row],[ActualResult]]), 0, 1)</f>
        <v>0</v>
      </c>
      <c r="O23" s="2" t="str">
        <f>IF(ISBLANK(Table2[[#This Row],[ActualResult]]), "_", IF(Table2[[#This Row],[ActualWinner]]=Table2[[#This Row],[PredictedWinner]], "Y", "N"))</f>
        <v>_</v>
      </c>
      <c r="P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" s="2"/>
      <c r="S23" s="2" t="str">
        <f t="shared" si="2"/>
        <v>_</v>
      </c>
      <c r="T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2">
        <f>IF(Table2[[#This Row],[InterConf]]=1,IF(Table2[[#This Row],[InterDiv]]=0, 1, 0), 0)</f>
        <v>0</v>
      </c>
      <c r="W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2"/>
      <c r="Y23" s="2"/>
      <c r="Z23" s="145">
        <f>IF(AND(Table2[[#This Row],[GameIsOver]]=1,Table2[[#This Row],[ActualHomeScore]]*Table2[[#This Row],[ActualAwayScore]]=0), 1,0)</f>
        <v>0</v>
      </c>
      <c r="AA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3" s="2">
        <f>Table2[[#This Row],[ActualAwayScore]]-Table2[[#This Row],[PredictedAwayScore]]</f>
        <v>-4</v>
      </c>
      <c r="AG23" s="2">
        <f>Table2[[#This Row],[ActualHomeScore]]-Table2[[#This Row],[PredictedHomeScore]]</f>
        <v>-5</v>
      </c>
      <c r="AH23" s="2">
        <f t="shared" si="3"/>
        <v>-41</v>
      </c>
      <c r="AI23" s="2">
        <f t="shared" si="4"/>
        <v>-56</v>
      </c>
      <c r="AJ23" s="2"/>
      <c r="AK23" s="2"/>
      <c r="AL23" s="2">
        <f>IF(Table2[[#This Row],[GameIsOver]]=0,0,IF(Table2[[#This Row],[ActualWinner]]=Table2[[#This Row],[AwayTeam]], 1, 0))</f>
        <v>0</v>
      </c>
      <c r="AM23" s="2">
        <f>IF(Table2[[#This Row],[GameIsOver]]=0,0,IF(Table2[[#This Row],[ActualWinner]]=Table2[[#This Row],[HomeTeam]], 1, 0))</f>
        <v>0</v>
      </c>
      <c r="AN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" s="2" t="str">
        <f>INDEX(Sheet5!$B$2:$AG$33, MATCH(Table2[[#This Row],[AwayTeam]],Sheet5!$A$2:$A$33, 0), MATCH(Table2[[#This Row],[HomeTeam]],Sheet5!$A$2:$A$33, 0))</f>
        <v>0-0-0</v>
      </c>
      <c r="AP23" s="2" t="str">
        <f>INDEX(Sheet5!$B$2:$AG$33, MATCH(Table2[[#This Row],[HomeTeam]],Sheet5!$A$2:$A$33, 0), MATCH(Table2[[#This Row],[AwayTeam]],Sheet5!$A$2:$A$33, 0))</f>
        <v>0-0-0</v>
      </c>
      <c r="AQ23" s="2">
        <f>IF(Table2[[#This Row],[GameHasShutOut]], 1, 0)</f>
        <v>0</v>
      </c>
      <c r="AR23" s="2">
        <f>IF(Table2[[#This Row],[ActualAwayScore]] + Table2[[#This Row],[ActualHomeScore]] &gt;= 10, 1, 0)</f>
        <v>0</v>
      </c>
      <c r="AS23" s="2">
        <f>IF(ABS(Table2[[#This Row],[ActualAwayScore]]-Table2[[#This Row],[ActualHomeScore]])&gt;=5, 1, 0)</f>
        <v>0</v>
      </c>
      <c r="AT23" s="2">
        <f>IF(Table2[[#This Row],[ActualAwayScore]] + Table2[[#This Row],[ActualHomeScore]] &lt;= 3, 1, 0)</f>
        <v>1</v>
      </c>
      <c r="AU23" s="2"/>
      <c r="AV23" s="2"/>
    </row>
    <row r="24" spans="1:61" x14ac:dyDescent="0.25">
      <c r="A24" s="3"/>
      <c r="B24" s="3">
        <v>45941</v>
      </c>
      <c r="C24" s="5">
        <v>2025020022</v>
      </c>
      <c r="D24" s="2" t="s">
        <v>27</v>
      </c>
      <c r="E24" s="2" t="s">
        <v>21</v>
      </c>
      <c r="F24" s="2"/>
      <c r="G24" s="2"/>
      <c r="H24" s="2" t="str">
        <f t="shared" si="0"/>
        <v>_</v>
      </c>
      <c r="I24" s="2"/>
      <c r="J24" s="2"/>
      <c r="K24" s="2"/>
      <c r="L24" s="2" t="str">
        <f t="shared" si="1"/>
        <v>_</v>
      </c>
      <c r="M24" s="2"/>
      <c r="N24" s="2">
        <f>IF(ISBLANK(Table2[[#This Row],[ActualResult]]), 0, 1)</f>
        <v>0</v>
      </c>
      <c r="O24" s="2" t="str">
        <f>IF(ISBLANK(Table2[[#This Row],[ActualResult]]), "_", IF(Table2[[#This Row],[ActualWinner]]=Table2[[#This Row],[PredictedWinner]], "Y", "N"))</f>
        <v>_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" s="2"/>
      <c r="S24" s="2" t="str">
        <f t="shared" si="2"/>
        <v>_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45">
        <f>IF(AND(Table2[[#This Row],[GameIsOver]]=1,Table2[[#This Row],[ActualHomeScore]]*Table2[[#This Row],[ActualAwayScore]]=0), 1,0)</f>
        <v>0</v>
      </c>
      <c r="AA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0</v>
      </c>
      <c r="AG24" s="2">
        <f>Table2[[#This Row],[ActualHomeScore]]-Table2[[#This Row],[PredictedHomeScore]]</f>
        <v>0</v>
      </c>
      <c r="AH24" s="2">
        <f t="shared" si="3"/>
        <v>0</v>
      </c>
      <c r="AI24" s="2">
        <f t="shared" si="4"/>
        <v>0</v>
      </c>
      <c r="AJ24" s="2"/>
      <c r="AK24" s="2"/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0</v>
      </c>
      <c r="AN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" s="2" t="str">
        <f>INDEX(Sheet5!$B$2:$AG$33, MATCH(Table2[[#This Row],[AwayTeam]],Sheet5!$A$2:$A$33, 0), MATCH(Table2[[#This Row],[HomeTeam]],Sheet5!$A$2:$A$33, 0))</f>
        <v>0-0-0</v>
      </c>
      <c r="AP24" s="2" t="str">
        <f>INDEX(Sheet5!$B$2:$AG$33, MATCH(Table2[[#This Row],[HomeTeam]],Sheet5!$A$2:$A$33, 0), MATCH(Table2[[#This Row],[AwayTeam]],Sheet5!$A$2:$A$33, 0))</f>
        <v>0-0-0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1</v>
      </c>
      <c r="AU24" s="2"/>
      <c r="AV24" s="2"/>
    </row>
    <row r="25" spans="1:61" x14ac:dyDescent="0.25">
      <c r="A25" s="3"/>
      <c r="B25" s="3">
        <v>45941</v>
      </c>
      <c r="C25" s="5">
        <v>2025020023</v>
      </c>
      <c r="D25" s="2" t="s">
        <v>12</v>
      </c>
      <c r="E25" s="2" t="s">
        <v>23</v>
      </c>
      <c r="F25" s="2"/>
      <c r="G25" s="2"/>
      <c r="H25" s="2" t="str">
        <f t="shared" si="0"/>
        <v>_</v>
      </c>
      <c r="I25" s="2"/>
      <c r="J25" s="2"/>
      <c r="K25" s="2"/>
      <c r="L25" s="2" t="str">
        <f t="shared" si="1"/>
        <v>_</v>
      </c>
      <c r="M25" s="2"/>
      <c r="N25" s="2">
        <f>IF(ISBLANK(Table2[[#This Row],[ActualResult]]), 0, 1)</f>
        <v>0</v>
      </c>
      <c r="O25" s="2" t="str">
        <f>IF(ISBLANK(Table2[[#This Row],[ActualResult]]), "_", IF(Table2[[#This Row],[ActualWinner]]=Table2[[#This Row],[PredictedWinner]], "Y", "N"))</f>
        <v>_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" s="2"/>
      <c r="S25" s="2" t="str">
        <f t="shared" si="2"/>
        <v>_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45">
        <f>IF(AND(Table2[[#This Row],[GameIsOver]]=1,Table2[[#This Row],[ActualHomeScore]]*Table2[[#This Row],[ActualAwayScore]]=0), 1,0)</f>
        <v>0</v>
      </c>
      <c r="AA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0</v>
      </c>
      <c r="AG25" s="2">
        <f>Table2[[#This Row],[ActualHomeScore]]-Table2[[#This Row],[PredictedHomeScore]]</f>
        <v>0</v>
      </c>
      <c r="AH25" s="2">
        <f t="shared" si="3"/>
        <v>0</v>
      </c>
      <c r="AI25" s="2">
        <f t="shared" si="4"/>
        <v>0</v>
      </c>
      <c r="AJ25" s="2"/>
      <c r="AK25" s="2"/>
      <c r="AL25" s="2">
        <f>IF(Table2[[#This Row],[GameIsOver]]=0,0,IF(Table2[[#This Row],[ActualWinner]]=Table2[[#This Row],[AwayTeam]], 1, 0))</f>
        <v>0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" s="2" t="str">
        <f>INDEX(Sheet5!$B$2:$AG$33, MATCH(Table2[[#This Row],[AwayTeam]],Sheet5!$A$2:$A$33, 0), MATCH(Table2[[#This Row],[HomeTeam]],Sheet5!$A$2:$A$33, 0))</f>
        <v>0-0-0</v>
      </c>
      <c r="AP25" s="2" t="str">
        <f>INDEX(Sheet5!$B$2:$AG$33, MATCH(Table2[[#This Row],[HomeTeam]],Sheet5!$A$2:$A$33, 0), MATCH(Table2[[#This Row],[AwayTeam]],Sheet5!$A$2:$A$33, 0))</f>
        <v>0-0-0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1</v>
      </c>
      <c r="AU25" s="2"/>
      <c r="AV25" s="2"/>
    </row>
    <row r="26" spans="1:61" x14ac:dyDescent="0.25">
      <c r="A26" s="3"/>
      <c r="B26" s="3">
        <v>45941</v>
      </c>
      <c r="C26" s="5">
        <v>2025020024</v>
      </c>
      <c r="D26" s="2" t="s">
        <v>28</v>
      </c>
      <c r="E26" s="2" t="s">
        <v>15</v>
      </c>
      <c r="F26" s="2"/>
      <c r="G26" s="2"/>
      <c r="H26" s="2" t="str">
        <f t="shared" si="0"/>
        <v>_</v>
      </c>
      <c r="I26" s="2"/>
      <c r="J26" s="2"/>
      <c r="K26" s="2"/>
      <c r="L26" s="2" t="str">
        <f t="shared" si="1"/>
        <v>_</v>
      </c>
      <c r="M26" s="2"/>
      <c r="N26" s="2">
        <f>IF(ISBLANK(Table2[[#This Row],[ActualResult]]), 0, 1)</f>
        <v>0</v>
      </c>
      <c r="O26" s="2" t="str">
        <f>IF(ISBLANK(Table2[[#This Row],[ActualResult]]), "_", IF(Table2[[#This Row],[ActualWinner]]=Table2[[#This Row],[PredictedWinner]], "Y", "N"))</f>
        <v>_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" s="2"/>
      <c r="S26" s="2" t="str">
        <f t="shared" si="2"/>
        <v>_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45">
        <f>IF(AND(Table2[[#This Row],[GameIsOver]]=1,Table2[[#This Row],[ActualHomeScore]]*Table2[[#This Row],[ActualAwayScore]]=0), 1,0)</f>
        <v>0</v>
      </c>
      <c r="AA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0</v>
      </c>
      <c r="AG26" s="2">
        <f>Table2[[#This Row],[ActualHomeScore]]-Table2[[#This Row],[PredictedHomeScore]]</f>
        <v>0</v>
      </c>
      <c r="AH26" s="2">
        <f t="shared" si="3"/>
        <v>0</v>
      </c>
      <c r="AI26" s="2">
        <f t="shared" si="4"/>
        <v>0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0</v>
      </c>
      <c r="AN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" s="2" t="str">
        <f>INDEX(Sheet5!$B$2:$AG$33, MATCH(Table2[[#This Row],[AwayTeam]],Sheet5!$A$2:$A$33, 0), MATCH(Table2[[#This Row],[HomeTeam]],Sheet5!$A$2:$A$33, 0))</f>
        <v>0-0-0</v>
      </c>
      <c r="AP26" s="2" t="str">
        <f>INDEX(Sheet5!$B$2:$AG$33, MATCH(Table2[[#This Row],[HomeTeam]],Sheet5!$A$2:$A$33, 0), MATCH(Table2[[#This Row],[AwayTeam]],Sheet5!$A$2:$A$33, 0))</f>
        <v>0-0-0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1</v>
      </c>
      <c r="AU26" s="2"/>
      <c r="AV26" s="2"/>
    </row>
    <row r="27" spans="1:61" x14ac:dyDescent="0.25">
      <c r="A27" s="3"/>
      <c r="B27" s="3">
        <v>45941</v>
      </c>
      <c r="C27" s="5">
        <v>2025020025</v>
      </c>
      <c r="D27" s="2" t="s">
        <v>17</v>
      </c>
      <c r="E27" s="2" t="s">
        <v>30</v>
      </c>
      <c r="F27" s="2"/>
      <c r="G27" s="2"/>
      <c r="H27" s="2" t="str">
        <f t="shared" si="0"/>
        <v>_</v>
      </c>
      <c r="I27" s="2"/>
      <c r="J27" s="2"/>
      <c r="K27" s="2"/>
      <c r="L27" s="2" t="str">
        <f t="shared" si="1"/>
        <v>_</v>
      </c>
      <c r="M27" s="2"/>
      <c r="N27" s="2">
        <f>IF(ISBLANK(Table2[[#This Row],[ActualResult]]), 0, 1)</f>
        <v>0</v>
      </c>
      <c r="O27" s="2" t="str">
        <f>IF(ISBLANK(Table2[[#This Row],[ActualResult]]), "_", IF(Table2[[#This Row],[ActualWinner]]=Table2[[#This Row],[PredictedWinner]], "Y", "N"))</f>
        <v>_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" s="2"/>
      <c r="S27" s="2" t="str">
        <f t="shared" si="2"/>
        <v>_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45">
        <f>IF(AND(Table2[[#This Row],[GameIsOver]]=1,Table2[[#This Row],[ActualHomeScore]]*Table2[[#This Row],[ActualAwayScore]]=0), 1,0)</f>
        <v>0</v>
      </c>
      <c r="AA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0</v>
      </c>
      <c r="AG27" s="2">
        <f>Table2[[#This Row],[ActualHomeScore]]-Table2[[#This Row],[PredictedHomeScore]]</f>
        <v>0</v>
      </c>
      <c r="AH27" s="2">
        <f t="shared" si="3"/>
        <v>0</v>
      </c>
      <c r="AI27" s="2">
        <f t="shared" si="4"/>
        <v>0</v>
      </c>
      <c r="AJ27" s="2"/>
      <c r="AK27" s="2"/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0</v>
      </c>
      <c r="AN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" s="2" t="str">
        <f>INDEX(Sheet5!$B$2:$AG$33, MATCH(Table2[[#This Row],[AwayTeam]],Sheet5!$A$2:$A$33, 0), MATCH(Table2[[#This Row],[HomeTeam]],Sheet5!$A$2:$A$33, 0))</f>
        <v>0-0-0</v>
      </c>
      <c r="AP27" s="2" t="str">
        <f>INDEX(Sheet5!$B$2:$AG$33, MATCH(Table2[[#This Row],[HomeTeam]],Sheet5!$A$2:$A$33, 0), MATCH(Table2[[#This Row],[AwayTeam]],Sheet5!$A$2:$A$33, 0))</f>
        <v>0-0-0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1</v>
      </c>
      <c r="AU27" s="2"/>
      <c r="AV27" s="2"/>
      <c r="BC27" t="s">
        <v>502</v>
      </c>
      <c r="BD27">
        <v>1.8</v>
      </c>
    </row>
    <row r="28" spans="1:61" x14ac:dyDescent="0.25">
      <c r="A28" s="3"/>
      <c r="B28" s="3">
        <v>45941</v>
      </c>
      <c r="C28" s="5">
        <v>2025020026</v>
      </c>
      <c r="D28" s="2" t="s">
        <v>31</v>
      </c>
      <c r="E28" s="2" t="s">
        <v>40</v>
      </c>
      <c r="F28" s="2"/>
      <c r="G28" s="2"/>
      <c r="H28" s="2" t="str">
        <f t="shared" si="0"/>
        <v>_</v>
      </c>
      <c r="I28" s="2"/>
      <c r="J28" s="2"/>
      <c r="K28" s="2"/>
      <c r="L28" s="2" t="str">
        <f t="shared" si="1"/>
        <v>_</v>
      </c>
      <c r="M28" s="2"/>
      <c r="N28" s="2">
        <f>IF(ISBLANK(Table2[[#This Row],[ActualResult]]), 0, 1)</f>
        <v>0</v>
      </c>
      <c r="O28" s="2" t="str">
        <f>IF(ISBLANK(Table2[[#This Row],[ActualResult]]), "_", IF(Table2[[#This Row],[ActualWinner]]=Table2[[#This Row],[PredictedWinner]], "Y", "N"))</f>
        <v>_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" s="2"/>
      <c r="S28" s="2" t="str">
        <f t="shared" si="2"/>
        <v>_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45">
        <f>IF(AND(Table2[[#This Row],[GameIsOver]]=1,Table2[[#This Row],[ActualHomeScore]]*Table2[[#This Row],[ActualAwayScore]]=0), 1,0)</f>
        <v>0</v>
      </c>
      <c r="AA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0</v>
      </c>
      <c r="AG28" s="2">
        <f>Table2[[#This Row],[ActualHomeScore]]-Table2[[#This Row],[PredictedHomeScore]]</f>
        <v>0</v>
      </c>
      <c r="AH28" s="2">
        <f t="shared" si="3"/>
        <v>0</v>
      </c>
      <c r="AI28" s="2">
        <f t="shared" si="4"/>
        <v>0</v>
      </c>
      <c r="AJ28" s="2"/>
      <c r="AK28" s="2"/>
      <c r="AL28" s="2">
        <f>IF(Table2[[#This Row],[GameIsOver]]=0,0,IF(Table2[[#This Row],[ActualWinner]]=Table2[[#This Row],[AwayTeam]], 1, 0))</f>
        <v>0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" s="2" t="str">
        <f>INDEX(Sheet5!$B$2:$AG$33, MATCH(Table2[[#This Row],[AwayTeam]],Sheet5!$A$2:$A$33, 0), MATCH(Table2[[#This Row],[HomeTeam]],Sheet5!$A$2:$A$33, 0))</f>
        <v>0-0-0</v>
      </c>
      <c r="AP28" s="2" t="str">
        <f>INDEX(Sheet5!$B$2:$AG$33, MATCH(Table2[[#This Row],[HomeTeam]],Sheet5!$A$2:$A$33, 0), MATCH(Table2[[#This Row],[AwayTeam]],Sheet5!$A$2:$A$33, 0))</f>
        <v>0-0-0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1</v>
      </c>
      <c r="AU28" s="2"/>
      <c r="AV28" s="2"/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14</v>
      </c>
    </row>
    <row r="29" spans="1:61" x14ac:dyDescent="0.25">
      <c r="A29" s="3"/>
      <c r="B29" s="3">
        <v>45941</v>
      </c>
      <c r="C29" s="5">
        <v>2025020027</v>
      </c>
      <c r="D29" s="2" t="s">
        <v>29</v>
      </c>
      <c r="E29" s="2" t="s">
        <v>13</v>
      </c>
      <c r="F29" s="2"/>
      <c r="G29" s="2"/>
      <c r="H29" s="2" t="str">
        <f t="shared" si="0"/>
        <v>_</v>
      </c>
      <c r="I29" s="2"/>
      <c r="J29" s="2"/>
      <c r="K29" s="2"/>
      <c r="L29" s="2" t="str">
        <f t="shared" si="1"/>
        <v>_</v>
      </c>
      <c r="M29" s="2"/>
      <c r="N29" s="2">
        <f>IF(ISBLANK(Table2[[#This Row],[ActualResult]]), 0, 1)</f>
        <v>0</v>
      </c>
      <c r="O29" s="2" t="str">
        <f>IF(ISBLANK(Table2[[#This Row],[ActualResult]]), "_", IF(Table2[[#This Row],[ActualWinner]]=Table2[[#This Row],[PredictedWinner]], "Y", "N"))</f>
        <v>_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" s="2"/>
      <c r="S29" s="2" t="str">
        <f t="shared" si="2"/>
        <v>_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45">
        <f>IF(AND(Table2[[#This Row],[GameIsOver]]=1,Table2[[#This Row],[ActualHomeScore]]*Table2[[#This Row],[ActualAwayScore]]=0), 1,0)</f>
        <v>0</v>
      </c>
      <c r="AA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0</v>
      </c>
      <c r="AG29" s="2">
        <f>Table2[[#This Row],[ActualHomeScore]]-Table2[[#This Row],[PredictedHomeScore]]</f>
        <v>0</v>
      </c>
      <c r="AH29" s="2">
        <f t="shared" si="3"/>
        <v>0</v>
      </c>
      <c r="AI29" s="2">
        <f t="shared" si="4"/>
        <v>0</v>
      </c>
      <c r="AJ29" s="2"/>
      <c r="AK29" s="2"/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0</v>
      </c>
      <c r="AN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" s="2" t="str">
        <f>INDEX(Sheet5!$B$2:$AG$33, MATCH(Table2[[#This Row],[AwayTeam]],Sheet5!$A$2:$A$33, 0), MATCH(Table2[[#This Row],[HomeTeam]],Sheet5!$A$2:$A$33, 0))</f>
        <v>0-0-0</v>
      </c>
      <c r="AP29" s="2" t="str">
        <f>INDEX(Sheet5!$B$2:$AG$33, MATCH(Table2[[#This Row],[HomeTeam]],Sheet5!$A$2:$A$33, 0), MATCH(Table2[[#This Row],[AwayTeam]],Sheet5!$A$2:$A$33, 0))</f>
        <v>0-0-0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1</v>
      </c>
      <c r="AU29" s="2"/>
      <c r="AV29" s="2"/>
      <c r="BC29" t="s">
        <v>504</v>
      </c>
      <c r="BD29" s="24">
        <f ca="1">BD28*BD27</f>
        <v>25.2</v>
      </c>
    </row>
    <row r="30" spans="1:61" ht="15.75" thickBot="1" x14ac:dyDescent="0.3">
      <c r="A30" s="3"/>
      <c r="B30" s="3">
        <v>45941</v>
      </c>
      <c r="C30" s="5">
        <v>2025020028</v>
      </c>
      <c r="D30" s="2" t="s">
        <v>43</v>
      </c>
      <c r="E30" s="2" t="s">
        <v>32</v>
      </c>
      <c r="F30" s="2"/>
      <c r="G30" s="2"/>
      <c r="H30" s="2" t="str">
        <f t="shared" si="0"/>
        <v>_</v>
      </c>
      <c r="I30" s="2"/>
      <c r="J30" s="2"/>
      <c r="K30" s="2"/>
      <c r="L30" s="2" t="str">
        <f t="shared" si="1"/>
        <v>_</v>
      </c>
      <c r="M30" s="2"/>
      <c r="N30" s="2">
        <f>IF(ISBLANK(Table2[[#This Row],[ActualResult]]), 0, 1)</f>
        <v>0</v>
      </c>
      <c r="O30" s="2" t="str">
        <f>IF(ISBLANK(Table2[[#This Row],[ActualResult]]), "_", IF(Table2[[#This Row],[ActualWinner]]=Table2[[#This Row],[PredictedWinner]], "Y", "N"))</f>
        <v>_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" s="2"/>
      <c r="S30" s="2" t="str">
        <f t="shared" si="2"/>
        <v>_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45">
        <f>IF(AND(Table2[[#This Row],[GameIsOver]]=1,Table2[[#This Row],[ActualHomeScore]]*Table2[[#This Row],[ActualAwayScore]]=0), 1,0)</f>
        <v>0</v>
      </c>
      <c r="AA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0</v>
      </c>
      <c r="AI30" s="2">
        <f t="shared" si="4"/>
        <v>0</v>
      </c>
      <c r="AJ30" s="2"/>
      <c r="AK30" s="2"/>
      <c r="AL30" s="2">
        <f>IF(Table2[[#This Row],[GameIsOver]]=0,0,IF(Table2[[#This Row],[ActualWinner]]=Table2[[#This Row],[AwayTeam]], 1, 0))</f>
        <v>0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" s="2" t="str">
        <f>INDEX(Sheet5!$B$2:$AG$33, MATCH(Table2[[#This Row],[AwayTeam]],Sheet5!$A$2:$A$33, 0), MATCH(Table2[[#This Row],[HomeTeam]],Sheet5!$A$2:$A$33, 0))</f>
        <v>0-0-0</v>
      </c>
      <c r="AP30" s="2" t="str">
        <f>INDEX(Sheet5!$B$2:$AG$33, MATCH(Table2[[#This Row],[HomeTeam]],Sheet5!$A$2:$A$33, 0), MATCH(Table2[[#This Row],[AwayTeam]],Sheet5!$A$2:$A$33, 0))</f>
        <v>0-0-0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1</v>
      </c>
      <c r="AU30" s="2"/>
      <c r="AV30" s="2"/>
    </row>
    <row r="31" spans="1:61" x14ac:dyDescent="0.25">
      <c r="A31" s="3"/>
      <c r="B31" s="3">
        <v>45941</v>
      </c>
      <c r="C31" s="5">
        <v>2025020029</v>
      </c>
      <c r="D31" s="2" t="s">
        <v>19</v>
      </c>
      <c r="E31" s="2" t="s">
        <v>20</v>
      </c>
      <c r="F31" s="2"/>
      <c r="G31" s="2"/>
      <c r="H31" s="2" t="str">
        <f t="shared" si="0"/>
        <v>_</v>
      </c>
      <c r="I31" s="2"/>
      <c r="J31" s="2"/>
      <c r="K31" s="2"/>
      <c r="L31" s="2" t="str">
        <f t="shared" si="1"/>
        <v>_</v>
      </c>
      <c r="M31" s="2"/>
      <c r="N31" s="2">
        <f>IF(ISBLANK(Table2[[#This Row],[ActualResult]]), 0, 1)</f>
        <v>0</v>
      </c>
      <c r="O31" s="2" t="str">
        <f>IF(ISBLANK(Table2[[#This Row],[ActualResult]]), "_", IF(Table2[[#This Row],[ActualWinner]]=Table2[[#This Row],[PredictedWinner]], "Y", "N"))</f>
        <v>_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" s="2"/>
      <c r="S31" s="2" t="str">
        <f t="shared" si="2"/>
        <v>_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45">
        <f>IF(AND(Table2[[#This Row],[GameIsOver]]=1,Table2[[#This Row],[ActualHomeScore]]*Table2[[#This Row],[ActualAwayScore]]=0), 1,0)</f>
        <v>0</v>
      </c>
      <c r="AA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0</v>
      </c>
      <c r="AG31" s="2">
        <f>Table2[[#This Row],[ActualHomeScore]]-Table2[[#This Row],[PredictedHomeScore]]</f>
        <v>0</v>
      </c>
      <c r="AH31" s="2">
        <f t="shared" si="3"/>
        <v>0</v>
      </c>
      <c r="AI31" s="2">
        <f t="shared" si="4"/>
        <v>0</v>
      </c>
      <c r="AJ31" s="2"/>
      <c r="AK31" s="3"/>
      <c r="AL31" s="2">
        <f>IF(Table2[[#This Row],[GameIsOver]]=0,0,IF(Table2[[#This Row],[ActualWinner]]=Table2[[#This Row],[AwayTeam]], 1, 0))</f>
        <v>0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" s="2" t="str">
        <f>INDEX(Sheet5!$B$2:$AG$33, MATCH(Table2[[#This Row],[AwayTeam]],Sheet5!$A$2:$A$33, 0), MATCH(Table2[[#This Row],[HomeTeam]],Sheet5!$A$2:$A$33, 0))</f>
        <v>0-1-0</v>
      </c>
      <c r="AP31" s="2" t="str">
        <f>INDEX(Sheet5!$B$2:$AG$33, MATCH(Table2[[#This Row],[HomeTeam]],Sheet5!$A$2:$A$33, 0), MATCH(Table2[[#This Row],[AwayTeam]],Sheet5!$A$2:$A$33, 0))</f>
        <v>1-0-0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0</v>
      </c>
      <c r="AT31" s="2">
        <f>IF(Table2[[#This Row],[ActualAwayScore]] + Table2[[#This Row],[ActualHomeScore]] &lt;= 3, 1, 0)</f>
        <v>1</v>
      </c>
      <c r="AU31" s="2"/>
      <c r="AV31" s="2"/>
      <c r="BC31" t="s">
        <v>489</v>
      </c>
      <c r="BD31" s="66" t="s">
        <v>23</v>
      </c>
      <c r="BH31" t="str">
        <f>_xlfn.TEXTJOIN(";", 1, $BD31:$BD$40)</f>
        <v>CGY</v>
      </c>
    </row>
    <row r="32" spans="1:61" x14ac:dyDescent="0.25">
      <c r="A32" s="3"/>
      <c r="B32" s="3">
        <v>45941</v>
      </c>
      <c r="C32" s="5">
        <v>2025020030</v>
      </c>
      <c r="D32" s="2" t="s">
        <v>42</v>
      </c>
      <c r="E32" s="2" t="s">
        <v>41</v>
      </c>
      <c r="F32" s="2"/>
      <c r="G32" s="2"/>
      <c r="H32" s="2" t="str">
        <f t="shared" si="0"/>
        <v>_</v>
      </c>
      <c r="I32" s="2"/>
      <c r="J32" s="2"/>
      <c r="K32" s="2"/>
      <c r="L32" s="2" t="str">
        <f t="shared" si="1"/>
        <v>_</v>
      </c>
      <c r="M32" s="2"/>
      <c r="N32" s="2">
        <f>IF(ISBLANK(Table2[[#This Row],[ActualResult]]), 0, 1)</f>
        <v>0</v>
      </c>
      <c r="O32" s="2" t="str">
        <f>IF(ISBLANK(Table2[[#This Row],[ActualResult]]), "_", IF(Table2[[#This Row],[ActualWinner]]=Table2[[#This Row],[PredictedWinner]], "Y", "N"))</f>
        <v>_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" s="2"/>
      <c r="S32" s="2" t="str">
        <f t="shared" si="2"/>
        <v>_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45">
        <f>IF(AND(Table2[[#This Row],[GameIsOver]]=1,Table2[[#This Row],[ActualHomeScore]]*Table2[[#This Row],[ActualAwayScore]]=0), 1,0)</f>
        <v>0</v>
      </c>
      <c r="AA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0</v>
      </c>
      <c r="AG32" s="2">
        <f>Table2[[#This Row],[ActualHomeScore]]-Table2[[#This Row],[PredictedHomeScore]]</f>
        <v>0</v>
      </c>
      <c r="AH32" s="2">
        <f t="shared" si="3"/>
        <v>0</v>
      </c>
      <c r="AI32" s="2">
        <f t="shared" si="4"/>
        <v>0</v>
      </c>
      <c r="AJ32" s="2"/>
      <c r="AK32" s="2"/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0</v>
      </c>
      <c r="AN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" s="2" t="str">
        <f>INDEX(Sheet5!$B$2:$AG$33, MATCH(Table2[[#This Row],[AwayTeam]],Sheet5!$A$2:$A$33, 0), MATCH(Table2[[#This Row],[HomeTeam]],Sheet5!$A$2:$A$33, 0))</f>
        <v>0-0-0</v>
      </c>
      <c r="AP32" s="2" t="str">
        <f>INDEX(Sheet5!$B$2:$AG$33, MATCH(Table2[[#This Row],[HomeTeam]],Sheet5!$A$2:$A$33, 0), MATCH(Table2[[#This Row],[AwayTeam]],Sheet5!$A$2:$A$33, 0))</f>
        <v>0-0-0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1</v>
      </c>
      <c r="AU32" s="2"/>
      <c r="AV32" s="2"/>
      <c r="BD32" s="67"/>
    </row>
    <row r="33" spans="1:60" x14ac:dyDescent="0.25">
      <c r="A33" s="3"/>
      <c r="B33" s="3">
        <v>45941</v>
      </c>
      <c r="C33" s="5">
        <v>2025020031</v>
      </c>
      <c r="D33" s="2" t="s">
        <v>18</v>
      </c>
      <c r="E33" s="2" t="s">
        <v>16</v>
      </c>
      <c r="F33" s="2"/>
      <c r="G33" s="2"/>
      <c r="H33" s="2" t="str">
        <f t="shared" si="0"/>
        <v>_</v>
      </c>
      <c r="I33" s="2"/>
      <c r="J33" s="2"/>
      <c r="K33" s="2"/>
      <c r="L33" s="2" t="str">
        <f t="shared" si="1"/>
        <v>_</v>
      </c>
      <c r="M33" s="2"/>
      <c r="N33" s="2">
        <f>IF(ISBLANK(Table2[[#This Row],[ActualResult]]), 0, 1)</f>
        <v>0</v>
      </c>
      <c r="O33" s="2" t="str">
        <f>IF(ISBLANK(Table2[[#This Row],[ActualResult]]), "_", IF(Table2[[#This Row],[ActualWinner]]=Table2[[#This Row],[PredictedWinner]], "Y", "N"))</f>
        <v>_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" s="2"/>
      <c r="S33" s="2" t="str">
        <f t="shared" si="2"/>
        <v>_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45">
        <f>IF(AND(Table2[[#This Row],[GameIsOver]]=1,Table2[[#This Row],[ActualHomeScore]]*Table2[[#This Row],[ActualAwayScore]]=0), 1,0)</f>
        <v>0</v>
      </c>
      <c r="AA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0</v>
      </c>
      <c r="AG33" s="2">
        <f>Table2[[#This Row],[ActualHomeScore]]-Table2[[#This Row],[PredictedHomeScore]]</f>
        <v>0</v>
      </c>
      <c r="AH33" s="2">
        <f t="shared" si="3"/>
        <v>0</v>
      </c>
      <c r="AI33" s="2">
        <f t="shared" si="4"/>
        <v>0</v>
      </c>
      <c r="AJ33" s="2"/>
      <c r="AK33" s="2"/>
      <c r="AL33" s="2">
        <f>IF(Table2[[#This Row],[GameIsOver]]=0,0,IF(Table2[[#This Row],[ActualWinner]]=Table2[[#This Row],[AwayTeam]], 1, 0))</f>
        <v>0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" s="2" t="str">
        <f>INDEX(Sheet5!$B$2:$AG$33, MATCH(Table2[[#This Row],[AwayTeam]],Sheet5!$A$2:$A$33, 0), MATCH(Table2[[#This Row],[HomeTeam]],Sheet5!$A$2:$A$33, 0))</f>
        <v>0-0-0</v>
      </c>
      <c r="AP33" s="2" t="str">
        <f>INDEX(Sheet5!$B$2:$AG$33, MATCH(Table2[[#This Row],[HomeTeam]],Sheet5!$A$2:$A$33, 0), MATCH(Table2[[#This Row],[AwayTeam]],Sheet5!$A$2:$A$33, 0))</f>
        <v>0-0-0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1</v>
      </c>
      <c r="AU33" s="2"/>
      <c r="AV33" s="2"/>
      <c r="BD33" s="67"/>
      <c r="BH33">
        <f>FIND("Avery", "BriggsAveryBriggs")</f>
        <v>7</v>
      </c>
    </row>
    <row r="34" spans="1:60" x14ac:dyDescent="0.25">
      <c r="A34" s="3"/>
      <c r="B34" s="3">
        <v>45942</v>
      </c>
      <c r="C34" s="5">
        <v>2025020032</v>
      </c>
      <c r="D34" s="2" t="s">
        <v>14</v>
      </c>
      <c r="E34" s="2" t="s">
        <v>34</v>
      </c>
      <c r="F34" s="2"/>
      <c r="G34" s="2"/>
      <c r="H34" s="2" t="str">
        <f t="shared" si="0"/>
        <v>_</v>
      </c>
      <c r="I34" s="2"/>
      <c r="J34" s="2"/>
      <c r="K34" s="2"/>
      <c r="L34" s="2" t="str">
        <f t="shared" si="1"/>
        <v>_</v>
      </c>
      <c r="M34" s="2"/>
      <c r="N34" s="2">
        <f>IF(ISBLANK(Table2[[#This Row],[ActualResult]]), 0, 1)</f>
        <v>0</v>
      </c>
      <c r="O34" s="2" t="str">
        <f>IF(ISBLANK(Table2[[#This Row],[ActualResult]]), "_", IF(Table2[[#This Row],[ActualWinner]]=Table2[[#This Row],[PredictedWinner]], "Y", "N"))</f>
        <v>_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" s="2"/>
      <c r="S34" s="2" t="str">
        <f t="shared" si="2"/>
        <v>_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45">
        <f>IF(AND(Table2[[#This Row],[GameIsOver]]=1,Table2[[#This Row],[ActualHomeScore]]*Table2[[#This Row],[ActualAwayScore]]=0), 1,0)</f>
        <v>0</v>
      </c>
      <c r="AA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" s="2">
        <f>Table2[[#This Row],[ActualAwayScore]]-Table2[[#This Row],[PredictedAwayScore]]</f>
        <v>0</v>
      </c>
      <c r="AG34" s="2">
        <f>Table2[[#This Row],[ActualHomeScore]]-Table2[[#This Row],[PredictedHomeScore]]</f>
        <v>0</v>
      </c>
      <c r="AH34" s="2">
        <f t="shared" si="3"/>
        <v>0</v>
      </c>
      <c r="AI34" s="2">
        <f t="shared" si="4"/>
        <v>0</v>
      </c>
      <c r="AJ34" s="2"/>
      <c r="AK34" s="2"/>
      <c r="AL34" s="2">
        <f>IF(Table2[[#This Row],[GameIsOver]]=0,0,IF(Table2[[#This Row],[ActualWinner]]=Table2[[#This Row],[AwayTeam]], 1, 0))</f>
        <v>0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" s="2" t="str">
        <f>INDEX(Sheet5!$B$2:$AG$33, MATCH(Table2[[#This Row],[AwayTeam]],Sheet5!$A$2:$A$33, 0), MATCH(Table2[[#This Row],[HomeTeam]],Sheet5!$A$2:$A$33, 0))</f>
        <v>0-0-0</v>
      </c>
      <c r="AP34" s="2" t="str">
        <f>INDEX(Sheet5!$B$2:$AG$33, MATCH(Table2[[#This Row],[HomeTeam]],Sheet5!$A$2:$A$33, 0), MATCH(Table2[[#This Row],[AwayTeam]],Sheet5!$A$2:$A$33, 0))</f>
        <v>0-0-0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1</v>
      </c>
      <c r="AU34" s="2"/>
      <c r="AV34" s="2"/>
      <c r="BD34" s="67"/>
      <c r="BH34">
        <f>IFERROR(FIND("Avery", "BriggsBriggs"), 0)</f>
        <v>0</v>
      </c>
    </row>
    <row r="35" spans="1:60" x14ac:dyDescent="0.25">
      <c r="A35" s="3"/>
      <c r="B35" s="3">
        <v>45942</v>
      </c>
      <c r="C35" s="5">
        <v>2025020033</v>
      </c>
      <c r="D35" s="2" t="s">
        <v>35</v>
      </c>
      <c r="E35" s="2" t="s">
        <v>36</v>
      </c>
      <c r="F35" s="2"/>
      <c r="G35" s="2"/>
      <c r="H35" s="2" t="str">
        <f t="shared" si="0"/>
        <v>_</v>
      </c>
      <c r="I35" s="2"/>
      <c r="J35" s="2"/>
      <c r="K35" s="2"/>
      <c r="L35" s="2" t="str">
        <f t="shared" si="1"/>
        <v>_</v>
      </c>
      <c r="M35" s="2"/>
      <c r="N35" s="2">
        <f>IF(ISBLANK(Table2[[#This Row],[ActualResult]]), 0, 1)</f>
        <v>0</v>
      </c>
      <c r="O35" s="2" t="str">
        <f>IF(ISBLANK(Table2[[#This Row],[ActualResult]]), "_", IF(Table2[[#This Row],[ActualWinner]]=Table2[[#This Row],[PredictedWinner]], "Y", "N"))</f>
        <v>_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" s="2"/>
      <c r="S35" s="2" t="str">
        <f t="shared" si="2"/>
        <v>_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45">
        <f>IF(AND(Table2[[#This Row],[GameIsOver]]=1,Table2[[#This Row],[ActualHomeScore]]*Table2[[#This Row],[ActualAwayScore]]=0), 1,0)</f>
        <v>0</v>
      </c>
      <c r="AA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" s="2">
        <f>Table2[[#This Row],[ActualAwayScore]]-Table2[[#This Row],[PredictedAwayScore]]</f>
        <v>0</v>
      </c>
      <c r="AG35" s="2">
        <f>Table2[[#This Row],[ActualHomeScore]]-Table2[[#This Row],[PredictedHomeScore]]</f>
        <v>0</v>
      </c>
      <c r="AH35" s="2">
        <f t="shared" si="3"/>
        <v>0</v>
      </c>
      <c r="AI35" s="2">
        <f t="shared" si="4"/>
        <v>0</v>
      </c>
      <c r="AJ35" s="2"/>
      <c r="AK35" s="2"/>
      <c r="AL35" s="2">
        <f>IF(Table2[[#This Row],[GameIsOver]]=0,0,IF(Table2[[#This Row],[ActualWinner]]=Table2[[#This Row],[AwayTeam]], 1, 0))</f>
        <v>0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" s="2" t="str">
        <f>INDEX(Sheet5!$B$2:$AG$33, MATCH(Table2[[#This Row],[AwayTeam]],Sheet5!$A$2:$A$33, 0), MATCH(Table2[[#This Row],[HomeTeam]],Sheet5!$A$2:$A$33, 0))</f>
        <v>0-0-0</v>
      </c>
      <c r="AP35" s="2" t="str">
        <f>INDEX(Sheet5!$B$2:$AG$33, MATCH(Table2[[#This Row],[HomeTeam]],Sheet5!$A$2:$A$33, 0), MATCH(Table2[[#This Row],[AwayTeam]],Sheet5!$A$2:$A$33, 0))</f>
        <v>0-0-0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0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1</v>
      </c>
      <c r="AU35" s="2"/>
      <c r="AV35" s="2"/>
      <c r="BD35" s="67"/>
      <c r="BH35">
        <f>IFERROR(FIND("Avery", "AveryBriggsBriggs"), 0)</f>
        <v>1</v>
      </c>
    </row>
    <row r="36" spans="1:60" x14ac:dyDescent="0.25">
      <c r="A36" s="3"/>
      <c r="B36" s="3">
        <v>45942</v>
      </c>
      <c r="C36" s="5">
        <v>2025020034</v>
      </c>
      <c r="D36" s="2" t="s">
        <v>33</v>
      </c>
      <c r="E36" s="2" t="s">
        <v>25</v>
      </c>
      <c r="F36" s="2"/>
      <c r="G36" s="2"/>
      <c r="H36" s="2" t="str">
        <f t="shared" si="0"/>
        <v>_</v>
      </c>
      <c r="I36" s="2"/>
      <c r="J36" s="2"/>
      <c r="K36" s="2"/>
      <c r="L36" s="2" t="str">
        <f t="shared" si="1"/>
        <v>_</v>
      </c>
      <c r="M36" s="2"/>
      <c r="N36" s="2">
        <f>IF(ISBLANK(Table2[[#This Row],[ActualResult]]), 0, 1)</f>
        <v>0</v>
      </c>
      <c r="O36" s="2" t="str">
        <f>IF(ISBLANK(Table2[[#This Row],[ActualResult]]), "_", IF(Table2[[#This Row],[ActualWinner]]=Table2[[#This Row],[PredictedWinner]], "Y", "N"))</f>
        <v>_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" s="2"/>
      <c r="S36" s="2" t="str">
        <f t="shared" si="2"/>
        <v>_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45">
        <f>IF(AND(Table2[[#This Row],[GameIsOver]]=1,Table2[[#This Row],[ActualHomeScore]]*Table2[[#This Row],[ActualAwayScore]]=0), 1,0)</f>
        <v>0</v>
      </c>
      <c r="AA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6" s="2">
        <f>Table2[[#This Row],[ActualAwayScore]]-Table2[[#This Row],[PredictedAwayScore]]</f>
        <v>0</v>
      </c>
      <c r="AG36" s="2">
        <f>Table2[[#This Row],[ActualHomeScore]]-Table2[[#This Row],[PredictedHomeScore]]</f>
        <v>0</v>
      </c>
      <c r="AH36" s="2">
        <f t="shared" si="3"/>
        <v>0</v>
      </c>
      <c r="AI36" s="2">
        <f t="shared" si="4"/>
        <v>0</v>
      </c>
      <c r="AJ36" s="2"/>
      <c r="AK36" s="2"/>
      <c r="AL36" s="2">
        <f>IF(Table2[[#This Row],[GameIsOver]]=0,0,IF(Table2[[#This Row],[ActualWinner]]=Table2[[#This Row],[AwayTeam]], 1, 0))</f>
        <v>0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" s="2" t="str">
        <f>INDEX(Sheet5!$B$2:$AG$33, MATCH(Table2[[#This Row],[AwayTeam]],Sheet5!$A$2:$A$33, 0), MATCH(Table2[[#This Row],[HomeTeam]],Sheet5!$A$2:$A$33, 0))</f>
        <v>0-0-0</v>
      </c>
      <c r="AP36" s="2" t="str">
        <f>INDEX(Sheet5!$B$2:$AG$33, MATCH(Table2[[#This Row],[HomeTeam]],Sheet5!$A$2:$A$33, 0), MATCH(Table2[[#This Row],[AwayTeam]],Sheet5!$A$2:$A$33, 0))</f>
        <v>0-0-0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1</v>
      </c>
      <c r="AU36" s="2"/>
      <c r="AV36" s="2"/>
      <c r="BD36" s="67"/>
    </row>
    <row r="37" spans="1:60" x14ac:dyDescent="0.25">
      <c r="A37" s="3"/>
      <c r="B37" s="3">
        <v>45942</v>
      </c>
      <c r="C37" s="5">
        <v>2025020035</v>
      </c>
      <c r="D37" s="2" t="s">
        <v>24</v>
      </c>
      <c r="E37" s="2" t="s">
        <v>22</v>
      </c>
      <c r="F37" s="2"/>
      <c r="G37" s="2"/>
      <c r="H37" s="2" t="str">
        <f t="shared" si="0"/>
        <v>_</v>
      </c>
      <c r="I37" s="2"/>
      <c r="J37" s="2"/>
      <c r="K37" s="2"/>
      <c r="L37" s="2" t="str">
        <f t="shared" si="1"/>
        <v>_</v>
      </c>
      <c r="M37" s="2"/>
      <c r="N37" s="2">
        <f>IF(ISBLANK(Table2[[#This Row],[ActualResult]]), 0, 1)</f>
        <v>0</v>
      </c>
      <c r="O37" s="2" t="str">
        <f>IF(ISBLANK(Table2[[#This Row],[ActualResult]]), "_", IF(Table2[[#This Row],[ActualWinner]]=Table2[[#This Row],[PredictedWinner]], "Y", "N"))</f>
        <v>_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" s="2"/>
      <c r="S37" s="2" t="str">
        <f t="shared" si="2"/>
        <v>_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45">
        <f>IF(AND(Table2[[#This Row],[GameIsOver]]=1,Table2[[#This Row],[ActualHomeScore]]*Table2[[#This Row],[ActualAwayScore]]=0), 1,0)</f>
        <v>0</v>
      </c>
      <c r="AA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7" s="2">
        <f>Table2[[#This Row],[ActualAwayScore]]-Table2[[#This Row],[PredictedAwayScore]]</f>
        <v>0</v>
      </c>
      <c r="AG37" s="2">
        <f>Table2[[#This Row],[ActualHomeScore]]-Table2[[#This Row],[PredictedHomeScore]]</f>
        <v>0</v>
      </c>
      <c r="AH37" s="2">
        <f t="shared" si="3"/>
        <v>0</v>
      </c>
      <c r="AI37" s="2">
        <f t="shared" si="4"/>
        <v>0</v>
      </c>
      <c r="AJ37" s="2"/>
      <c r="AK37" s="2"/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0</v>
      </c>
      <c r="AN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" s="2" t="str">
        <f>INDEX(Sheet5!$B$2:$AG$33, MATCH(Table2[[#This Row],[AwayTeam]],Sheet5!$A$2:$A$33, 0), MATCH(Table2[[#This Row],[HomeTeam]],Sheet5!$A$2:$A$33, 0))</f>
        <v>0-0-0</v>
      </c>
      <c r="AP37" s="2" t="str">
        <f>INDEX(Sheet5!$B$2:$AG$33, MATCH(Table2[[#This Row],[HomeTeam]],Sheet5!$A$2:$A$33, 0), MATCH(Table2[[#This Row],[AwayTeam]],Sheet5!$A$2:$A$33, 0))</f>
        <v>0-0-0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1</v>
      </c>
      <c r="AU37" s="2"/>
      <c r="AV37" s="2"/>
      <c r="BD37" s="67"/>
    </row>
    <row r="38" spans="1:60" x14ac:dyDescent="0.25">
      <c r="A38" s="3"/>
      <c r="B38" s="3">
        <v>45942</v>
      </c>
      <c r="C38" s="5">
        <v>2025020036</v>
      </c>
      <c r="D38" s="2" t="s">
        <v>44</v>
      </c>
      <c r="E38" s="2" t="s">
        <v>37</v>
      </c>
      <c r="F38" s="2"/>
      <c r="G38" s="2"/>
      <c r="H38" s="2" t="str">
        <f t="shared" si="0"/>
        <v>_</v>
      </c>
      <c r="I38" s="2"/>
      <c r="J38" s="2"/>
      <c r="K38" s="2"/>
      <c r="L38" s="2" t="str">
        <f t="shared" si="1"/>
        <v>_</v>
      </c>
      <c r="M38" s="2"/>
      <c r="N38" s="2">
        <f>IF(ISBLANK(Table2[[#This Row],[ActualResult]]), 0, 1)</f>
        <v>0</v>
      </c>
      <c r="O38" s="2" t="str">
        <f>IF(ISBLANK(Table2[[#This Row],[ActualResult]]), "_", IF(Table2[[#This Row],[ActualWinner]]=Table2[[#This Row],[PredictedWinner]], "Y", "N"))</f>
        <v>_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" s="2"/>
      <c r="S38" s="2" t="str">
        <f t="shared" si="2"/>
        <v>_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45">
        <f>IF(AND(Table2[[#This Row],[GameIsOver]]=1,Table2[[#This Row],[ActualHomeScore]]*Table2[[#This Row],[ActualAwayScore]]=0), 1,0)</f>
        <v>0</v>
      </c>
      <c r="AA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8" s="2">
        <f>Table2[[#This Row],[ActualAwayScore]]-Table2[[#This Row],[PredictedAwayScore]]</f>
        <v>0</v>
      </c>
      <c r="AG38" s="2">
        <f>Table2[[#This Row],[ActualHomeScore]]-Table2[[#This Row],[PredictedHomeScore]]</f>
        <v>0</v>
      </c>
      <c r="AH38" s="2">
        <f t="shared" si="3"/>
        <v>0</v>
      </c>
      <c r="AI38" s="2">
        <f t="shared" si="4"/>
        <v>0</v>
      </c>
      <c r="AJ38" s="2"/>
      <c r="AK38" s="2"/>
      <c r="AL38" s="2">
        <f>IF(Table2[[#This Row],[GameIsOver]]=0,0,IF(Table2[[#This Row],[ActualWinner]]=Table2[[#This Row],[AwayTeam]], 1, 0))</f>
        <v>0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" s="2" t="str">
        <f>INDEX(Sheet5!$B$2:$AG$33, MATCH(Table2[[#This Row],[AwayTeam]],Sheet5!$A$2:$A$33, 0), MATCH(Table2[[#This Row],[HomeTeam]],Sheet5!$A$2:$A$33, 0))</f>
        <v>0-0-0</v>
      </c>
      <c r="AP38" s="2" t="str">
        <f>INDEX(Sheet5!$B$2:$AG$33, MATCH(Table2[[#This Row],[HomeTeam]],Sheet5!$A$2:$A$33, 0), MATCH(Table2[[#This Row],[AwayTeam]],Sheet5!$A$2:$A$33, 0))</f>
        <v>0-0-0</v>
      </c>
      <c r="AQ38" s="2">
        <f>IF(Table2[[#This Row],[GameHasShutOut]], 1, 0)</f>
        <v>0</v>
      </c>
      <c r="AR38" s="2">
        <f>IF(Table2[[#This Row],[ActualAwayScore]] + Table2[[#This Row],[ActualHomeScore]] &gt;= 10, 1, 0)</f>
        <v>0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1</v>
      </c>
      <c r="AU38" s="2"/>
      <c r="AV38" s="2"/>
      <c r="BD38" s="67"/>
    </row>
    <row r="39" spans="1:60" x14ac:dyDescent="0.25">
      <c r="A39" s="3"/>
      <c r="B39" s="3">
        <v>45942</v>
      </c>
      <c r="C39" s="5">
        <v>2025020037</v>
      </c>
      <c r="D39" s="2" t="s">
        <v>26</v>
      </c>
      <c r="E39" s="2" t="s">
        <v>11</v>
      </c>
      <c r="F39" s="2"/>
      <c r="G39" s="2"/>
      <c r="H39" s="2" t="str">
        <f t="shared" si="0"/>
        <v>_</v>
      </c>
      <c r="I39" s="2"/>
      <c r="J39" s="2"/>
      <c r="K39" s="2"/>
      <c r="L39" s="2" t="str">
        <f t="shared" si="1"/>
        <v>_</v>
      </c>
      <c r="M39" s="2"/>
      <c r="N39" s="2">
        <f>IF(ISBLANK(Table2[[#This Row],[ActualResult]]), 0, 1)</f>
        <v>0</v>
      </c>
      <c r="O39" s="2" t="str">
        <f>IF(ISBLANK(Table2[[#This Row],[ActualResult]]), "_", IF(Table2[[#This Row],[ActualWinner]]=Table2[[#This Row],[PredictedWinner]], "Y", "N"))</f>
        <v>_</v>
      </c>
      <c r="P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" s="2"/>
      <c r="S39" s="2" t="str">
        <f t="shared" si="2"/>
        <v>_</v>
      </c>
      <c r="T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2">
        <f>IF(Table2[[#This Row],[InterConf]]=1,IF(Table2[[#This Row],[InterDiv]]=0, 1, 0), 0)</f>
        <v>0</v>
      </c>
      <c r="W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2"/>
      <c r="Y39" s="2"/>
      <c r="Z39" s="145">
        <f>IF(AND(Table2[[#This Row],[GameIsOver]]=1,Table2[[#This Row],[ActualHomeScore]]*Table2[[#This Row],[ActualAwayScore]]=0), 1,0)</f>
        <v>0</v>
      </c>
      <c r="AA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" s="2">
        <f>Table2[[#This Row],[ActualAwayScore]]-Table2[[#This Row],[PredictedAwayScore]]</f>
        <v>0</v>
      </c>
      <c r="AG39" s="2">
        <f>Table2[[#This Row],[ActualHomeScore]]-Table2[[#This Row],[PredictedHomeScore]]</f>
        <v>0</v>
      </c>
      <c r="AH39" s="2">
        <f t="shared" si="3"/>
        <v>0</v>
      </c>
      <c r="AI39" s="2">
        <f t="shared" si="4"/>
        <v>0</v>
      </c>
      <c r="AJ39" s="2"/>
      <c r="AK39" s="2"/>
      <c r="AL39" s="2">
        <f>IF(Table2[[#This Row],[GameIsOver]]=0,0,IF(Table2[[#This Row],[ActualWinner]]=Table2[[#This Row],[AwayTeam]], 1, 0))</f>
        <v>0</v>
      </c>
      <c r="AM39" s="2">
        <f>IF(Table2[[#This Row],[GameIsOver]]=0,0,IF(Table2[[#This Row],[ActualWinner]]=Table2[[#This Row],[HomeTeam]], 1, 0))</f>
        <v>0</v>
      </c>
      <c r="AN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" s="2" t="str">
        <f>INDEX(Sheet5!$B$2:$AG$33, MATCH(Table2[[#This Row],[AwayTeam]],Sheet5!$A$2:$A$33, 0), MATCH(Table2[[#This Row],[HomeTeam]],Sheet5!$A$2:$A$33, 0))</f>
        <v>0-0-0</v>
      </c>
      <c r="AP39" s="2" t="str">
        <f>INDEX(Sheet5!$B$2:$AG$33, MATCH(Table2[[#This Row],[HomeTeam]],Sheet5!$A$2:$A$33, 0), MATCH(Table2[[#This Row],[AwayTeam]],Sheet5!$A$2:$A$33, 0))</f>
        <v>0-0-0</v>
      </c>
      <c r="AQ39" s="2">
        <f>IF(Table2[[#This Row],[GameHasShutOut]], 1, 0)</f>
        <v>0</v>
      </c>
      <c r="AR39" s="2">
        <f>IF(Table2[[#This Row],[ActualAwayScore]] + Table2[[#This Row],[ActualHomeScore]] &gt;= 10, 1, 0)</f>
        <v>0</v>
      </c>
      <c r="AS39" s="2">
        <f>IF(ABS(Table2[[#This Row],[ActualAwayScore]]-Table2[[#This Row],[ActualHomeScore]])&gt;=5, 1, 0)</f>
        <v>0</v>
      </c>
      <c r="AT39" s="2">
        <f>IF(Table2[[#This Row],[ActualAwayScore]] + Table2[[#This Row],[ActualHomeScore]] &lt;= 3, 1, 0)</f>
        <v>1</v>
      </c>
      <c r="AU39" s="2"/>
      <c r="AV39" s="2"/>
      <c r="BD39" s="67"/>
    </row>
    <row r="40" spans="1:60" ht="15.75" thickBot="1" x14ac:dyDescent="0.3">
      <c r="A40" s="3"/>
      <c r="B40" s="3">
        <v>45942</v>
      </c>
      <c r="C40" s="5">
        <v>2025020038</v>
      </c>
      <c r="D40" s="2" t="s">
        <v>43</v>
      </c>
      <c r="E40" s="2" t="s">
        <v>19</v>
      </c>
      <c r="F40" s="2"/>
      <c r="G40" s="2"/>
      <c r="H40" s="2" t="str">
        <f t="shared" si="0"/>
        <v>_</v>
      </c>
      <c r="I40" s="2"/>
      <c r="J40" s="2"/>
      <c r="K40" s="2"/>
      <c r="L40" s="2" t="str">
        <f t="shared" si="1"/>
        <v>_</v>
      </c>
      <c r="M40" s="2"/>
      <c r="N40" s="2">
        <f>IF(ISBLANK(Table2[[#This Row],[ActualResult]]), 0, 1)</f>
        <v>0</v>
      </c>
      <c r="O40" s="2" t="str">
        <f>IF(ISBLANK(Table2[[#This Row],[ActualResult]]), "_", IF(Table2[[#This Row],[ActualWinner]]=Table2[[#This Row],[PredictedWinner]], "Y", "N"))</f>
        <v>_</v>
      </c>
      <c r="P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" s="2"/>
      <c r="S40" s="2" t="str">
        <f t="shared" si="2"/>
        <v>_</v>
      </c>
      <c r="T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2">
        <f>IF(Table2[[#This Row],[InterConf]]=1,IF(Table2[[#This Row],[InterDiv]]=0, 1, 0), 0)</f>
        <v>0</v>
      </c>
      <c r="W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2"/>
      <c r="Y40" s="2"/>
      <c r="Z40" s="145">
        <f>IF(AND(Table2[[#This Row],[GameIsOver]]=1,Table2[[#This Row],[ActualHomeScore]]*Table2[[#This Row],[ActualAwayScore]]=0), 1,0)</f>
        <v>0</v>
      </c>
      <c r="AA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2">
        <f>Table2[[#This Row],[ActualAwayScore]]-Table2[[#This Row],[PredictedAwayScore]]</f>
        <v>0</v>
      </c>
      <c r="AG40" s="2">
        <f>Table2[[#This Row],[ActualHomeScore]]-Table2[[#This Row],[PredictedHomeScore]]</f>
        <v>0</v>
      </c>
      <c r="AH40" s="2">
        <f t="shared" si="3"/>
        <v>0</v>
      </c>
      <c r="AI40" s="2">
        <f t="shared" si="4"/>
        <v>0</v>
      </c>
      <c r="AJ40" s="2"/>
      <c r="AK40" s="2"/>
      <c r="AL40" s="2">
        <f>IF(Table2[[#This Row],[GameIsOver]]=0,0,IF(Table2[[#This Row],[ActualWinner]]=Table2[[#This Row],[AwayTeam]], 1, 0))</f>
        <v>0</v>
      </c>
      <c r="AM40" s="2">
        <f>IF(Table2[[#This Row],[GameIsOver]]=0,0,IF(Table2[[#This Row],[ActualWinner]]=Table2[[#This Row],[HomeTeam]], 1, 0))</f>
        <v>0</v>
      </c>
      <c r="AN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" s="2" t="str">
        <f>INDEX(Sheet5!$B$2:$AG$33, MATCH(Table2[[#This Row],[AwayTeam]],Sheet5!$A$2:$A$33, 0), MATCH(Table2[[#This Row],[HomeTeam]],Sheet5!$A$2:$A$33, 0))</f>
        <v>0-0-0</v>
      </c>
      <c r="AP40" s="2" t="str">
        <f>INDEX(Sheet5!$B$2:$AG$33, MATCH(Table2[[#This Row],[HomeTeam]],Sheet5!$A$2:$A$33, 0), MATCH(Table2[[#This Row],[AwayTeam]],Sheet5!$A$2:$A$33, 0))</f>
        <v>0-0-0</v>
      </c>
      <c r="AQ40" s="2">
        <f>IF(Table2[[#This Row],[GameHasShutOut]], 1, 0)</f>
        <v>0</v>
      </c>
      <c r="AR40" s="2">
        <f>IF(Table2[[#This Row],[ActualAwayScore]] + Table2[[#This Row],[ActualHomeScore]] &gt;= 10, 1, 0)</f>
        <v>0</v>
      </c>
      <c r="AS40" s="2">
        <f>IF(ABS(Table2[[#This Row],[ActualAwayScore]]-Table2[[#This Row],[ActualHomeScore]])&gt;=5, 1, 0)</f>
        <v>0</v>
      </c>
      <c r="AT40" s="2">
        <f>IF(Table2[[#This Row],[ActualAwayScore]] + Table2[[#This Row],[ActualHomeScore]] &lt;= 3, 1, 0)</f>
        <v>1</v>
      </c>
      <c r="AU40" s="2"/>
      <c r="AV40" s="2"/>
      <c r="BD40" s="68"/>
    </row>
    <row r="41" spans="1:60" x14ac:dyDescent="0.25">
      <c r="A41" s="3"/>
      <c r="B41" s="3">
        <v>45943</v>
      </c>
      <c r="C41" s="5">
        <v>2025020039</v>
      </c>
      <c r="D41" s="2" t="s">
        <v>25</v>
      </c>
      <c r="E41" s="2" t="s">
        <v>28</v>
      </c>
      <c r="F41" s="2"/>
      <c r="G41" s="2"/>
      <c r="H41" s="2" t="str">
        <f t="shared" si="0"/>
        <v>_</v>
      </c>
      <c r="I41" s="2"/>
      <c r="J41" s="2"/>
      <c r="K41" s="2"/>
      <c r="L41" s="2" t="str">
        <f t="shared" si="1"/>
        <v>_</v>
      </c>
      <c r="M41" s="2"/>
      <c r="N41" s="2">
        <f>IF(ISBLANK(Table2[[#This Row],[ActualResult]]), 0, 1)</f>
        <v>0</v>
      </c>
      <c r="O41" s="2" t="str">
        <f>IF(ISBLANK(Table2[[#This Row],[ActualResult]]), "_", IF(Table2[[#This Row],[ActualWinner]]=Table2[[#This Row],[PredictedWinner]], "Y", "N"))</f>
        <v>_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" s="2"/>
      <c r="S41" s="2" t="str">
        <f t="shared" si="2"/>
        <v>_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45">
        <f>IF(AND(Table2[[#This Row],[GameIsOver]]=1,Table2[[#This Row],[ActualHomeScore]]*Table2[[#This Row],[ActualAwayScore]]=0), 1,0)</f>
        <v>0</v>
      </c>
      <c r="AA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0</v>
      </c>
      <c r="AG41" s="2">
        <f>Table2[[#This Row],[ActualHomeScore]]-Table2[[#This Row],[PredictedHomeScore]]</f>
        <v>0</v>
      </c>
      <c r="AH41" s="2">
        <f t="shared" si="3"/>
        <v>0</v>
      </c>
      <c r="AI41" s="2">
        <f t="shared" si="4"/>
        <v>0</v>
      </c>
      <c r="AJ41" s="2"/>
      <c r="AK41" s="2"/>
      <c r="AL41" s="2">
        <f>IF(Table2[[#This Row],[GameIsOver]]=0,0,IF(Table2[[#This Row],[ActualWinner]]=Table2[[#This Row],[AwayTeam]], 1, 0))</f>
        <v>0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" s="2" t="str">
        <f>INDEX(Sheet5!$B$2:$AG$33, MATCH(Table2[[#This Row],[AwayTeam]],Sheet5!$A$2:$A$33, 0), MATCH(Table2[[#This Row],[HomeTeam]],Sheet5!$A$2:$A$33, 0))</f>
        <v>0-0-0</v>
      </c>
      <c r="AP41" s="2" t="str">
        <f>INDEX(Sheet5!$B$2:$AG$33, MATCH(Table2[[#This Row],[HomeTeam]],Sheet5!$A$2:$A$33, 0), MATCH(Table2[[#This Row],[AwayTeam]],Sheet5!$A$2:$A$33, 0))</f>
        <v>0-0-0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1</v>
      </c>
      <c r="AU41" s="2"/>
      <c r="AV41" s="2"/>
    </row>
    <row r="42" spans="1:60" x14ac:dyDescent="0.25">
      <c r="A42" s="3"/>
      <c r="B42" s="3">
        <v>45943</v>
      </c>
      <c r="C42" s="5">
        <v>2025020040</v>
      </c>
      <c r="D42" s="2" t="s">
        <v>40</v>
      </c>
      <c r="E42" s="2" t="s">
        <v>15</v>
      </c>
      <c r="F42" s="2"/>
      <c r="G42" s="2"/>
      <c r="H42" s="2" t="str">
        <f t="shared" si="0"/>
        <v>_</v>
      </c>
      <c r="I42" s="2"/>
      <c r="J42" s="2"/>
      <c r="K42" s="2"/>
      <c r="L42" s="2" t="str">
        <f t="shared" si="1"/>
        <v>_</v>
      </c>
      <c r="M42" s="2"/>
      <c r="N42" s="2">
        <f>IF(ISBLANK(Table2[[#This Row],[ActualResult]]), 0, 1)</f>
        <v>0</v>
      </c>
      <c r="O42" s="2" t="str">
        <f>IF(ISBLANK(Table2[[#This Row],[ActualResult]]), "_", IF(Table2[[#This Row],[ActualWinner]]=Table2[[#This Row],[PredictedWinner]], "Y", "N"))</f>
        <v>_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" s="2"/>
      <c r="S42" s="2" t="str">
        <f t="shared" si="2"/>
        <v>_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45">
        <f>IF(AND(Table2[[#This Row],[GameIsOver]]=1,Table2[[#This Row],[ActualHomeScore]]*Table2[[#This Row],[ActualAwayScore]]=0), 1,0)</f>
        <v>0</v>
      </c>
      <c r="AA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0</v>
      </c>
      <c r="AG42" s="2">
        <f>Table2[[#This Row],[ActualHomeScore]]-Table2[[#This Row],[PredictedHomeScore]]</f>
        <v>0</v>
      </c>
      <c r="AH42" s="2">
        <f t="shared" si="3"/>
        <v>0</v>
      </c>
      <c r="AI42" s="2">
        <f t="shared" si="4"/>
        <v>0</v>
      </c>
      <c r="AJ42" s="2"/>
      <c r="AK42" s="2"/>
      <c r="AL42" s="2">
        <f>IF(Table2[[#This Row],[GameIsOver]]=0,0,IF(Table2[[#This Row],[ActualWinner]]=Table2[[#This Row],[AwayTeam]], 1, 0))</f>
        <v>0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" s="2" t="str">
        <f>INDEX(Sheet5!$B$2:$AG$33, MATCH(Table2[[#This Row],[AwayTeam]],Sheet5!$A$2:$A$33, 0), MATCH(Table2[[#This Row],[HomeTeam]],Sheet5!$A$2:$A$33, 0))</f>
        <v>0-0-0</v>
      </c>
      <c r="AP42" s="2" t="str">
        <f>INDEX(Sheet5!$B$2:$AG$33, MATCH(Table2[[#This Row],[HomeTeam]],Sheet5!$A$2:$A$33, 0), MATCH(Table2[[#This Row],[AwayTeam]],Sheet5!$A$2:$A$33, 0))</f>
        <v>0-0-0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1</v>
      </c>
      <c r="AU42" s="2"/>
      <c r="AV42" s="2"/>
    </row>
    <row r="43" spans="1:60" x14ac:dyDescent="0.25">
      <c r="A43" s="3"/>
      <c r="B43" s="3">
        <v>45943</v>
      </c>
      <c r="C43" s="5">
        <v>2025020041</v>
      </c>
      <c r="D43" s="2" t="s">
        <v>34</v>
      </c>
      <c r="E43" s="2" t="s">
        <v>29</v>
      </c>
      <c r="F43" s="2"/>
      <c r="G43" s="2"/>
      <c r="H43" s="2" t="str">
        <f t="shared" si="0"/>
        <v>_</v>
      </c>
      <c r="I43" s="2"/>
      <c r="J43" s="2"/>
      <c r="K43" s="2"/>
      <c r="L43" s="2" t="str">
        <f t="shared" si="1"/>
        <v>_</v>
      </c>
      <c r="M43" s="2"/>
      <c r="N43" s="2">
        <f>IF(ISBLANK(Table2[[#This Row],[ActualResult]]), 0, 1)</f>
        <v>0</v>
      </c>
      <c r="O43" s="2" t="str">
        <f>IF(ISBLANK(Table2[[#This Row],[ActualResult]]), "_", IF(Table2[[#This Row],[ActualWinner]]=Table2[[#This Row],[PredictedWinner]], "Y", "N"))</f>
        <v>_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" s="2"/>
      <c r="S43" s="2" t="str">
        <f t="shared" si="2"/>
        <v>_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45">
        <f>IF(AND(Table2[[#This Row],[GameIsOver]]=1,Table2[[#This Row],[ActualHomeScore]]*Table2[[#This Row],[ActualAwayScore]]=0), 1,0)</f>
        <v>0</v>
      </c>
      <c r="AA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0</v>
      </c>
      <c r="AG43" s="2">
        <f>Table2[[#This Row],[ActualHomeScore]]-Table2[[#This Row],[PredictedHomeScore]]</f>
        <v>0</v>
      </c>
      <c r="AH43" s="2">
        <f t="shared" si="3"/>
        <v>0</v>
      </c>
      <c r="AI43" s="2">
        <f t="shared" si="4"/>
        <v>0</v>
      </c>
      <c r="AJ43" s="2"/>
      <c r="AK43" s="2"/>
      <c r="AL43" s="2">
        <f>IF(Table2[[#This Row],[GameIsOver]]=0,0,IF(Table2[[#This Row],[ActualWinner]]=Table2[[#This Row],[AwayTeam]], 1, 0))</f>
        <v>0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" s="2" t="str">
        <f>INDEX(Sheet5!$B$2:$AG$33, MATCH(Table2[[#This Row],[AwayTeam]],Sheet5!$A$2:$A$33, 0), MATCH(Table2[[#This Row],[HomeTeam]],Sheet5!$A$2:$A$33, 0))</f>
        <v>0-0-0</v>
      </c>
      <c r="AP43" s="2" t="str">
        <f>INDEX(Sheet5!$B$2:$AG$33, MATCH(Table2[[#This Row],[HomeTeam]],Sheet5!$A$2:$A$33, 0), MATCH(Table2[[#This Row],[AwayTeam]],Sheet5!$A$2:$A$33, 0))</f>
        <v>0-0-0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1</v>
      </c>
      <c r="AU43" s="2"/>
      <c r="AV43" s="2"/>
    </row>
    <row r="44" spans="1:60" x14ac:dyDescent="0.25">
      <c r="A44" s="3"/>
      <c r="B44" s="3">
        <v>45943</v>
      </c>
      <c r="C44" s="5">
        <v>2025020042</v>
      </c>
      <c r="D44" s="2" t="s">
        <v>21</v>
      </c>
      <c r="E44" s="2" t="s">
        <v>32</v>
      </c>
      <c r="F44" s="2"/>
      <c r="G44" s="2"/>
      <c r="H44" s="2" t="str">
        <f t="shared" si="0"/>
        <v>_</v>
      </c>
      <c r="I44" s="2"/>
      <c r="J44" s="2"/>
      <c r="K44" s="2"/>
      <c r="L44" s="2" t="str">
        <f t="shared" si="1"/>
        <v>_</v>
      </c>
      <c r="M44" s="2"/>
      <c r="N44" s="2">
        <f>IF(ISBLANK(Table2[[#This Row],[ActualResult]]), 0, 1)</f>
        <v>0</v>
      </c>
      <c r="O44" s="2" t="str">
        <f>IF(ISBLANK(Table2[[#This Row],[ActualResult]]), "_", IF(Table2[[#This Row],[ActualWinner]]=Table2[[#This Row],[PredictedWinner]], "Y", "N"))</f>
        <v>_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" s="2"/>
      <c r="S44" s="2" t="str">
        <f t="shared" si="2"/>
        <v>_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45">
        <f>IF(AND(Table2[[#This Row],[GameIsOver]]=1,Table2[[#This Row],[ActualHomeScore]]*Table2[[#This Row],[ActualAwayScore]]=0), 1,0)</f>
        <v>0</v>
      </c>
      <c r="AA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0</v>
      </c>
      <c r="AG44" s="2">
        <f>Table2[[#This Row],[ActualHomeScore]]-Table2[[#This Row],[PredictedHomeScore]]</f>
        <v>0</v>
      </c>
      <c r="AH44" s="2">
        <f t="shared" si="3"/>
        <v>0</v>
      </c>
      <c r="AI44" s="2">
        <f t="shared" si="4"/>
        <v>0</v>
      </c>
      <c r="AJ44" s="2"/>
      <c r="AK44" s="2"/>
      <c r="AL44" s="2">
        <f>IF(Table2[[#This Row],[GameIsOver]]=0,0,IF(Table2[[#This Row],[ActualWinner]]=Table2[[#This Row],[AwayTeam]], 1, 0))</f>
        <v>0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" s="2" t="str">
        <f>INDEX(Sheet5!$B$2:$AG$33, MATCH(Table2[[#This Row],[AwayTeam]],Sheet5!$A$2:$A$33, 0), MATCH(Table2[[#This Row],[HomeTeam]],Sheet5!$A$2:$A$33, 0))</f>
        <v>0-0-0</v>
      </c>
      <c r="AP44" s="2" t="str">
        <f>INDEX(Sheet5!$B$2:$AG$33, MATCH(Table2[[#This Row],[HomeTeam]],Sheet5!$A$2:$A$33, 0), MATCH(Table2[[#This Row],[AwayTeam]],Sheet5!$A$2:$A$33, 0))</f>
        <v>0-0-0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1</v>
      </c>
      <c r="AU44" s="2"/>
      <c r="AV44" s="2"/>
    </row>
    <row r="45" spans="1:60" x14ac:dyDescent="0.25">
      <c r="A45" s="3"/>
      <c r="B45" s="3">
        <v>45943</v>
      </c>
      <c r="C45" s="5">
        <v>2025020043</v>
      </c>
      <c r="D45" s="2" t="s">
        <v>30</v>
      </c>
      <c r="E45" s="2" t="s">
        <v>17</v>
      </c>
      <c r="F45" s="2"/>
      <c r="G45" s="2"/>
      <c r="H45" s="2" t="str">
        <f t="shared" si="0"/>
        <v>_</v>
      </c>
      <c r="I45" s="2"/>
      <c r="J45" s="2"/>
      <c r="K45" s="2"/>
      <c r="L45" s="2" t="str">
        <f t="shared" si="1"/>
        <v>_</v>
      </c>
      <c r="M45" s="2"/>
      <c r="N45" s="2">
        <f>IF(ISBLANK(Table2[[#This Row],[ActualResult]]), 0, 1)</f>
        <v>0</v>
      </c>
      <c r="O45" s="2" t="str">
        <f>IF(ISBLANK(Table2[[#This Row],[ActualResult]]), "_", IF(Table2[[#This Row],[ActualWinner]]=Table2[[#This Row],[PredictedWinner]], "Y", "N"))</f>
        <v>_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" s="2"/>
      <c r="S45" s="2" t="str">
        <f t="shared" si="2"/>
        <v>_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/>
      <c r="Y45" s="2"/>
      <c r="Z45" s="145">
        <f>IF(AND(Table2[[#This Row],[GameIsOver]]=1,Table2[[#This Row],[ActualHomeScore]]*Table2[[#This Row],[ActualAwayScore]]=0), 1,0)</f>
        <v>0</v>
      </c>
      <c r="AA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0</v>
      </c>
      <c r="AG45" s="2">
        <f>Table2[[#This Row],[ActualHomeScore]]-Table2[[#This Row],[PredictedHomeScore]]</f>
        <v>0</v>
      </c>
      <c r="AH45" s="2">
        <f t="shared" si="3"/>
        <v>0</v>
      </c>
      <c r="AI45" s="2">
        <f t="shared" si="4"/>
        <v>0</v>
      </c>
      <c r="AJ45" s="2"/>
      <c r="AK45" s="2"/>
      <c r="AL45" s="2">
        <f>IF(Table2[[#This Row],[GameIsOver]]=0,0,IF(Table2[[#This Row],[ActualWinner]]=Table2[[#This Row],[AwayTeam]], 1, 0))</f>
        <v>0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" s="2" t="str">
        <f>INDEX(Sheet5!$B$2:$AG$33, MATCH(Table2[[#This Row],[AwayTeam]],Sheet5!$A$2:$A$33, 0), MATCH(Table2[[#This Row],[HomeTeam]],Sheet5!$A$2:$A$33, 0))</f>
        <v>0-0-0</v>
      </c>
      <c r="AP45" s="2" t="str">
        <f>INDEX(Sheet5!$B$2:$AG$33, MATCH(Table2[[#This Row],[HomeTeam]],Sheet5!$A$2:$A$33, 0), MATCH(Table2[[#This Row],[AwayTeam]],Sheet5!$A$2:$A$33, 0))</f>
        <v>0-0-0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1</v>
      </c>
      <c r="AU45" s="2"/>
      <c r="AV45" s="2"/>
    </row>
    <row r="46" spans="1:60" ht="15.75" thickBot="1" x14ac:dyDescent="0.3">
      <c r="A46" s="3"/>
      <c r="B46" s="3">
        <v>45943</v>
      </c>
      <c r="C46" s="5">
        <v>2025020044</v>
      </c>
      <c r="D46" s="2" t="s">
        <v>13</v>
      </c>
      <c r="E46" s="2" t="s">
        <v>42</v>
      </c>
      <c r="F46" s="2"/>
      <c r="G46" s="2"/>
      <c r="H46" s="2" t="str">
        <f t="shared" si="0"/>
        <v>_</v>
      </c>
      <c r="I46" s="2"/>
      <c r="J46" s="2"/>
      <c r="K46" s="2"/>
      <c r="L46" s="2" t="str">
        <f t="shared" si="1"/>
        <v>_</v>
      </c>
      <c r="M46" s="2"/>
      <c r="N46" s="2">
        <f>IF(ISBLANK(Table2[[#This Row],[ActualResult]]), 0, 1)</f>
        <v>0</v>
      </c>
      <c r="O46" s="2" t="str">
        <f>IF(ISBLANK(Table2[[#This Row],[ActualResult]]), "_", IF(Table2[[#This Row],[ActualWinner]]=Table2[[#This Row],[PredictedWinner]], "Y", "N"))</f>
        <v>_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" s="2"/>
      <c r="S46" s="2" t="str">
        <f t="shared" si="2"/>
        <v>_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45">
        <f>IF(AND(Table2[[#This Row],[GameIsOver]]=1,Table2[[#This Row],[ActualHomeScore]]*Table2[[#This Row],[ActualAwayScore]]=0), 1,0)</f>
        <v>0</v>
      </c>
      <c r="AA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0</v>
      </c>
      <c r="AG46" s="2">
        <f>Table2[[#This Row],[ActualHomeScore]]-Table2[[#This Row],[PredictedHomeScore]]</f>
        <v>0</v>
      </c>
      <c r="AH46" s="2">
        <f t="shared" si="3"/>
        <v>0</v>
      </c>
      <c r="AI46" s="2">
        <f t="shared" si="4"/>
        <v>0</v>
      </c>
      <c r="AJ46" s="2"/>
      <c r="AK46" s="2"/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0</v>
      </c>
      <c r="AN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" s="2" t="str">
        <f>INDEX(Sheet5!$B$2:$AG$33, MATCH(Table2[[#This Row],[AwayTeam]],Sheet5!$A$2:$A$33, 0), MATCH(Table2[[#This Row],[HomeTeam]],Sheet5!$A$2:$A$33, 0))</f>
        <v>0-0-0</v>
      </c>
      <c r="AP46" s="2" t="str">
        <f>INDEX(Sheet5!$B$2:$AG$33, MATCH(Table2[[#This Row],[HomeTeam]],Sheet5!$A$2:$A$33, 0), MATCH(Table2[[#This Row],[AwayTeam]],Sheet5!$A$2:$A$33, 0))</f>
        <v>0-0-0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1</v>
      </c>
      <c r="AU46" s="2"/>
      <c r="AV46" s="2"/>
      <c r="BD46" s="2" t="s">
        <v>509</v>
      </c>
    </row>
    <row r="47" spans="1:60" x14ac:dyDescent="0.25">
      <c r="A47" s="3"/>
      <c r="B47" s="3">
        <v>45943</v>
      </c>
      <c r="C47" s="5">
        <v>2025020045</v>
      </c>
      <c r="D47" s="2" t="s">
        <v>31</v>
      </c>
      <c r="E47" s="2" t="s">
        <v>35</v>
      </c>
      <c r="F47" s="2"/>
      <c r="G47" s="2"/>
      <c r="H47" s="2" t="str">
        <f t="shared" si="0"/>
        <v>_</v>
      </c>
      <c r="I47" s="2"/>
      <c r="J47" s="2"/>
      <c r="K47" s="2"/>
      <c r="L47" s="2" t="str">
        <f t="shared" si="1"/>
        <v>_</v>
      </c>
      <c r="M47" s="2"/>
      <c r="N47" s="2">
        <f>IF(ISBLANK(Table2[[#This Row],[ActualResult]]), 0, 1)</f>
        <v>0</v>
      </c>
      <c r="O47" s="2" t="str">
        <f>IF(ISBLANK(Table2[[#This Row],[ActualResult]]), "_", IF(Table2[[#This Row],[ActualWinner]]=Table2[[#This Row],[PredictedWinner]], "Y", "N"))</f>
        <v>_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" s="2"/>
      <c r="S47" s="2" t="str">
        <f t="shared" si="2"/>
        <v>_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45">
        <f>IF(AND(Table2[[#This Row],[GameIsOver]]=1,Table2[[#This Row],[ActualHomeScore]]*Table2[[#This Row],[ActualAwayScore]]=0), 1,0)</f>
        <v>0</v>
      </c>
      <c r="AA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0</v>
      </c>
      <c r="AG47" s="2">
        <f>Table2[[#This Row],[ActualHomeScore]]-Table2[[#This Row],[PredictedHomeScore]]</f>
        <v>0</v>
      </c>
      <c r="AH47" s="2">
        <f t="shared" si="3"/>
        <v>0</v>
      </c>
      <c r="AI47" s="2">
        <f t="shared" si="4"/>
        <v>0</v>
      </c>
      <c r="AJ47" s="2"/>
      <c r="AK47" s="2"/>
      <c r="AL47" s="2">
        <f>IF(Table2[[#This Row],[GameIsOver]]=0,0,IF(Table2[[#This Row],[ActualWinner]]=Table2[[#This Row],[AwayTeam]], 1, 0))</f>
        <v>0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" s="2" t="str">
        <f>INDEX(Sheet5!$B$2:$AG$33, MATCH(Table2[[#This Row],[AwayTeam]],Sheet5!$A$2:$A$33, 0), MATCH(Table2[[#This Row],[HomeTeam]],Sheet5!$A$2:$A$33, 0))</f>
        <v>0-0-0</v>
      </c>
      <c r="AP47" s="2" t="str">
        <f>INDEX(Sheet5!$B$2:$AG$33, MATCH(Table2[[#This Row],[HomeTeam]],Sheet5!$A$2:$A$33, 0), MATCH(Table2[[#This Row],[AwayTeam]],Sheet5!$A$2:$A$33, 0))</f>
        <v>0-0-0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1</v>
      </c>
      <c r="AU47" s="2"/>
      <c r="AV47" s="2"/>
      <c r="BD47" s="66" t="s">
        <v>29</v>
      </c>
      <c r="BF47" s="66" t="s">
        <v>13</v>
      </c>
    </row>
    <row r="48" spans="1:60" x14ac:dyDescent="0.25">
      <c r="A48" s="3"/>
      <c r="B48" s="3">
        <v>45943</v>
      </c>
      <c r="C48" s="5">
        <v>2025020046</v>
      </c>
      <c r="D48" s="2" t="s">
        <v>12</v>
      </c>
      <c r="E48" s="2" t="s">
        <v>24</v>
      </c>
      <c r="F48" s="2"/>
      <c r="G48" s="2"/>
      <c r="H48" s="2" t="str">
        <f t="shared" si="0"/>
        <v>_</v>
      </c>
      <c r="I48" s="2"/>
      <c r="J48" s="2"/>
      <c r="K48" s="2"/>
      <c r="L48" s="2" t="str">
        <f t="shared" si="1"/>
        <v>_</v>
      </c>
      <c r="M48" s="2"/>
      <c r="N48" s="2">
        <f>IF(ISBLANK(Table2[[#This Row],[ActualResult]]), 0, 1)</f>
        <v>0</v>
      </c>
      <c r="O48" s="2" t="str">
        <f>IF(ISBLANK(Table2[[#This Row],[ActualResult]]), "_", IF(Table2[[#This Row],[ActualWinner]]=Table2[[#This Row],[PredictedWinner]], "Y", "N"))</f>
        <v>_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" s="2"/>
      <c r="S48" s="2" t="str">
        <f t="shared" si="2"/>
        <v>_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/>
      <c r="Y48" s="2"/>
      <c r="Z48" s="145">
        <f>IF(AND(Table2[[#This Row],[GameIsOver]]=1,Table2[[#This Row],[ActualHomeScore]]*Table2[[#This Row],[ActualAwayScore]]=0), 1,0)</f>
        <v>0</v>
      </c>
      <c r="AA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0</v>
      </c>
      <c r="AG48" s="2">
        <f>Table2[[#This Row],[ActualHomeScore]]-Table2[[#This Row],[PredictedHomeScore]]</f>
        <v>0</v>
      </c>
      <c r="AH48" s="2">
        <f t="shared" si="3"/>
        <v>0</v>
      </c>
      <c r="AI48" s="2">
        <f t="shared" si="4"/>
        <v>0</v>
      </c>
      <c r="AJ48" s="2"/>
      <c r="AK48" s="2"/>
      <c r="AL48" s="2">
        <f>IF(Table2[[#This Row],[GameIsOver]]=0,0,IF(Table2[[#This Row],[ActualWinner]]=Table2[[#This Row],[AwayTeam]], 1, 0))</f>
        <v>0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" s="2" t="str">
        <f>INDEX(Sheet5!$B$2:$AG$33, MATCH(Table2[[#This Row],[AwayTeam]],Sheet5!$A$2:$A$33, 0), MATCH(Table2[[#This Row],[HomeTeam]],Sheet5!$A$2:$A$33, 0))</f>
        <v>0-0-0</v>
      </c>
      <c r="AP48" s="2" t="str">
        <f>INDEX(Sheet5!$B$2:$AG$33, MATCH(Table2[[#This Row],[HomeTeam]],Sheet5!$A$2:$A$33, 0), MATCH(Table2[[#This Row],[AwayTeam]],Sheet5!$A$2:$A$33, 0))</f>
        <v>0-0-0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1</v>
      </c>
      <c r="AU48" s="2"/>
      <c r="AV48" s="2"/>
      <c r="BD48" s="67" t="s">
        <v>17</v>
      </c>
      <c r="BF48" s="67" t="s">
        <v>26</v>
      </c>
    </row>
    <row r="49" spans="1:58" x14ac:dyDescent="0.25">
      <c r="A49" s="3"/>
      <c r="B49" s="3">
        <v>45944</v>
      </c>
      <c r="C49" s="5">
        <v>2025020047</v>
      </c>
      <c r="D49" s="2" t="s">
        <v>27</v>
      </c>
      <c r="E49" s="2" t="s">
        <v>36</v>
      </c>
      <c r="F49" s="2"/>
      <c r="G49" s="2"/>
      <c r="H49" s="2" t="str">
        <f t="shared" si="0"/>
        <v>_</v>
      </c>
      <c r="I49" s="2"/>
      <c r="J49" s="2"/>
      <c r="K49" s="2"/>
      <c r="L49" s="2" t="str">
        <f t="shared" si="1"/>
        <v>_</v>
      </c>
      <c r="M49" s="2"/>
      <c r="N49" s="2">
        <f>IF(ISBLANK(Table2[[#This Row],[ActualResult]]), 0, 1)</f>
        <v>0</v>
      </c>
      <c r="O49" s="2" t="str">
        <f>IF(ISBLANK(Table2[[#This Row],[ActualResult]]), "_", IF(Table2[[#This Row],[ActualWinner]]=Table2[[#This Row],[PredictedWinner]], "Y", "N"))</f>
        <v>_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" s="2"/>
      <c r="S49" s="2" t="str">
        <f t="shared" si="2"/>
        <v>_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45">
        <f>IF(AND(Table2[[#This Row],[GameIsOver]]=1,Table2[[#This Row],[ActualHomeScore]]*Table2[[#This Row],[ActualAwayScore]]=0), 1,0)</f>
        <v>0</v>
      </c>
      <c r="AA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9" s="2">
        <f>Table2[[#This Row],[ActualAwayScore]]-Table2[[#This Row],[PredictedAwayScore]]</f>
        <v>0</v>
      </c>
      <c r="AG49" s="2">
        <f>Table2[[#This Row],[ActualHomeScore]]-Table2[[#This Row],[PredictedHomeScore]]</f>
        <v>0</v>
      </c>
      <c r="AH49" s="2">
        <f t="shared" si="3"/>
        <v>0</v>
      </c>
      <c r="AI49" s="2">
        <f t="shared" si="4"/>
        <v>0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0</v>
      </c>
      <c r="AN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" s="2" t="str">
        <f>INDEX(Sheet5!$B$2:$AG$33, MATCH(Table2[[#This Row],[AwayTeam]],Sheet5!$A$2:$A$33, 0), MATCH(Table2[[#This Row],[HomeTeam]],Sheet5!$A$2:$A$33, 0))</f>
        <v>0-0-0</v>
      </c>
      <c r="AP49" s="2" t="str">
        <f>INDEX(Sheet5!$B$2:$AG$33, MATCH(Table2[[#This Row],[HomeTeam]],Sheet5!$A$2:$A$33, 0), MATCH(Table2[[#This Row],[AwayTeam]],Sheet5!$A$2:$A$33, 0))</f>
        <v>0-0-0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1</v>
      </c>
      <c r="AU49" s="2"/>
      <c r="AV49" s="2"/>
      <c r="BD49" s="67" t="s">
        <v>18</v>
      </c>
      <c r="BF49" s="67" t="s">
        <v>25</v>
      </c>
    </row>
    <row r="50" spans="1:58" x14ac:dyDescent="0.25">
      <c r="A50" s="3"/>
      <c r="B50" s="3">
        <v>45944</v>
      </c>
      <c r="C50" s="5">
        <v>2025020048</v>
      </c>
      <c r="D50" s="2" t="s">
        <v>14</v>
      </c>
      <c r="E50" s="2" t="s">
        <v>16</v>
      </c>
      <c r="F50" s="2"/>
      <c r="G50" s="2"/>
      <c r="H50" s="2" t="str">
        <f t="shared" si="0"/>
        <v>_</v>
      </c>
      <c r="I50" s="2"/>
      <c r="J50" s="2"/>
      <c r="K50" s="2"/>
      <c r="L50" s="2" t="str">
        <f t="shared" si="1"/>
        <v>_</v>
      </c>
      <c r="M50" s="2"/>
      <c r="N50" s="2">
        <f>IF(ISBLANK(Table2[[#This Row],[ActualResult]]), 0, 1)</f>
        <v>0</v>
      </c>
      <c r="O50" s="2" t="str">
        <f>IF(ISBLANK(Table2[[#This Row],[ActualResult]]), "_", IF(Table2[[#This Row],[ActualWinner]]=Table2[[#This Row],[PredictedWinner]], "Y", "N"))</f>
        <v>_</v>
      </c>
      <c r="P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" s="2"/>
      <c r="S50" s="2" t="str">
        <f t="shared" si="2"/>
        <v>_</v>
      </c>
      <c r="T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2">
        <f>IF(Table2[[#This Row],[InterConf]]=1,IF(Table2[[#This Row],[InterDiv]]=0, 1, 0), 0)</f>
        <v>0</v>
      </c>
      <c r="W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2"/>
      <c r="Y50" s="2"/>
      <c r="Z50" s="145">
        <f>IF(AND(Table2[[#This Row],[GameIsOver]]=1,Table2[[#This Row],[ActualHomeScore]]*Table2[[#This Row],[ActualAwayScore]]=0), 1,0)</f>
        <v>0</v>
      </c>
      <c r="AA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0" s="2">
        <f>Table2[[#This Row],[ActualAwayScore]]-Table2[[#This Row],[PredictedAwayScore]]</f>
        <v>0</v>
      </c>
      <c r="AG50" s="2">
        <f>Table2[[#This Row],[ActualHomeScore]]-Table2[[#This Row],[PredictedHomeScore]]</f>
        <v>0</v>
      </c>
      <c r="AH50" s="2">
        <f t="shared" si="3"/>
        <v>0</v>
      </c>
      <c r="AI50" s="2">
        <f t="shared" si="4"/>
        <v>0</v>
      </c>
      <c r="AJ50" s="2"/>
      <c r="AK50" s="2"/>
      <c r="AL50" s="2">
        <f>IF(Table2[[#This Row],[GameIsOver]]=0,0,IF(Table2[[#This Row],[ActualWinner]]=Table2[[#This Row],[AwayTeam]], 1, 0))</f>
        <v>0</v>
      </c>
      <c r="AM50" s="2">
        <f>IF(Table2[[#This Row],[GameIsOver]]=0,0,IF(Table2[[#This Row],[ActualWinner]]=Table2[[#This Row],[HomeTeam]], 1, 0))</f>
        <v>0</v>
      </c>
      <c r="AN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" s="2" t="str">
        <f>INDEX(Sheet5!$B$2:$AG$33, MATCH(Table2[[#This Row],[AwayTeam]],Sheet5!$A$2:$A$33, 0), MATCH(Table2[[#This Row],[HomeTeam]],Sheet5!$A$2:$A$33, 0))</f>
        <v>0-0-0</v>
      </c>
      <c r="AP50" s="2" t="str">
        <f>INDEX(Sheet5!$B$2:$AG$33, MATCH(Table2[[#This Row],[HomeTeam]],Sheet5!$A$2:$A$33, 0), MATCH(Table2[[#This Row],[AwayTeam]],Sheet5!$A$2:$A$33, 0))</f>
        <v>0-0-0</v>
      </c>
      <c r="AQ50" s="2">
        <f>IF(Table2[[#This Row],[GameHasShutOut]], 1, 0)</f>
        <v>0</v>
      </c>
      <c r="AR50" s="2">
        <f>IF(Table2[[#This Row],[ActualAwayScore]] + Table2[[#This Row],[ActualHomeScore]] &gt;= 10, 1, 0)</f>
        <v>0</v>
      </c>
      <c r="AS50" s="2">
        <f>IF(ABS(Table2[[#This Row],[ActualAwayScore]]-Table2[[#This Row],[ActualHomeScore]])&gt;=5, 1, 0)</f>
        <v>0</v>
      </c>
      <c r="AT50" s="2">
        <f>IF(Table2[[#This Row],[ActualAwayScore]] + Table2[[#This Row],[ActualHomeScore]] &lt;= 3, 1, 0)</f>
        <v>1</v>
      </c>
      <c r="AU50" s="2"/>
      <c r="AV50" s="2"/>
      <c r="BD50" s="67" t="s">
        <v>21</v>
      </c>
      <c r="BF50" s="67" t="s">
        <v>40</v>
      </c>
    </row>
    <row r="51" spans="1:58" x14ac:dyDescent="0.25">
      <c r="A51" s="3"/>
      <c r="B51" s="3">
        <v>45944</v>
      </c>
      <c r="C51" s="5">
        <v>2025020049</v>
      </c>
      <c r="D51" s="2" t="s">
        <v>34</v>
      </c>
      <c r="E51" s="2" t="s">
        <v>17</v>
      </c>
      <c r="F51" s="2"/>
      <c r="G51" s="2"/>
      <c r="H51" s="2" t="str">
        <f t="shared" si="0"/>
        <v>_</v>
      </c>
      <c r="I51" s="2"/>
      <c r="J51" s="2"/>
      <c r="K51" s="2"/>
      <c r="L51" s="2" t="str">
        <f t="shared" si="1"/>
        <v>_</v>
      </c>
      <c r="M51" s="2"/>
      <c r="N51" s="2">
        <f>IF(ISBLANK(Table2[[#This Row],[ActualResult]]), 0, 1)</f>
        <v>0</v>
      </c>
      <c r="O51" s="2" t="str">
        <f>IF(ISBLANK(Table2[[#This Row],[ActualResult]]), "_", IF(Table2[[#This Row],[ActualWinner]]=Table2[[#This Row],[PredictedWinner]], "Y", "N"))</f>
        <v>_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" s="2"/>
      <c r="S51" s="2" t="str">
        <f t="shared" si="2"/>
        <v>_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45">
        <f>IF(AND(Table2[[#This Row],[GameIsOver]]=1,Table2[[#This Row],[ActualHomeScore]]*Table2[[#This Row],[ActualAwayScore]]=0), 1,0)</f>
        <v>0</v>
      </c>
      <c r="AA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0</v>
      </c>
      <c r="AG51" s="2">
        <f>Table2[[#This Row],[ActualHomeScore]]-Table2[[#This Row],[PredictedHomeScore]]</f>
        <v>0</v>
      </c>
      <c r="AH51" s="2">
        <f t="shared" si="3"/>
        <v>0</v>
      </c>
      <c r="AI51" s="2">
        <f t="shared" si="4"/>
        <v>0</v>
      </c>
      <c r="AJ51" s="2"/>
      <c r="AK51" s="2"/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0</v>
      </c>
      <c r="AN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" s="2" t="str">
        <f>INDEX(Sheet5!$B$2:$AG$33, MATCH(Table2[[#This Row],[AwayTeam]],Sheet5!$A$2:$A$33, 0), MATCH(Table2[[#This Row],[HomeTeam]],Sheet5!$A$2:$A$33, 0))</f>
        <v>0-0-0</v>
      </c>
      <c r="AP51" s="2" t="str">
        <f>INDEX(Sheet5!$B$2:$AG$33, MATCH(Table2[[#This Row],[HomeTeam]],Sheet5!$A$2:$A$33, 0), MATCH(Table2[[#This Row],[AwayTeam]],Sheet5!$A$2:$A$33, 0))</f>
        <v>0-0-0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0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1</v>
      </c>
      <c r="AU51" s="2"/>
      <c r="AV51" s="2"/>
      <c r="BD51" s="67" t="s">
        <v>22</v>
      </c>
      <c r="BF51" s="67" t="s">
        <v>12</v>
      </c>
    </row>
    <row r="52" spans="1:58" x14ac:dyDescent="0.25">
      <c r="A52" s="3"/>
      <c r="B52" s="3">
        <v>45944</v>
      </c>
      <c r="C52" s="5">
        <v>2025020050</v>
      </c>
      <c r="D52" s="2" t="s">
        <v>11</v>
      </c>
      <c r="E52" s="2" t="s">
        <v>18</v>
      </c>
      <c r="F52" s="2"/>
      <c r="G52" s="2"/>
      <c r="H52" s="2" t="str">
        <f t="shared" si="0"/>
        <v>_</v>
      </c>
      <c r="I52" s="2"/>
      <c r="J52" s="2"/>
      <c r="K52" s="2"/>
      <c r="L52" s="2" t="str">
        <f t="shared" si="1"/>
        <v>_</v>
      </c>
      <c r="M52" s="2"/>
      <c r="N52" s="2">
        <f>IF(ISBLANK(Table2[[#This Row],[ActualResult]]), 0, 1)</f>
        <v>0</v>
      </c>
      <c r="O52" s="2" t="str">
        <f>IF(ISBLANK(Table2[[#This Row],[ActualResult]]), "_", IF(Table2[[#This Row],[ActualWinner]]=Table2[[#This Row],[PredictedWinner]], "Y", "N"))</f>
        <v>_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" s="2"/>
      <c r="S52" s="2" t="str">
        <f t="shared" si="2"/>
        <v>_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45">
        <f>IF(AND(Table2[[#This Row],[GameIsOver]]=1,Table2[[#This Row],[ActualHomeScore]]*Table2[[#This Row],[ActualAwayScore]]=0), 1,0)</f>
        <v>0</v>
      </c>
      <c r="AA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0</v>
      </c>
      <c r="AG52" s="2">
        <f>Table2[[#This Row],[ActualHomeScore]]-Table2[[#This Row],[PredictedHomeScore]]</f>
        <v>0</v>
      </c>
      <c r="AH52" s="2">
        <f t="shared" si="3"/>
        <v>0</v>
      </c>
      <c r="AI52" s="2">
        <f t="shared" si="4"/>
        <v>0</v>
      </c>
      <c r="AJ52" s="2"/>
      <c r="AK52" s="2"/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0</v>
      </c>
      <c r="AN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" s="2" t="str">
        <f>INDEX(Sheet5!$B$2:$AG$33, MATCH(Table2[[#This Row],[AwayTeam]],Sheet5!$A$2:$A$33, 0), MATCH(Table2[[#This Row],[HomeTeam]],Sheet5!$A$2:$A$33, 0))</f>
        <v>0-0-0</v>
      </c>
      <c r="AP52" s="2" t="str">
        <f>INDEX(Sheet5!$B$2:$AG$33, MATCH(Table2[[#This Row],[HomeTeam]],Sheet5!$A$2:$A$33, 0), MATCH(Table2[[#This Row],[AwayTeam]],Sheet5!$A$2:$A$33, 0))</f>
        <v>0-0-0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1</v>
      </c>
      <c r="AU52" s="2"/>
      <c r="AV52" s="2"/>
      <c r="BD52" s="67" t="s">
        <v>24</v>
      </c>
      <c r="BF52" s="67" t="s">
        <v>43</v>
      </c>
    </row>
    <row r="53" spans="1:58" x14ac:dyDescent="0.25">
      <c r="A53" s="3"/>
      <c r="B53" s="3">
        <v>45944</v>
      </c>
      <c r="C53" s="5">
        <v>2025020051</v>
      </c>
      <c r="D53" s="2" t="s">
        <v>22</v>
      </c>
      <c r="E53" s="2" t="s">
        <v>19</v>
      </c>
      <c r="F53" s="2"/>
      <c r="G53" s="2"/>
      <c r="H53" s="2" t="str">
        <f t="shared" si="0"/>
        <v>_</v>
      </c>
      <c r="I53" s="2"/>
      <c r="J53" s="2"/>
      <c r="K53" s="2"/>
      <c r="L53" s="2" t="str">
        <f t="shared" si="1"/>
        <v>_</v>
      </c>
      <c r="M53" s="2"/>
      <c r="N53" s="2">
        <f>IF(ISBLANK(Table2[[#This Row],[ActualResult]]), 0, 1)</f>
        <v>0</v>
      </c>
      <c r="O53" s="2" t="str">
        <f>IF(ISBLANK(Table2[[#This Row],[ActualResult]]), "_", IF(Table2[[#This Row],[ActualWinner]]=Table2[[#This Row],[PredictedWinner]], "Y", "N"))</f>
        <v>_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" s="2"/>
      <c r="S53" s="2" t="str">
        <f t="shared" si="2"/>
        <v>_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45">
        <f>IF(AND(Table2[[#This Row],[GameIsOver]]=1,Table2[[#This Row],[ActualHomeScore]]*Table2[[#This Row],[ActualAwayScore]]=0), 1,0)</f>
        <v>0</v>
      </c>
      <c r="AA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0</v>
      </c>
      <c r="AG53" s="2">
        <f>Table2[[#This Row],[ActualHomeScore]]-Table2[[#This Row],[PredictedHomeScore]]</f>
        <v>0</v>
      </c>
      <c r="AH53" s="2">
        <f t="shared" si="3"/>
        <v>0</v>
      </c>
      <c r="AI53" s="2">
        <f t="shared" si="4"/>
        <v>0</v>
      </c>
      <c r="AJ53" s="2"/>
      <c r="AK53" s="2"/>
      <c r="AL53" s="2">
        <f>IF(Table2[[#This Row],[GameIsOver]]=0,0,IF(Table2[[#This Row],[ActualWinner]]=Table2[[#This Row],[AwayTeam]], 1, 0))</f>
        <v>0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" s="2" t="str">
        <f>INDEX(Sheet5!$B$2:$AG$33, MATCH(Table2[[#This Row],[AwayTeam]],Sheet5!$A$2:$A$33, 0), MATCH(Table2[[#This Row],[HomeTeam]],Sheet5!$A$2:$A$33, 0))</f>
        <v>0-0-0</v>
      </c>
      <c r="AP53" s="2" t="str">
        <f>INDEX(Sheet5!$B$2:$AG$33, MATCH(Table2[[#This Row],[HomeTeam]],Sheet5!$A$2:$A$33, 0), MATCH(Table2[[#This Row],[AwayTeam]],Sheet5!$A$2:$A$33, 0))</f>
        <v>0-0-0</v>
      </c>
      <c r="AQ53" s="2">
        <f>IF(Table2[[#This Row],[GameHasShutOut]], 1, 0)</f>
        <v>0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/>
      <c r="AV53" s="2"/>
      <c r="BD53" s="67" t="s">
        <v>23</v>
      </c>
      <c r="BF53" s="67" t="s">
        <v>20</v>
      </c>
    </row>
    <row r="54" spans="1:58" x14ac:dyDescent="0.25">
      <c r="A54" s="3"/>
      <c r="B54" s="3">
        <v>45944</v>
      </c>
      <c r="C54" s="5">
        <v>2025020052</v>
      </c>
      <c r="D54" s="2" t="s">
        <v>40</v>
      </c>
      <c r="E54" s="2" t="s">
        <v>43</v>
      </c>
      <c r="F54" s="2"/>
      <c r="G54" s="2"/>
      <c r="H54" s="2" t="str">
        <f t="shared" si="0"/>
        <v>_</v>
      </c>
      <c r="I54" s="2"/>
      <c r="J54" s="2"/>
      <c r="K54" s="2"/>
      <c r="L54" s="2" t="str">
        <f t="shared" si="1"/>
        <v>_</v>
      </c>
      <c r="M54" s="2"/>
      <c r="N54" s="2">
        <f>IF(ISBLANK(Table2[[#This Row],[ActualResult]]), 0, 1)</f>
        <v>0</v>
      </c>
      <c r="O54" s="2" t="str">
        <f>IF(ISBLANK(Table2[[#This Row],[ActualResult]]), "_", IF(Table2[[#This Row],[ActualWinner]]=Table2[[#This Row],[PredictedWinner]], "Y", "N"))</f>
        <v>_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" s="2"/>
      <c r="S54" s="2" t="str">
        <f t="shared" si="2"/>
        <v>_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45">
        <f>IF(AND(Table2[[#This Row],[GameIsOver]]=1,Table2[[#This Row],[ActualHomeScore]]*Table2[[#This Row],[ActualAwayScore]]=0), 1,0)</f>
        <v>0</v>
      </c>
      <c r="AA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0</v>
      </c>
      <c r="AH54" s="2">
        <f t="shared" si="3"/>
        <v>0</v>
      </c>
      <c r="AI54" s="2">
        <f t="shared" si="4"/>
        <v>0</v>
      </c>
      <c r="AJ54" s="2"/>
      <c r="AK54" s="2"/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0</v>
      </c>
      <c r="AN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" s="2" t="str">
        <f>INDEX(Sheet5!$B$2:$AG$33, MATCH(Table2[[#This Row],[AwayTeam]],Sheet5!$A$2:$A$33, 0), MATCH(Table2[[#This Row],[HomeTeam]],Sheet5!$A$2:$A$33, 0))</f>
        <v>0-0-0</v>
      </c>
      <c r="AP54" s="2" t="str">
        <f>INDEX(Sheet5!$B$2:$AG$33, MATCH(Table2[[#This Row],[HomeTeam]],Sheet5!$A$2:$A$33, 0), MATCH(Table2[[#This Row],[AwayTeam]],Sheet5!$A$2:$A$33, 0))</f>
        <v>0-0-0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1</v>
      </c>
      <c r="AU54" s="2"/>
      <c r="AV54" s="2"/>
      <c r="BD54" s="67"/>
      <c r="BF54" s="67" t="s">
        <v>16</v>
      </c>
    </row>
    <row r="55" spans="1:58" x14ac:dyDescent="0.25">
      <c r="A55" s="3"/>
      <c r="B55" s="3">
        <v>45945</v>
      </c>
      <c r="C55" s="5">
        <v>2025020053</v>
      </c>
      <c r="D55" s="2" t="s">
        <v>26</v>
      </c>
      <c r="E55" s="2" t="s">
        <v>23</v>
      </c>
      <c r="F55" s="2"/>
      <c r="G55" s="2"/>
      <c r="H55" s="2" t="str">
        <f t="shared" si="0"/>
        <v>_</v>
      </c>
      <c r="I55" s="2"/>
      <c r="J55" s="2"/>
      <c r="K55" s="2"/>
      <c r="L55" s="2" t="str">
        <f t="shared" si="1"/>
        <v>_</v>
      </c>
      <c r="M55" s="2"/>
      <c r="N55" s="2">
        <f>IF(ISBLANK(Table2[[#This Row],[ActualResult]]), 0, 1)</f>
        <v>0</v>
      </c>
      <c r="O55" s="2" t="str">
        <f>IF(ISBLANK(Table2[[#This Row],[ActualResult]]), "_", IF(Table2[[#This Row],[ActualWinner]]=Table2[[#This Row],[PredictedWinner]], "Y", "N"))</f>
        <v>_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" s="2"/>
      <c r="S55" s="2" t="str">
        <f t="shared" si="2"/>
        <v>_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45">
        <f>IF(AND(Table2[[#This Row],[GameIsOver]]=1,Table2[[#This Row],[ActualHomeScore]]*Table2[[#This Row],[ActualAwayScore]]=0), 1,0)</f>
        <v>0</v>
      </c>
      <c r="AA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5" s="2">
        <f>Table2[[#This Row],[ActualAwayScore]]-Table2[[#This Row],[PredictedAwayScore]]</f>
        <v>0</v>
      </c>
      <c r="AG55" s="2">
        <f>Table2[[#This Row],[ActualHomeScore]]-Table2[[#This Row],[PredictedHomeScore]]</f>
        <v>0</v>
      </c>
      <c r="AH55" s="2">
        <f t="shared" si="3"/>
        <v>0</v>
      </c>
      <c r="AI55" s="2">
        <f t="shared" si="4"/>
        <v>0</v>
      </c>
      <c r="AJ55" s="2"/>
      <c r="AK55" s="2"/>
      <c r="AL55" s="2">
        <f>IF(Table2[[#This Row],[GameIsOver]]=0,0,IF(Table2[[#This Row],[ActualWinner]]=Table2[[#This Row],[AwayTeam]], 1, 0))</f>
        <v>0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55" s="2" t="str">
        <f>INDEX(Sheet5!$B$2:$AG$33, MATCH(Table2[[#This Row],[AwayTeam]],Sheet5!$A$2:$A$33, 0), MATCH(Table2[[#This Row],[HomeTeam]],Sheet5!$A$2:$A$33, 0))</f>
        <v>0-0-0</v>
      </c>
      <c r="AP55" s="2" t="str">
        <f>INDEX(Sheet5!$B$2:$AG$33, MATCH(Table2[[#This Row],[HomeTeam]],Sheet5!$A$2:$A$33, 0), MATCH(Table2[[#This Row],[AwayTeam]],Sheet5!$A$2:$A$33, 0))</f>
        <v>0-0-0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1</v>
      </c>
      <c r="AU55" s="2"/>
      <c r="AV55" s="2"/>
      <c r="BD55" s="67"/>
      <c r="BF55" s="67"/>
    </row>
    <row r="56" spans="1:58" ht="15.75" thickBot="1" x14ac:dyDescent="0.3">
      <c r="A56" s="3"/>
      <c r="B56" s="3">
        <v>45945</v>
      </c>
      <c r="C56" s="5">
        <v>2025020054</v>
      </c>
      <c r="D56" s="2" t="s">
        <v>36</v>
      </c>
      <c r="E56" s="2" t="s">
        <v>33</v>
      </c>
      <c r="F56" s="2"/>
      <c r="G56" s="2"/>
      <c r="H56" s="2" t="str">
        <f t="shared" si="0"/>
        <v>_</v>
      </c>
      <c r="I56" s="2"/>
      <c r="J56" s="2"/>
      <c r="K56" s="2"/>
      <c r="L56" s="2" t="str">
        <f t="shared" si="1"/>
        <v>_</v>
      </c>
      <c r="M56" s="2"/>
      <c r="N56" s="2">
        <f>IF(ISBLANK(Table2[[#This Row],[ActualResult]]), 0, 1)</f>
        <v>0</v>
      </c>
      <c r="O56" s="2" t="str">
        <f>IF(ISBLANK(Table2[[#This Row],[ActualResult]]), "_", IF(Table2[[#This Row],[ActualWinner]]=Table2[[#This Row],[PredictedWinner]], "Y", "N"))</f>
        <v>_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" s="2"/>
      <c r="S56" s="2" t="str">
        <f t="shared" si="2"/>
        <v>_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45">
        <f>IF(AND(Table2[[#This Row],[GameIsOver]]=1,Table2[[#This Row],[ActualHomeScore]]*Table2[[#This Row],[ActualAwayScore]]=0), 1,0)</f>
        <v>0</v>
      </c>
      <c r="AA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 t="shared" si="3"/>
        <v>0</v>
      </c>
      <c r="AI56" s="2">
        <f t="shared" si="4"/>
        <v>0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0</v>
      </c>
      <c r="AN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" s="2" t="str">
        <f>INDEX(Sheet5!$B$2:$AG$33, MATCH(Table2[[#This Row],[AwayTeam]],Sheet5!$A$2:$A$33, 0), MATCH(Table2[[#This Row],[HomeTeam]],Sheet5!$A$2:$A$33, 0))</f>
        <v>0-0-0</v>
      </c>
      <c r="AP56" s="2" t="str">
        <f>INDEX(Sheet5!$B$2:$AG$33, MATCH(Table2[[#This Row],[HomeTeam]],Sheet5!$A$2:$A$33, 0), MATCH(Table2[[#This Row],[AwayTeam]],Sheet5!$A$2:$A$33, 0))</f>
        <v>0-0-0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1</v>
      </c>
      <c r="AU56" s="2"/>
      <c r="AV56" s="2"/>
      <c r="BD56" s="68"/>
      <c r="BF56" s="68"/>
    </row>
    <row r="57" spans="1:58" x14ac:dyDescent="0.25">
      <c r="A57" s="3"/>
      <c r="B57" s="3">
        <v>45945</v>
      </c>
      <c r="C57" s="5">
        <v>2025020055</v>
      </c>
      <c r="D57" s="2" t="s">
        <v>41</v>
      </c>
      <c r="E57" s="2" t="s">
        <v>37</v>
      </c>
      <c r="F57" s="2"/>
      <c r="G57" s="2"/>
      <c r="H57" s="2" t="str">
        <f t="shared" si="0"/>
        <v>_</v>
      </c>
      <c r="I57" s="2"/>
      <c r="J57" s="2"/>
      <c r="K57" s="2"/>
      <c r="L57" s="2" t="str">
        <f t="shared" si="1"/>
        <v>_</v>
      </c>
      <c r="M57" s="2"/>
      <c r="N57" s="2">
        <f>IF(ISBLANK(Table2[[#This Row],[ActualResult]]), 0, 1)</f>
        <v>0</v>
      </c>
      <c r="O57" s="2" t="str">
        <f>IF(ISBLANK(Table2[[#This Row],[ActualResult]]), "_", IF(Table2[[#This Row],[ActualWinner]]=Table2[[#This Row],[PredictedWinner]], "Y", "N"))</f>
        <v>_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" s="2"/>
      <c r="S57" s="2" t="str">
        <f t="shared" si="2"/>
        <v>_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45">
        <f>IF(AND(Table2[[#This Row],[GameIsOver]]=1,Table2[[#This Row],[ActualHomeScore]]*Table2[[#This Row],[ActualAwayScore]]=0), 1,0)</f>
        <v>0</v>
      </c>
      <c r="AA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" s="2">
        <f>Table2[[#This Row],[ActualAwayScore]]-Table2[[#This Row],[PredictedAwayScore]]</f>
        <v>0</v>
      </c>
      <c r="AG57" s="2">
        <f>Table2[[#This Row],[ActualHomeScore]]-Table2[[#This Row],[PredictedHomeScore]]</f>
        <v>0</v>
      </c>
      <c r="AH57" s="2">
        <f t="shared" si="3"/>
        <v>0</v>
      </c>
      <c r="AI57" s="2">
        <f t="shared" si="4"/>
        <v>0</v>
      </c>
      <c r="AJ57" s="2"/>
      <c r="AK57" s="2"/>
      <c r="AL57" s="2">
        <f>IF(Table2[[#This Row],[GameIsOver]]=0,0,IF(Table2[[#This Row],[ActualWinner]]=Table2[[#This Row],[AwayTeam]], 1, 0))</f>
        <v>0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" s="2" t="str">
        <f>INDEX(Sheet5!$B$2:$AG$33, MATCH(Table2[[#This Row],[AwayTeam]],Sheet5!$A$2:$A$33, 0), MATCH(Table2[[#This Row],[HomeTeam]],Sheet5!$A$2:$A$33, 0))</f>
        <v>0-0-0</v>
      </c>
      <c r="AP57" s="2" t="str">
        <f>INDEX(Sheet5!$B$2:$AG$33, MATCH(Table2[[#This Row],[HomeTeam]],Sheet5!$A$2:$A$33, 0), MATCH(Table2[[#This Row],[AwayTeam]],Sheet5!$A$2:$A$33, 0))</f>
        <v>0-0-0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1</v>
      </c>
      <c r="AU57" s="2"/>
      <c r="AV57" s="2"/>
    </row>
    <row r="58" spans="1:58" x14ac:dyDescent="0.25">
      <c r="A58" s="3"/>
      <c r="B58" s="3">
        <v>45945</v>
      </c>
      <c r="C58" s="5">
        <v>2025020056</v>
      </c>
      <c r="D58" s="2" t="s">
        <v>20</v>
      </c>
      <c r="E58" s="2" t="s">
        <v>44</v>
      </c>
      <c r="F58" s="2"/>
      <c r="G58" s="2"/>
      <c r="H58" s="2" t="str">
        <f t="shared" si="0"/>
        <v>_</v>
      </c>
      <c r="I58" s="2"/>
      <c r="J58" s="2"/>
      <c r="K58" s="2"/>
      <c r="L58" s="2" t="str">
        <f t="shared" si="1"/>
        <v>_</v>
      </c>
      <c r="M58" s="2"/>
      <c r="N58" s="2">
        <f>IF(ISBLANK(Table2[[#This Row],[ActualResult]]), 0, 1)</f>
        <v>0</v>
      </c>
      <c r="O58" s="2" t="str">
        <f>IF(ISBLANK(Table2[[#This Row],[ActualResult]]), "_", IF(Table2[[#This Row],[ActualWinner]]=Table2[[#This Row],[PredictedWinner]], "Y", "N"))</f>
        <v>_</v>
      </c>
      <c r="P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" s="2"/>
      <c r="S58" s="2" t="str">
        <f t="shared" si="2"/>
        <v>_</v>
      </c>
      <c r="T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2">
        <f>IF(Table2[[#This Row],[InterConf]]=1,IF(Table2[[#This Row],[InterDiv]]=0, 1, 0), 0)</f>
        <v>0</v>
      </c>
      <c r="W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2"/>
      <c r="Y58" s="2"/>
      <c r="Z58" s="145">
        <f>IF(AND(Table2[[#This Row],[GameIsOver]]=1,Table2[[#This Row],[ActualHomeScore]]*Table2[[#This Row],[ActualAwayScore]]=0), 1,0)</f>
        <v>0</v>
      </c>
      <c r="AA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" s="2">
        <f>Table2[[#This Row],[ActualAwayScore]]-Table2[[#This Row],[PredictedAwayScore]]</f>
        <v>0</v>
      </c>
      <c r="AG58" s="2">
        <f>Table2[[#This Row],[ActualHomeScore]]-Table2[[#This Row],[PredictedHomeScore]]</f>
        <v>0</v>
      </c>
      <c r="AH58" s="2">
        <f t="shared" si="3"/>
        <v>0</v>
      </c>
      <c r="AI58" s="2">
        <f t="shared" si="4"/>
        <v>0</v>
      </c>
      <c r="AJ58" s="2"/>
      <c r="AK58" s="2"/>
      <c r="AL58" s="2">
        <f>IF(Table2[[#This Row],[GameIsOver]]=0,0,IF(Table2[[#This Row],[ActualWinner]]=Table2[[#This Row],[AwayTeam]], 1, 0))</f>
        <v>0</v>
      </c>
      <c r="AM58" s="2">
        <f>IF(Table2[[#This Row],[GameIsOver]]=0,0,IF(Table2[[#This Row],[ActualWinner]]=Table2[[#This Row],[HomeTeam]], 1, 0))</f>
        <v>0</v>
      </c>
      <c r="AN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" s="2" t="str">
        <f>INDEX(Sheet5!$B$2:$AG$33, MATCH(Table2[[#This Row],[AwayTeam]],Sheet5!$A$2:$A$33, 0), MATCH(Table2[[#This Row],[HomeTeam]],Sheet5!$A$2:$A$33, 0))</f>
        <v>0-0-0</v>
      </c>
      <c r="AP58" s="2" t="str">
        <f>INDEX(Sheet5!$B$2:$AG$33, MATCH(Table2[[#This Row],[HomeTeam]],Sheet5!$A$2:$A$33, 0), MATCH(Table2[[#This Row],[AwayTeam]],Sheet5!$A$2:$A$33, 0))</f>
        <v>0-0-0</v>
      </c>
      <c r="AQ58" s="2">
        <f>IF(Table2[[#This Row],[GameHasShutOut]], 1, 0)</f>
        <v>0</v>
      </c>
      <c r="AR58" s="2">
        <f>IF(Table2[[#This Row],[ActualAwayScore]] + Table2[[#This Row],[ActualHomeScore]] &gt;= 10, 1, 0)</f>
        <v>0</v>
      </c>
      <c r="AS58" s="2">
        <f>IF(ABS(Table2[[#This Row],[ActualAwayScore]]-Table2[[#This Row],[ActualHomeScore]])&gt;=5, 1, 0)</f>
        <v>0</v>
      </c>
      <c r="AT58" s="2">
        <f>IF(Table2[[#This Row],[ActualAwayScore]] + Table2[[#This Row],[ActualHomeScore]] &lt;= 3, 1, 0)</f>
        <v>1</v>
      </c>
      <c r="AU58" s="2"/>
      <c r="AV58" s="2"/>
    </row>
    <row r="59" spans="1:58" x14ac:dyDescent="0.25">
      <c r="A59" s="3"/>
      <c r="B59" s="3">
        <v>45945</v>
      </c>
      <c r="C59" s="5">
        <v>2025020057</v>
      </c>
      <c r="D59" s="2" t="s">
        <v>29</v>
      </c>
      <c r="E59" s="2" t="s">
        <v>28</v>
      </c>
      <c r="F59" s="2"/>
      <c r="G59" s="2"/>
      <c r="H59" s="2" t="str">
        <f t="shared" si="0"/>
        <v>_</v>
      </c>
      <c r="I59" s="2"/>
      <c r="J59" s="2"/>
      <c r="K59" s="2"/>
      <c r="L59" s="2" t="str">
        <f t="shared" si="1"/>
        <v>_</v>
      </c>
      <c r="M59" s="2"/>
      <c r="N59" s="2">
        <f>IF(ISBLANK(Table2[[#This Row],[ActualResult]]), 0, 1)</f>
        <v>0</v>
      </c>
      <c r="O59" s="2" t="str">
        <f>IF(ISBLANK(Table2[[#This Row],[ActualResult]]), "_", IF(Table2[[#This Row],[ActualWinner]]=Table2[[#This Row],[PredictedWinner]], "Y", "N"))</f>
        <v>_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" s="2"/>
      <c r="S59" s="2" t="str">
        <f t="shared" si="2"/>
        <v>_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45">
        <f>IF(AND(Table2[[#This Row],[GameIsOver]]=1,Table2[[#This Row],[ActualHomeScore]]*Table2[[#This Row],[ActualAwayScore]]=0), 1,0)</f>
        <v>0</v>
      </c>
      <c r="AA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0</v>
      </c>
      <c r="AH59" s="2">
        <f t="shared" si="3"/>
        <v>0</v>
      </c>
      <c r="AI59" s="2">
        <f t="shared" si="4"/>
        <v>0</v>
      </c>
      <c r="AJ59" s="2"/>
      <c r="AK59" s="2"/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0</v>
      </c>
      <c r="AN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" s="2" t="str">
        <f>INDEX(Sheet5!$B$2:$AG$33, MATCH(Table2[[#This Row],[AwayTeam]],Sheet5!$A$2:$A$33, 0), MATCH(Table2[[#This Row],[HomeTeam]],Sheet5!$A$2:$A$33, 0))</f>
        <v>0-0-0</v>
      </c>
      <c r="AP59" s="2" t="str">
        <f>INDEX(Sheet5!$B$2:$AG$33, MATCH(Table2[[#This Row],[HomeTeam]],Sheet5!$A$2:$A$33, 0), MATCH(Table2[[#This Row],[AwayTeam]],Sheet5!$A$2:$A$33, 0))</f>
        <v>0-0-0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0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1</v>
      </c>
      <c r="AU59" s="2"/>
      <c r="AV59" s="2"/>
    </row>
    <row r="60" spans="1:58" x14ac:dyDescent="0.25">
      <c r="A60" s="3"/>
      <c r="B60" s="3">
        <v>45945</v>
      </c>
      <c r="C60" s="5">
        <v>2025020058</v>
      </c>
      <c r="D60" s="2" t="s">
        <v>13</v>
      </c>
      <c r="E60" s="2" t="s">
        <v>30</v>
      </c>
      <c r="F60" s="2"/>
      <c r="G60" s="2"/>
      <c r="H60" s="2" t="str">
        <f t="shared" si="0"/>
        <v>_</v>
      </c>
      <c r="I60" s="2"/>
      <c r="J60" s="2"/>
      <c r="K60" s="2"/>
      <c r="L60" s="2" t="str">
        <f t="shared" si="1"/>
        <v>_</v>
      </c>
      <c r="M60" s="2"/>
      <c r="N60" s="2">
        <f>IF(ISBLANK(Table2[[#This Row],[ActualResult]]), 0, 1)</f>
        <v>0</v>
      </c>
      <c r="O60" s="2" t="str">
        <f>IF(ISBLANK(Table2[[#This Row],[ActualResult]]), "_", IF(Table2[[#This Row],[ActualWinner]]=Table2[[#This Row],[PredictedWinner]], "Y", "N"))</f>
        <v>_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" s="2"/>
      <c r="S60" s="2" t="str">
        <f t="shared" si="2"/>
        <v>_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45">
        <f>IF(AND(Table2[[#This Row],[GameIsOver]]=1,Table2[[#This Row],[ActualHomeScore]]*Table2[[#This Row],[ActualAwayScore]]=0), 1,0)</f>
        <v>0</v>
      </c>
      <c r="AA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0</v>
      </c>
      <c r="AG60" s="2">
        <f>Table2[[#This Row],[ActualHomeScore]]-Table2[[#This Row],[PredictedHomeScore]]</f>
        <v>0</v>
      </c>
      <c r="AH60" s="2">
        <f t="shared" si="3"/>
        <v>0</v>
      </c>
      <c r="AI60" s="2">
        <f t="shared" si="4"/>
        <v>0</v>
      </c>
      <c r="AJ60" s="2"/>
      <c r="AK60" s="2"/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0</v>
      </c>
      <c r="AN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" s="2" t="str">
        <f>INDEX(Sheet5!$B$2:$AG$33, MATCH(Table2[[#This Row],[AwayTeam]],Sheet5!$A$2:$A$33, 0), MATCH(Table2[[#This Row],[HomeTeam]],Sheet5!$A$2:$A$33, 0))</f>
        <v>0-0-0</v>
      </c>
      <c r="AP60" s="2" t="str">
        <f>INDEX(Sheet5!$B$2:$AG$33, MATCH(Table2[[#This Row],[HomeTeam]],Sheet5!$A$2:$A$33, 0), MATCH(Table2[[#This Row],[AwayTeam]],Sheet5!$A$2:$A$33, 0))</f>
        <v>0-0-0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1</v>
      </c>
      <c r="AU60" s="2"/>
      <c r="AV60" s="2"/>
    </row>
    <row r="61" spans="1:58" x14ac:dyDescent="0.25">
      <c r="A61" s="3"/>
      <c r="B61" s="3">
        <v>45946</v>
      </c>
      <c r="C61" s="5">
        <v>2025020059</v>
      </c>
      <c r="D61" s="2" t="s">
        <v>16</v>
      </c>
      <c r="E61" s="2" t="s">
        <v>12</v>
      </c>
      <c r="F61" s="2"/>
      <c r="G61" s="2"/>
      <c r="H61" s="2" t="str">
        <f t="shared" si="0"/>
        <v>_</v>
      </c>
      <c r="I61" s="2"/>
      <c r="J61" s="2"/>
      <c r="K61" s="2"/>
      <c r="L61" s="2" t="str">
        <f t="shared" si="1"/>
        <v>_</v>
      </c>
      <c r="M61" s="2"/>
      <c r="N61" s="2">
        <f>IF(ISBLANK(Table2[[#This Row],[ActualResult]]), 0, 1)</f>
        <v>0</v>
      </c>
      <c r="O61" s="2" t="str">
        <f>IF(ISBLANK(Table2[[#This Row],[ActualResult]]), "_", IF(Table2[[#This Row],[ActualWinner]]=Table2[[#This Row],[PredictedWinner]], "Y", "N"))</f>
        <v>_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" s="2"/>
      <c r="S61" s="2" t="str">
        <f t="shared" si="2"/>
        <v>_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45">
        <f>IF(AND(Table2[[#This Row],[GameIsOver]]=1,Table2[[#This Row],[ActualHomeScore]]*Table2[[#This Row],[ActualAwayScore]]=0), 1,0)</f>
        <v>0</v>
      </c>
      <c r="AA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1" s="2">
        <f>Table2[[#This Row],[ActualAwayScore]]-Table2[[#This Row],[PredictedAwayScore]]</f>
        <v>0</v>
      </c>
      <c r="AG61" s="2">
        <f>Table2[[#This Row],[ActualHomeScore]]-Table2[[#This Row],[PredictedHomeScore]]</f>
        <v>0</v>
      </c>
      <c r="AH61" s="2">
        <f t="shared" si="3"/>
        <v>0</v>
      </c>
      <c r="AI61" s="2">
        <f t="shared" si="4"/>
        <v>0</v>
      </c>
      <c r="AJ61" s="2"/>
      <c r="AK61" s="2"/>
      <c r="AL61" s="2">
        <f>IF(Table2[[#This Row],[GameIsOver]]=0,0,IF(Table2[[#This Row],[ActualWinner]]=Table2[[#This Row],[AwayTeam]], 1, 0))</f>
        <v>0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" s="2" t="str">
        <f>INDEX(Sheet5!$B$2:$AG$33, MATCH(Table2[[#This Row],[AwayTeam]],Sheet5!$A$2:$A$33, 0), MATCH(Table2[[#This Row],[HomeTeam]],Sheet5!$A$2:$A$33, 0))</f>
        <v>0-0-0</v>
      </c>
      <c r="AP61" s="2" t="str">
        <f>INDEX(Sheet5!$B$2:$AG$33, MATCH(Table2[[#This Row],[HomeTeam]],Sheet5!$A$2:$A$33, 0), MATCH(Table2[[#This Row],[AwayTeam]],Sheet5!$A$2:$A$33, 0))</f>
        <v>0-0-0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0</v>
      </c>
      <c r="AS61" s="2">
        <f>IF(ABS(Table2[[#This Row],[ActualAwayScore]]-Table2[[#This Row],[ActualHomeScore]])&gt;=5, 1, 0)</f>
        <v>0</v>
      </c>
      <c r="AT61" s="2">
        <f>IF(Table2[[#This Row],[ActualAwayScore]] + Table2[[#This Row],[ActualHomeScore]] &lt;= 3, 1, 0)</f>
        <v>1</v>
      </c>
      <c r="AU61" s="2"/>
      <c r="AV61" s="2"/>
    </row>
    <row r="62" spans="1:58" x14ac:dyDescent="0.25">
      <c r="A62" s="3"/>
      <c r="B62" s="3">
        <v>45946</v>
      </c>
      <c r="C62" s="5">
        <v>2025020060</v>
      </c>
      <c r="D62" s="2" t="s">
        <v>23</v>
      </c>
      <c r="E62" s="2" t="s">
        <v>14</v>
      </c>
      <c r="F62" s="2"/>
      <c r="G62" s="2"/>
      <c r="H62" s="2" t="str">
        <f t="shared" si="0"/>
        <v>_</v>
      </c>
      <c r="I62" s="2"/>
      <c r="J62" s="2"/>
      <c r="K62" s="2"/>
      <c r="L62" s="2" t="str">
        <f t="shared" si="1"/>
        <v>_</v>
      </c>
      <c r="M62" s="2"/>
      <c r="N62" s="2">
        <f>IF(ISBLANK(Table2[[#This Row],[ActualResult]]), 0, 1)</f>
        <v>0</v>
      </c>
      <c r="O62" s="2" t="str">
        <f>IF(ISBLANK(Table2[[#This Row],[ActualResult]]), "_", IF(Table2[[#This Row],[ActualWinner]]=Table2[[#This Row],[PredictedWinner]], "Y", "N"))</f>
        <v>_</v>
      </c>
      <c r="P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" s="2"/>
      <c r="S62" s="2" t="str">
        <f t="shared" si="2"/>
        <v>_</v>
      </c>
      <c r="T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2">
        <f>IF(Table2[[#This Row],[InterConf]]=1,IF(Table2[[#This Row],[InterDiv]]=0, 1, 0), 0)</f>
        <v>1</v>
      </c>
      <c r="W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2"/>
      <c r="Y62" s="2"/>
      <c r="Z62" s="145">
        <f>IF(AND(Table2[[#This Row],[GameIsOver]]=1,Table2[[#This Row],[ActualHomeScore]]*Table2[[#This Row],[ActualAwayScore]]=0), 1,0)</f>
        <v>0</v>
      </c>
      <c r="AA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" s="2">
        <f>Table2[[#This Row],[ActualAwayScore]]-Table2[[#This Row],[PredictedAwayScore]]</f>
        <v>0</v>
      </c>
      <c r="AG62" s="2">
        <f>Table2[[#This Row],[ActualHomeScore]]-Table2[[#This Row],[PredictedHomeScore]]</f>
        <v>0</v>
      </c>
      <c r="AH62" s="2">
        <f t="shared" si="3"/>
        <v>0</v>
      </c>
      <c r="AI62" s="2">
        <f t="shared" si="4"/>
        <v>0</v>
      </c>
      <c r="AJ62" s="2"/>
      <c r="AK62" s="2"/>
      <c r="AL62" s="2">
        <f>IF(Table2[[#This Row],[GameIsOver]]=0,0,IF(Table2[[#This Row],[ActualWinner]]=Table2[[#This Row],[AwayTeam]], 1, 0))</f>
        <v>0</v>
      </c>
      <c r="AM62" s="2">
        <f>IF(Table2[[#This Row],[GameIsOver]]=0,0,IF(Table2[[#This Row],[ActualWinner]]=Table2[[#This Row],[HomeTeam]], 1, 0))</f>
        <v>0</v>
      </c>
      <c r="AN62" s="2">
        <f>IF(IFERROR(FIND(Table2[[#This Row],[AwayTeam]], _xlfn.TEXTJOIN(";", 1, $BD$31:$BD$40)), 0) &gt; 0, 1, 0) + IF(IFERROR(FIND(Table2[[#This Row],[HomeTeam]], _xlfn.TEXTJOIN(";", 1, $BD$31:$BD$40)), 0) &gt; 0, 1, 0)</f>
        <v>1</v>
      </c>
      <c r="AO62" s="2" t="str">
        <f>INDEX(Sheet5!$B$2:$AG$33, MATCH(Table2[[#This Row],[AwayTeam]],Sheet5!$A$2:$A$33, 0), MATCH(Table2[[#This Row],[HomeTeam]],Sheet5!$A$2:$A$33, 0))</f>
        <v>0-0-0</v>
      </c>
      <c r="AP62" s="2" t="str">
        <f>INDEX(Sheet5!$B$2:$AG$33, MATCH(Table2[[#This Row],[HomeTeam]],Sheet5!$A$2:$A$33, 0), MATCH(Table2[[#This Row],[AwayTeam]],Sheet5!$A$2:$A$33, 0))</f>
        <v>0-0-0</v>
      </c>
      <c r="AQ62" s="2">
        <f>IF(Table2[[#This Row],[GameHasShutOut]], 1, 0)</f>
        <v>0</v>
      </c>
      <c r="AR62" s="2">
        <f>IF(Table2[[#This Row],[ActualAwayScore]] + Table2[[#This Row],[ActualHomeScore]] &gt;= 10, 1, 0)</f>
        <v>0</v>
      </c>
      <c r="AS62" s="2">
        <f>IF(ABS(Table2[[#This Row],[ActualAwayScore]]-Table2[[#This Row],[ActualHomeScore]])&gt;=5, 1, 0)</f>
        <v>0</v>
      </c>
      <c r="AT62" s="2">
        <f>IF(Table2[[#This Row],[ActualAwayScore]] + Table2[[#This Row],[ActualHomeScore]] &lt;= 3, 1, 0)</f>
        <v>1</v>
      </c>
      <c r="AU62" s="2"/>
      <c r="AV62" s="2"/>
    </row>
    <row r="63" spans="1:58" x14ac:dyDescent="0.25">
      <c r="A63" s="3"/>
      <c r="B63" s="3">
        <v>45946</v>
      </c>
      <c r="C63" s="5">
        <v>2025020061</v>
      </c>
      <c r="D63" s="2" t="s">
        <v>19</v>
      </c>
      <c r="E63" s="2" t="s">
        <v>17</v>
      </c>
      <c r="F63" s="2"/>
      <c r="G63" s="2"/>
      <c r="H63" s="2" t="str">
        <f t="shared" si="0"/>
        <v>_</v>
      </c>
      <c r="I63" s="2"/>
      <c r="J63" s="2"/>
      <c r="K63" s="2"/>
      <c r="L63" s="2" t="str">
        <f t="shared" si="1"/>
        <v>_</v>
      </c>
      <c r="M63" s="2"/>
      <c r="N63" s="2">
        <f>IF(ISBLANK(Table2[[#This Row],[ActualResult]]), 0, 1)</f>
        <v>0</v>
      </c>
      <c r="O63" s="2" t="str">
        <f>IF(ISBLANK(Table2[[#This Row],[ActualResult]]), "_", IF(Table2[[#This Row],[ActualWinner]]=Table2[[#This Row],[PredictedWinner]], "Y", "N"))</f>
        <v>_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" s="2"/>
      <c r="S63" s="2" t="str">
        <f t="shared" si="2"/>
        <v>_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45">
        <f>IF(AND(Table2[[#This Row],[GameIsOver]]=1,Table2[[#This Row],[ActualHomeScore]]*Table2[[#This Row],[ActualAwayScore]]=0), 1,0)</f>
        <v>0</v>
      </c>
      <c r="AA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0</v>
      </c>
      <c r="AG63" s="2">
        <f>Table2[[#This Row],[ActualHomeScore]]-Table2[[#This Row],[PredictedHomeScore]]</f>
        <v>0</v>
      </c>
      <c r="AH63" s="2">
        <f t="shared" si="3"/>
        <v>0</v>
      </c>
      <c r="AI63" s="2">
        <f t="shared" si="4"/>
        <v>0</v>
      </c>
      <c r="AJ63" s="2"/>
      <c r="AK63" s="2"/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0</v>
      </c>
      <c r="AN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" s="2" t="str">
        <f>INDEX(Sheet5!$B$2:$AG$33, MATCH(Table2[[#This Row],[AwayTeam]],Sheet5!$A$2:$A$33, 0), MATCH(Table2[[#This Row],[HomeTeam]],Sheet5!$A$2:$A$33, 0))</f>
        <v>0-0-0</v>
      </c>
      <c r="AP63" s="2" t="str">
        <f>INDEX(Sheet5!$B$2:$AG$33, MATCH(Table2[[#This Row],[HomeTeam]],Sheet5!$A$2:$A$33, 0), MATCH(Table2[[#This Row],[AwayTeam]],Sheet5!$A$2:$A$33, 0))</f>
        <v>0-0-0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2"/>
      <c r="AV63" s="2"/>
    </row>
    <row r="64" spans="1:58" x14ac:dyDescent="0.25">
      <c r="A64" s="3"/>
      <c r="B64" s="3">
        <v>45946</v>
      </c>
      <c r="C64" s="5">
        <v>2025020062</v>
      </c>
      <c r="D64" s="2" t="s">
        <v>34</v>
      </c>
      <c r="E64" s="2" t="s">
        <v>18</v>
      </c>
      <c r="F64" s="2"/>
      <c r="G64" s="2"/>
      <c r="H64" s="2" t="str">
        <f t="shared" si="0"/>
        <v>_</v>
      </c>
      <c r="I64" s="2"/>
      <c r="J64" s="2"/>
      <c r="K64" s="2"/>
      <c r="L64" s="2" t="str">
        <f t="shared" si="1"/>
        <v>_</v>
      </c>
      <c r="M64" s="2"/>
      <c r="N64" s="2">
        <f>IF(ISBLANK(Table2[[#This Row],[ActualResult]]), 0, 1)</f>
        <v>0</v>
      </c>
      <c r="O64" s="2" t="str">
        <f>IF(ISBLANK(Table2[[#This Row],[ActualResult]]), "_", IF(Table2[[#This Row],[ActualWinner]]=Table2[[#This Row],[PredictedWinner]], "Y", "N"))</f>
        <v>_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" s="2"/>
      <c r="S64" s="2" t="str">
        <f t="shared" si="2"/>
        <v>_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45">
        <f>IF(AND(Table2[[#This Row],[GameIsOver]]=1,Table2[[#This Row],[ActualHomeScore]]*Table2[[#This Row],[ActualAwayScore]]=0), 1,0)</f>
        <v>0</v>
      </c>
      <c r="AA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0</v>
      </c>
      <c r="AG64" s="2">
        <f>Table2[[#This Row],[ActualHomeScore]]-Table2[[#This Row],[PredictedHomeScore]]</f>
        <v>0</v>
      </c>
      <c r="AH64" s="2">
        <f t="shared" si="3"/>
        <v>0</v>
      </c>
      <c r="AI64" s="2">
        <f t="shared" si="4"/>
        <v>0</v>
      </c>
      <c r="AJ64" s="2"/>
      <c r="AK64" s="2"/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0</v>
      </c>
      <c r="AN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" s="2" t="str">
        <f>INDEX(Sheet5!$B$2:$AG$33, MATCH(Table2[[#This Row],[AwayTeam]],Sheet5!$A$2:$A$33, 0), MATCH(Table2[[#This Row],[HomeTeam]],Sheet5!$A$2:$A$33, 0))</f>
        <v>0-0-0</v>
      </c>
      <c r="AP64" s="2" t="str">
        <f>INDEX(Sheet5!$B$2:$AG$33, MATCH(Table2[[#This Row],[HomeTeam]],Sheet5!$A$2:$A$33, 0), MATCH(Table2[[#This Row],[AwayTeam]],Sheet5!$A$2:$A$33, 0))</f>
        <v>0-0-0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1</v>
      </c>
      <c r="AU64" s="2"/>
      <c r="AV64" s="2"/>
    </row>
    <row r="65" spans="1:48" x14ac:dyDescent="0.25">
      <c r="A65" s="3"/>
      <c r="B65" s="3">
        <v>45946</v>
      </c>
      <c r="C65" s="5">
        <v>2025020063</v>
      </c>
      <c r="D65" s="2" t="s">
        <v>11</v>
      </c>
      <c r="E65" s="2" t="s">
        <v>29</v>
      </c>
      <c r="F65" s="2"/>
      <c r="G65" s="2"/>
      <c r="H65" s="2" t="str">
        <f t="shared" si="0"/>
        <v>_</v>
      </c>
      <c r="I65" s="2"/>
      <c r="J65" s="2"/>
      <c r="K65" s="2"/>
      <c r="L65" s="2" t="str">
        <f t="shared" si="1"/>
        <v>_</v>
      </c>
      <c r="M65" s="2"/>
      <c r="N65" s="2">
        <f>IF(ISBLANK(Table2[[#This Row],[ActualResult]]), 0, 1)</f>
        <v>0</v>
      </c>
      <c r="O65" s="2" t="str">
        <f>IF(ISBLANK(Table2[[#This Row],[ActualResult]]), "_", IF(Table2[[#This Row],[ActualWinner]]=Table2[[#This Row],[PredictedWinner]], "Y", "N"))</f>
        <v>_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" s="2"/>
      <c r="S65" s="2" t="str">
        <f t="shared" si="2"/>
        <v>_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45">
        <f>IF(AND(Table2[[#This Row],[GameIsOver]]=1,Table2[[#This Row],[ActualHomeScore]]*Table2[[#This Row],[ActualAwayScore]]=0), 1,0)</f>
        <v>0</v>
      </c>
      <c r="AA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0</v>
      </c>
      <c r="AG65" s="2">
        <f>Table2[[#This Row],[ActualHomeScore]]-Table2[[#This Row],[PredictedHomeScore]]</f>
        <v>0</v>
      </c>
      <c r="AH65" s="2">
        <f t="shared" si="3"/>
        <v>0</v>
      </c>
      <c r="AI65" s="2">
        <f t="shared" si="4"/>
        <v>0</v>
      </c>
      <c r="AJ65" s="2"/>
      <c r="AK65" s="2"/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0</v>
      </c>
      <c r="AN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" s="2" t="str">
        <f>INDEX(Sheet5!$B$2:$AG$33, MATCH(Table2[[#This Row],[AwayTeam]],Sheet5!$A$2:$A$33, 0), MATCH(Table2[[#This Row],[HomeTeam]],Sheet5!$A$2:$A$33, 0))</f>
        <v>0-0-0</v>
      </c>
      <c r="AP65" s="2" t="str">
        <f>INDEX(Sheet5!$B$2:$AG$33, MATCH(Table2[[#This Row],[HomeTeam]],Sheet5!$A$2:$A$33, 0), MATCH(Table2[[#This Row],[AwayTeam]],Sheet5!$A$2:$A$33, 0))</f>
        <v>0-0-0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1</v>
      </c>
      <c r="AU65" s="2"/>
      <c r="AV65" s="2"/>
    </row>
    <row r="66" spans="1:48" x14ac:dyDescent="0.25">
      <c r="A66" s="3"/>
      <c r="B66" s="3">
        <v>45946</v>
      </c>
      <c r="C66" s="5">
        <v>2025020064</v>
      </c>
      <c r="D66" s="2" t="s">
        <v>13</v>
      </c>
      <c r="E66" s="2" t="s">
        <v>31</v>
      </c>
      <c r="F66" s="2"/>
      <c r="G66" s="2"/>
      <c r="H66" s="2" t="str">
        <f t="shared" si="0"/>
        <v>_</v>
      </c>
      <c r="I66" s="2"/>
      <c r="J66" s="2"/>
      <c r="K66" s="2"/>
      <c r="L66" s="2" t="str">
        <f t="shared" si="1"/>
        <v>_</v>
      </c>
      <c r="M66" s="2"/>
      <c r="N66" s="2">
        <f>IF(ISBLANK(Table2[[#This Row],[ActualResult]]), 0, 1)</f>
        <v>0</v>
      </c>
      <c r="O66" s="2" t="str">
        <f>IF(ISBLANK(Table2[[#This Row],[ActualResult]]), "_", IF(Table2[[#This Row],[ActualWinner]]=Table2[[#This Row],[PredictedWinner]], "Y", "N"))</f>
        <v>_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" s="2"/>
      <c r="S66" s="2" t="str">
        <f t="shared" si="2"/>
        <v>_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45">
        <f>IF(AND(Table2[[#This Row],[GameIsOver]]=1,Table2[[#This Row],[ActualHomeScore]]*Table2[[#This Row],[ActualAwayScore]]=0), 1,0)</f>
        <v>0</v>
      </c>
      <c r="AA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0</v>
      </c>
      <c r="AH66" s="2">
        <f t="shared" si="3"/>
        <v>0</v>
      </c>
      <c r="AI66" s="2">
        <f t="shared" si="4"/>
        <v>0</v>
      </c>
      <c r="AJ66" s="2"/>
      <c r="AK66" s="2"/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0</v>
      </c>
      <c r="AN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" s="2" t="str">
        <f>INDEX(Sheet5!$B$2:$AG$33, MATCH(Table2[[#This Row],[AwayTeam]],Sheet5!$A$2:$A$33, 0), MATCH(Table2[[#This Row],[HomeTeam]],Sheet5!$A$2:$A$33, 0))</f>
        <v>0-0-0</v>
      </c>
      <c r="AP66" s="2" t="str">
        <f>INDEX(Sheet5!$B$2:$AG$33, MATCH(Table2[[#This Row],[HomeTeam]],Sheet5!$A$2:$A$33, 0), MATCH(Table2[[#This Row],[AwayTeam]],Sheet5!$A$2:$A$33, 0))</f>
        <v>0-0-0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1</v>
      </c>
      <c r="AU66" s="2"/>
      <c r="AV66" s="2"/>
    </row>
    <row r="67" spans="1:48" x14ac:dyDescent="0.25">
      <c r="A67" s="3"/>
      <c r="B67" s="3">
        <v>45946</v>
      </c>
      <c r="C67" s="5">
        <v>2025020065</v>
      </c>
      <c r="D67" s="2" t="s">
        <v>22</v>
      </c>
      <c r="E67" s="2" t="s">
        <v>32</v>
      </c>
      <c r="F67" s="2"/>
      <c r="G67" s="2"/>
      <c r="H67" s="2" t="str">
        <f t="shared" ref="H67:H130" si="9">IF(AND(ISBLANK($F67),ISBLANK($G67)),"_",IF($F67&gt;$G67,$D67,$E67))</f>
        <v>_</v>
      </c>
      <c r="I67" s="2"/>
      <c r="J67" s="2"/>
      <c r="K67" s="2"/>
      <c r="L67" s="2" t="str">
        <f t="shared" ref="L67:L130" si="10">IF(OR($J67=$K67,AND(ISBLANK($J67),ISBLANK($K67))),"_",IF($J67&gt;$K67,$D67,$E67))</f>
        <v>_</v>
      </c>
      <c r="M67" s="2"/>
      <c r="N67" s="2">
        <f>IF(ISBLANK(Table2[[#This Row],[ActualResult]]), 0, 1)</f>
        <v>0</v>
      </c>
      <c r="O67" s="2" t="str">
        <f>IF(ISBLANK(Table2[[#This Row],[ActualResult]]), "_", IF(Table2[[#This Row],[ActualWinner]]=Table2[[#This Row],[PredictedWinner]], "Y", "N"))</f>
        <v>_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" s="2"/>
      <c r="S67" s="2" t="str">
        <f t="shared" ref="S67:S130" si="11">IF($L67="_", "_", IF($L67=$D67,$E67,$D67))</f>
        <v>_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45">
        <f>IF(AND(Table2[[#This Row],[GameIsOver]]=1,Table2[[#This Row],[ActualHomeScore]]*Table2[[#This Row],[ActualAwayScore]]=0), 1,0)</f>
        <v>0</v>
      </c>
      <c r="AA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0</v>
      </c>
      <c r="AH67" s="2">
        <f t="shared" ref="AH67:AH130" si="12">SUMIF($B$3:$B$1315, $B67, $AF$3:$AF$1315)</f>
        <v>0</v>
      </c>
      <c r="AI67" s="2">
        <f t="shared" ref="AI67:AI130" si="13">SUMIF($B$3:$B$1315, $B67, $AG$3:$AG$1315)</f>
        <v>0</v>
      </c>
      <c r="AJ67" s="2"/>
      <c r="AK67" s="2"/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0</v>
      </c>
      <c r="AN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" s="2" t="str">
        <f>INDEX(Sheet5!$B$2:$AG$33, MATCH(Table2[[#This Row],[AwayTeam]],Sheet5!$A$2:$A$33, 0), MATCH(Table2[[#This Row],[HomeTeam]],Sheet5!$A$2:$A$33, 0))</f>
        <v>0-0-0</v>
      </c>
      <c r="AP67" s="2" t="str">
        <f>INDEX(Sheet5!$B$2:$AG$33, MATCH(Table2[[#This Row],[HomeTeam]],Sheet5!$A$2:$A$33, 0), MATCH(Table2[[#This Row],[AwayTeam]],Sheet5!$A$2:$A$33, 0))</f>
        <v>0-0-0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1</v>
      </c>
      <c r="AU67" s="2"/>
      <c r="AV67" s="2"/>
    </row>
    <row r="68" spans="1:48" x14ac:dyDescent="0.25">
      <c r="A68" s="3"/>
      <c r="B68" s="3">
        <v>45946</v>
      </c>
      <c r="C68" s="5">
        <v>2025020066</v>
      </c>
      <c r="D68" s="2" t="s">
        <v>21</v>
      </c>
      <c r="E68" s="2" t="s">
        <v>42</v>
      </c>
      <c r="F68" s="2"/>
      <c r="G68" s="2"/>
      <c r="H68" s="2" t="str">
        <f t="shared" si="9"/>
        <v>_</v>
      </c>
      <c r="I68" s="2"/>
      <c r="J68" s="2"/>
      <c r="K68" s="2"/>
      <c r="L68" s="2" t="str">
        <f t="shared" si="10"/>
        <v>_</v>
      </c>
      <c r="M68" s="2"/>
      <c r="N68" s="2">
        <f>IF(ISBLANK(Table2[[#This Row],[ActualResult]]), 0, 1)</f>
        <v>0</v>
      </c>
      <c r="O68" s="2" t="str">
        <f>IF(ISBLANK(Table2[[#This Row],[ActualResult]]), "_", IF(Table2[[#This Row],[ActualWinner]]=Table2[[#This Row],[PredictedWinner]], "Y", "N"))</f>
        <v>_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" s="2"/>
      <c r="S68" s="2" t="str">
        <f t="shared" si="11"/>
        <v>_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45">
        <f>IF(AND(Table2[[#This Row],[GameIsOver]]=1,Table2[[#This Row],[ActualHomeScore]]*Table2[[#This Row],[ActualAwayScore]]=0), 1,0)</f>
        <v>0</v>
      </c>
      <c r="AA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 t="shared" si="12"/>
        <v>0</v>
      </c>
      <c r="AI68" s="2">
        <f t="shared" si="13"/>
        <v>0</v>
      </c>
      <c r="AJ68" s="2"/>
      <c r="AK68" s="2"/>
      <c r="AL68" s="2">
        <f>IF(Table2[[#This Row],[GameIsOver]]=0,0,IF(Table2[[#This Row],[ActualWinner]]=Table2[[#This Row],[AwayTeam]], 1, 0))</f>
        <v>0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" s="2" t="str">
        <f>INDEX(Sheet5!$B$2:$AG$33, MATCH(Table2[[#This Row],[AwayTeam]],Sheet5!$A$2:$A$33, 0), MATCH(Table2[[#This Row],[HomeTeam]],Sheet5!$A$2:$A$33, 0))</f>
        <v>0-0-0</v>
      </c>
      <c r="AP68" s="2" t="str">
        <f>INDEX(Sheet5!$B$2:$AG$33, MATCH(Table2[[#This Row],[HomeTeam]],Sheet5!$A$2:$A$33, 0), MATCH(Table2[[#This Row],[AwayTeam]],Sheet5!$A$2:$A$33, 0))</f>
        <v>0-0-0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1</v>
      </c>
      <c r="AU68" s="2"/>
      <c r="AV68" s="2"/>
    </row>
    <row r="69" spans="1:48" x14ac:dyDescent="0.25">
      <c r="A69" s="3"/>
      <c r="B69" s="3">
        <v>45946</v>
      </c>
      <c r="C69" s="5">
        <v>2025020067</v>
      </c>
      <c r="D69" s="2" t="s">
        <v>25</v>
      </c>
      <c r="E69" s="2" t="s">
        <v>35</v>
      </c>
      <c r="F69" s="2"/>
      <c r="G69" s="2"/>
      <c r="H69" s="2" t="str">
        <f t="shared" si="9"/>
        <v>_</v>
      </c>
      <c r="I69" s="2"/>
      <c r="J69" s="2"/>
      <c r="K69" s="2"/>
      <c r="L69" s="2" t="str">
        <f t="shared" si="10"/>
        <v>_</v>
      </c>
      <c r="M69" s="2"/>
      <c r="N69" s="2">
        <f>IF(ISBLANK(Table2[[#This Row],[ActualResult]]), 0, 1)</f>
        <v>0</v>
      </c>
      <c r="O69" s="2" t="str">
        <f>IF(ISBLANK(Table2[[#This Row],[ActualResult]]), "_", IF(Table2[[#This Row],[ActualWinner]]=Table2[[#This Row],[PredictedWinner]], "Y", "N"))</f>
        <v>_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" s="2"/>
      <c r="S69" s="2" t="str">
        <f t="shared" si="11"/>
        <v>_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45">
        <f>IF(AND(Table2[[#This Row],[GameIsOver]]=1,Table2[[#This Row],[ActualHomeScore]]*Table2[[#This Row],[ActualAwayScore]]=0), 1,0)</f>
        <v>0</v>
      </c>
      <c r="AA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0</v>
      </c>
      <c r="AG69" s="2">
        <f>Table2[[#This Row],[ActualHomeScore]]-Table2[[#This Row],[PredictedHomeScore]]</f>
        <v>0</v>
      </c>
      <c r="AH69" s="2">
        <f t="shared" si="12"/>
        <v>0</v>
      </c>
      <c r="AI69" s="2">
        <f t="shared" si="13"/>
        <v>0</v>
      </c>
      <c r="AJ69" s="2"/>
      <c r="AK69" s="2"/>
      <c r="AL69" s="2">
        <f>IF(Table2[[#This Row],[GameIsOver]]=0,0,IF(Table2[[#This Row],[ActualWinner]]=Table2[[#This Row],[AwayTeam]], 1, 0))</f>
        <v>0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" s="2" t="str">
        <f>INDEX(Sheet5!$B$2:$AG$33, MATCH(Table2[[#This Row],[AwayTeam]],Sheet5!$A$2:$A$33, 0), MATCH(Table2[[#This Row],[HomeTeam]],Sheet5!$A$2:$A$33, 0))</f>
        <v>0-0-0</v>
      </c>
      <c r="AP69" s="2" t="str">
        <f>INDEX(Sheet5!$B$2:$AG$33, MATCH(Table2[[#This Row],[HomeTeam]],Sheet5!$A$2:$A$33, 0), MATCH(Table2[[#This Row],[AwayTeam]],Sheet5!$A$2:$A$33, 0))</f>
        <v>0-0-0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1</v>
      </c>
      <c r="AU69" s="2"/>
      <c r="AV69" s="2"/>
    </row>
    <row r="70" spans="1:48" x14ac:dyDescent="0.25">
      <c r="A70" s="3"/>
      <c r="B70" s="3">
        <v>45947</v>
      </c>
      <c r="C70" s="5">
        <v>2025020068</v>
      </c>
      <c r="D70" s="2" t="s">
        <v>24</v>
      </c>
      <c r="E70" s="2" t="s">
        <v>33</v>
      </c>
      <c r="F70" s="2"/>
      <c r="G70" s="2"/>
      <c r="H70" s="2" t="str">
        <f t="shared" si="9"/>
        <v>_</v>
      </c>
      <c r="I70" s="2"/>
      <c r="J70" s="2"/>
      <c r="K70" s="2"/>
      <c r="L70" s="2" t="str">
        <f t="shared" si="10"/>
        <v>_</v>
      </c>
      <c r="M70" s="2"/>
      <c r="N70" s="2">
        <f>IF(ISBLANK(Table2[[#This Row],[ActualResult]]), 0, 1)</f>
        <v>0</v>
      </c>
      <c r="O70" s="2" t="str">
        <f>IF(ISBLANK(Table2[[#This Row],[ActualResult]]), "_", IF(Table2[[#This Row],[ActualWinner]]=Table2[[#This Row],[PredictedWinner]], "Y", "N"))</f>
        <v>_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" s="2"/>
      <c r="S70" s="2" t="str">
        <f t="shared" si="11"/>
        <v>_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45">
        <f>IF(AND(Table2[[#This Row],[GameIsOver]]=1,Table2[[#This Row],[ActualHomeScore]]*Table2[[#This Row],[ActualAwayScore]]=0), 1,0)</f>
        <v>0</v>
      </c>
      <c r="AA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0" s="2">
        <f>Table2[[#This Row],[ActualAwayScore]]-Table2[[#This Row],[PredictedAwayScore]]</f>
        <v>0</v>
      </c>
      <c r="AG70" s="2">
        <f>Table2[[#This Row],[ActualHomeScore]]-Table2[[#This Row],[PredictedHomeScore]]</f>
        <v>0</v>
      </c>
      <c r="AH70" s="2">
        <f t="shared" si="12"/>
        <v>0</v>
      </c>
      <c r="AI70" s="2">
        <f t="shared" si="13"/>
        <v>0</v>
      </c>
      <c r="AJ70" s="2"/>
      <c r="AK70" s="2"/>
      <c r="AL70" s="2">
        <f>IF(Table2[[#This Row],[GameIsOver]]=0,0,IF(Table2[[#This Row],[ActualWinner]]=Table2[[#This Row],[AwayTeam]], 1, 0))</f>
        <v>0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" s="2" t="str">
        <f>INDEX(Sheet5!$B$2:$AG$33, MATCH(Table2[[#This Row],[AwayTeam]],Sheet5!$A$2:$A$33, 0), MATCH(Table2[[#This Row],[HomeTeam]],Sheet5!$A$2:$A$33, 0))</f>
        <v>0-0-0</v>
      </c>
      <c r="AP70" s="2" t="str">
        <f>INDEX(Sheet5!$B$2:$AG$33, MATCH(Table2[[#This Row],[HomeTeam]],Sheet5!$A$2:$A$33, 0), MATCH(Table2[[#This Row],[AwayTeam]],Sheet5!$A$2:$A$33, 0))</f>
        <v>0-0-0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1</v>
      </c>
      <c r="AU70" s="2"/>
      <c r="AV70" s="2"/>
    </row>
    <row r="71" spans="1:48" x14ac:dyDescent="0.25">
      <c r="A71" s="3"/>
      <c r="B71" s="3">
        <v>45947</v>
      </c>
      <c r="C71" s="5">
        <v>2025020069</v>
      </c>
      <c r="D71" s="2" t="s">
        <v>15</v>
      </c>
      <c r="E71" s="2" t="s">
        <v>26</v>
      </c>
      <c r="F71" s="2"/>
      <c r="G71" s="2"/>
      <c r="H71" s="2" t="str">
        <f t="shared" si="9"/>
        <v>_</v>
      </c>
      <c r="I71" s="2"/>
      <c r="J71" s="2"/>
      <c r="K71" s="2"/>
      <c r="L71" s="2" t="str">
        <f t="shared" si="10"/>
        <v>_</v>
      </c>
      <c r="M71" s="2"/>
      <c r="N71" s="2">
        <f>IF(ISBLANK(Table2[[#This Row],[ActualResult]]), 0, 1)</f>
        <v>0</v>
      </c>
      <c r="O71" s="2" t="str">
        <f>IF(ISBLANK(Table2[[#This Row],[ActualResult]]), "_", IF(Table2[[#This Row],[ActualWinner]]=Table2[[#This Row],[PredictedWinner]], "Y", "N"))</f>
        <v>_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" s="2"/>
      <c r="S71" s="2" t="str">
        <f t="shared" si="11"/>
        <v>_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45">
        <f>IF(AND(Table2[[#This Row],[GameIsOver]]=1,Table2[[#This Row],[ActualHomeScore]]*Table2[[#This Row],[ActualAwayScore]]=0), 1,0)</f>
        <v>0</v>
      </c>
      <c r="AA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1" s="2">
        <f>Table2[[#This Row],[ActualAwayScore]]-Table2[[#This Row],[PredictedAwayScore]]</f>
        <v>0</v>
      </c>
      <c r="AG71" s="2">
        <f>Table2[[#This Row],[ActualHomeScore]]-Table2[[#This Row],[PredictedHomeScore]]</f>
        <v>0</v>
      </c>
      <c r="AH71" s="2">
        <f t="shared" si="12"/>
        <v>0</v>
      </c>
      <c r="AI71" s="2">
        <f t="shared" si="13"/>
        <v>0</v>
      </c>
      <c r="AJ71" s="2"/>
      <c r="AK71" s="2"/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0</v>
      </c>
      <c r="AN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" s="2" t="str">
        <f>INDEX(Sheet5!$B$2:$AG$33, MATCH(Table2[[#This Row],[AwayTeam]],Sheet5!$A$2:$A$33, 0), MATCH(Table2[[#This Row],[HomeTeam]],Sheet5!$A$2:$A$33, 0))</f>
        <v>0-0-0</v>
      </c>
      <c r="AP71" s="2" t="str">
        <f>INDEX(Sheet5!$B$2:$AG$33, MATCH(Table2[[#This Row],[HomeTeam]],Sheet5!$A$2:$A$33, 0), MATCH(Table2[[#This Row],[AwayTeam]],Sheet5!$A$2:$A$33, 0))</f>
        <v>0-0-0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0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1</v>
      </c>
      <c r="AU71" s="2"/>
      <c r="AV71" s="2"/>
    </row>
    <row r="72" spans="1:48" x14ac:dyDescent="0.25">
      <c r="A72" s="3"/>
      <c r="B72" s="3">
        <v>45947</v>
      </c>
      <c r="C72" s="5">
        <v>2025020070</v>
      </c>
      <c r="D72" s="2" t="s">
        <v>41</v>
      </c>
      <c r="E72" s="2" t="s">
        <v>44</v>
      </c>
      <c r="F72" s="2"/>
      <c r="G72" s="2"/>
      <c r="H72" s="2" t="str">
        <f t="shared" si="9"/>
        <v>_</v>
      </c>
      <c r="I72" s="2"/>
      <c r="J72" s="2"/>
      <c r="K72" s="2"/>
      <c r="L72" s="2" t="str">
        <f t="shared" si="10"/>
        <v>_</v>
      </c>
      <c r="M72" s="2"/>
      <c r="N72" s="2">
        <f>IF(ISBLANK(Table2[[#This Row],[ActualResult]]), 0, 1)</f>
        <v>0</v>
      </c>
      <c r="O72" s="2" t="str">
        <f>IF(ISBLANK(Table2[[#This Row],[ActualResult]]), "_", IF(Table2[[#This Row],[ActualWinner]]=Table2[[#This Row],[PredictedWinner]], "Y", "N"))</f>
        <v>_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" s="2"/>
      <c r="S72" s="2" t="str">
        <f t="shared" si="11"/>
        <v>_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45">
        <f>IF(AND(Table2[[#This Row],[GameIsOver]]=1,Table2[[#This Row],[ActualHomeScore]]*Table2[[#This Row],[ActualAwayScore]]=0), 1,0)</f>
        <v>0</v>
      </c>
      <c r="AA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2" s="2">
        <f>Table2[[#This Row],[ActualAwayScore]]-Table2[[#This Row],[PredictedAwayScore]]</f>
        <v>0</v>
      </c>
      <c r="AG72" s="2">
        <f>Table2[[#This Row],[ActualHomeScore]]-Table2[[#This Row],[PredictedHomeScore]]</f>
        <v>0</v>
      </c>
      <c r="AH72" s="2">
        <f t="shared" si="12"/>
        <v>0</v>
      </c>
      <c r="AI72" s="2">
        <f t="shared" si="13"/>
        <v>0</v>
      </c>
      <c r="AJ72" s="2"/>
      <c r="AK72" s="2"/>
      <c r="AL72" s="2">
        <f>IF(Table2[[#This Row],[GameIsOver]]=0,0,IF(Table2[[#This Row],[ActualWinner]]=Table2[[#This Row],[AwayTeam]], 1, 0))</f>
        <v>0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" s="2" t="str">
        <f>INDEX(Sheet5!$B$2:$AG$33, MATCH(Table2[[#This Row],[AwayTeam]],Sheet5!$A$2:$A$33, 0), MATCH(Table2[[#This Row],[HomeTeam]],Sheet5!$A$2:$A$33, 0))</f>
        <v>0-0-0</v>
      </c>
      <c r="AP72" s="2" t="str">
        <f>INDEX(Sheet5!$B$2:$AG$33, MATCH(Table2[[#This Row],[HomeTeam]],Sheet5!$A$2:$A$33, 0), MATCH(Table2[[#This Row],[AwayTeam]],Sheet5!$A$2:$A$33, 0))</f>
        <v>0-0-0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1</v>
      </c>
      <c r="AU72" s="2"/>
      <c r="AV72" s="2"/>
    </row>
    <row r="73" spans="1:48" x14ac:dyDescent="0.25">
      <c r="A73" s="3"/>
      <c r="B73" s="3">
        <v>45947</v>
      </c>
      <c r="C73" s="5">
        <v>2025020071</v>
      </c>
      <c r="D73" s="2" t="s">
        <v>20</v>
      </c>
      <c r="E73" s="2" t="s">
        <v>27</v>
      </c>
      <c r="F73" s="2"/>
      <c r="G73" s="2"/>
      <c r="H73" s="2" t="str">
        <f t="shared" si="9"/>
        <v>_</v>
      </c>
      <c r="I73" s="2"/>
      <c r="J73" s="2"/>
      <c r="K73" s="2"/>
      <c r="L73" s="2" t="str">
        <f t="shared" si="10"/>
        <v>_</v>
      </c>
      <c r="M73" s="2"/>
      <c r="N73" s="2">
        <f>IF(ISBLANK(Table2[[#This Row],[ActualResult]]), 0, 1)</f>
        <v>0</v>
      </c>
      <c r="O73" s="2" t="str">
        <f>IF(ISBLANK(Table2[[#This Row],[ActualResult]]), "_", IF(Table2[[#This Row],[ActualWinner]]=Table2[[#This Row],[PredictedWinner]], "Y", "N"))</f>
        <v>_</v>
      </c>
      <c r="P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" s="2"/>
      <c r="S73" s="2" t="str">
        <f t="shared" si="11"/>
        <v>_</v>
      </c>
      <c r="T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2">
        <f>IF(Table2[[#This Row],[InterConf]]=1,IF(Table2[[#This Row],[InterDiv]]=0, 1, 0), 0)</f>
        <v>0</v>
      </c>
      <c r="W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2"/>
      <c r="Y73" s="2"/>
      <c r="Z73" s="145">
        <f>IF(AND(Table2[[#This Row],[GameIsOver]]=1,Table2[[#This Row],[ActualHomeScore]]*Table2[[#This Row],[ActualAwayScore]]=0), 1,0)</f>
        <v>0</v>
      </c>
      <c r="AA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3" s="2">
        <f>Table2[[#This Row],[ActualAwayScore]]-Table2[[#This Row],[PredictedAwayScore]]</f>
        <v>0</v>
      </c>
      <c r="AG73" s="2">
        <f>Table2[[#This Row],[ActualHomeScore]]-Table2[[#This Row],[PredictedHomeScore]]</f>
        <v>0</v>
      </c>
      <c r="AH73" s="2">
        <f t="shared" si="12"/>
        <v>0</v>
      </c>
      <c r="AI73" s="2">
        <f t="shared" si="13"/>
        <v>0</v>
      </c>
      <c r="AJ73" s="2"/>
      <c r="AK73" s="2"/>
      <c r="AL73" s="2">
        <f>IF(Table2[[#This Row],[GameIsOver]]=0,0,IF(Table2[[#This Row],[ActualWinner]]=Table2[[#This Row],[AwayTeam]], 1, 0))</f>
        <v>0</v>
      </c>
      <c r="AM73" s="2">
        <f>IF(Table2[[#This Row],[GameIsOver]]=0,0,IF(Table2[[#This Row],[ActualWinner]]=Table2[[#This Row],[HomeTeam]], 1, 0))</f>
        <v>0</v>
      </c>
      <c r="AN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" s="2" t="str">
        <f>INDEX(Sheet5!$B$2:$AG$33, MATCH(Table2[[#This Row],[AwayTeam]],Sheet5!$A$2:$A$33, 0), MATCH(Table2[[#This Row],[HomeTeam]],Sheet5!$A$2:$A$33, 0))</f>
        <v>0-0-0</v>
      </c>
      <c r="AP73" s="2" t="str">
        <f>INDEX(Sheet5!$B$2:$AG$33, MATCH(Table2[[#This Row],[HomeTeam]],Sheet5!$A$2:$A$33, 0), MATCH(Table2[[#This Row],[AwayTeam]],Sheet5!$A$2:$A$33, 0))</f>
        <v>0-0-0</v>
      </c>
      <c r="AQ73" s="2">
        <f>IF(Table2[[#This Row],[GameHasShutOut]], 1, 0)</f>
        <v>0</v>
      </c>
      <c r="AR73" s="2">
        <f>IF(Table2[[#This Row],[ActualAwayScore]] + Table2[[#This Row],[ActualHomeScore]] &gt;= 10, 1, 0)</f>
        <v>0</v>
      </c>
      <c r="AS73" s="2">
        <f>IF(ABS(Table2[[#This Row],[ActualAwayScore]]-Table2[[#This Row],[ActualHomeScore]])&gt;=5, 1, 0)</f>
        <v>0</v>
      </c>
      <c r="AT73" s="2">
        <f>IF(Table2[[#This Row],[ActualAwayScore]] + Table2[[#This Row],[ActualHomeScore]] &lt;= 3, 1, 0)</f>
        <v>1</v>
      </c>
      <c r="AU73" s="2"/>
      <c r="AV73" s="2"/>
    </row>
    <row r="74" spans="1:48" x14ac:dyDescent="0.25">
      <c r="A74" s="3"/>
      <c r="B74" s="3">
        <v>45947</v>
      </c>
      <c r="C74" s="5">
        <v>2025020072</v>
      </c>
      <c r="D74" s="2" t="s">
        <v>40</v>
      </c>
      <c r="E74" s="2" t="s">
        <v>30</v>
      </c>
      <c r="F74" s="2"/>
      <c r="G74" s="2"/>
      <c r="H74" s="2" t="str">
        <f t="shared" si="9"/>
        <v>_</v>
      </c>
      <c r="I74" s="2"/>
      <c r="J74" s="2"/>
      <c r="K74" s="2"/>
      <c r="L74" s="2" t="str">
        <f t="shared" si="10"/>
        <v>_</v>
      </c>
      <c r="M74" s="2"/>
      <c r="N74" s="2">
        <f>IF(ISBLANK(Table2[[#This Row],[ActualResult]]), 0, 1)</f>
        <v>0</v>
      </c>
      <c r="O74" s="2" t="str">
        <f>IF(ISBLANK(Table2[[#This Row],[ActualResult]]), "_", IF(Table2[[#This Row],[ActualWinner]]=Table2[[#This Row],[PredictedWinner]], "Y", "N"))</f>
        <v>_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" s="2"/>
      <c r="S74" s="2" t="str">
        <f t="shared" si="11"/>
        <v>_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45">
        <f>IF(AND(Table2[[#This Row],[GameIsOver]]=1,Table2[[#This Row],[ActualHomeScore]]*Table2[[#This Row],[ActualAwayScore]]=0), 1,0)</f>
        <v>0</v>
      </c>
      <c r="AA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0</v>
      </c>
      <c r="AG74" s="2">
        <f>Table2[[#This Row],[ActualHomeScore]]-Table2[[#This Row],[PredictedHomeScore]]</f>
        <v>0</v>
      </c>
      <c r="AH74" s="2">
        <f t="shared" si="12"/>
        <v>0</v>
      </c>
      <c r="AI74" s="2">
        <f t="shared" si="13"/>
        <v>0</v>
      </c>
      <c r="AJ74" s="2"/>
      <c r="AK74" s="2"/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0</v>
      </c>
      <c r="AN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" s="2" t="str">
        <f>INDEX(Sheet5!$B$2:$AG$33, MATCH(Table2[[#This Row],[AwayTeam]],Sheet5!$A$2:$A$33, 0), MATCH(Table2[[#This Row],[HomeTeam]],Sheet5!$A$2:$A$33, 0))</f>
        <v>0-0-0</v>
      </c>
      <c r="AP74" s="2" t="str">
        <f>INDEX(Sheet5!$B$2:$AG$33, MATCH(Table2[[#This Row],[HomeTeam]],Sheet5!$A$2:$A$33, 0), MATCH(Table2[[#This Row],[AwayTeam]],Sheet5!$A$2:$A$33, 0))</f>
        <v>0-0-0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2"/>
      <c r="AV74" s="2"/>
    </row>
    <row r="75" spans="1:48" x14ac:dyDescent="0.25">
      <c r="A75" s="3"/>
      <c r="B75" s="3">
        <v>45947</v>
      </c>
      <c r="C75" s="5">
        <v>2025020073</v>
      </c>
      <c r="D75" s="2" t="s">
        <v>36</v>
      </c>
      <c r="E75" s="2" t="s">
        <v>43</v>
      </c>
      <c r="F75" s="2"/>
      <c r="G75" s="2"/>
      <c r="H75" s="2" t="str">
        <f t="shared" si="9"/>
        <v>_</v>
      </c>
      <c r="I75" s="2"/>
      <c r="J75" s="2"/>
      <c r="K75" s="2"/>
      <c r="L75" s="2" t="str">
        <f t="shared" si="10"/>
        <v>_</v>
      </c>
      <c r="M75" s="2"/>
      <c r="N75" s="2">
        <f>IF(ISBLANK(Table2[[#This Row],[ActualResult]]), 0, 1)</f>
        <v>0</v>
      </c>
      <c r="O75" s="2" t="str">
        <f>IF(ISBLANK(Table2[[#This Row],[ActualResult]]), "_", IF(Table2[[#This Row],[ActualWinner]]=Table2[[#This Row],[PredictedWinner]], "Y", "N"))</f>
        <v>_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" s="2"/>
      <c r="S75" s="2" t="str">
        <f t="shared" si="11"/>
        <v>_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45">
        <f>IF(AND(Table2[[#This Row],[GameIsOver]]=1,Table2[[#This Row],[ActualHomeScore]]*Table2[[#This Row],[ActualAwayScore]]=0), 1,0)</f>
        <v>0</v>
      </c>
      <c r="AA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0</v>
      </c>
      <c r="AG75" s="2">
        <f>Table2[[#This Row],[ActualHomeScore]]-Table2[[#This Row],[PredictedHomeScore]]</f>
        <v>0</v>
      </c>
      <c r="AH75" s="2">
        <f t="shared" si="12"/>
        <v>0</v>
      </c>
      <c r="AI75" s="2">
        <f t="shared" si="13"/>
        <v>0</v>
      </c>
      <c r="AJ75" s="2"/>
      <c r="AK75" s="2"/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0</v>
      </c>
      <c r="AN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" s="2" t="str">
        <f>INDEX(Sheet5!$B$2:$AG$33, MATCH(Table2[[#This Row],[AwayTeam]],Sheet5!$A$2:$A$33, 0), MATCH(Table2[[#This Row],[HomeTeam]],Sheet5!$A$2:$A$33, 0))</f>
        <v>0-0-0</v>
      </c>
      <c r="AP75" s="2" t="str">
        <f>INDEX(Sheet5!$B$2:$AG$33, MATCH(Table2[[#This Row],[HomeTeam]],Sheet5!$A$2:$A$33, 0), MATCH(Table2[[#This Row],[AwayTeam]],Sheet5!$A$2:$A$33, 0))</f>
        <v>0-0-0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1</v>
      </c>
      <c r="AU75" s="2"/>
      <c r="AV75" s="2"/>
    </row>
    <row r="76" spans="1:48" x14ac:dyDescent="0.25">
      <c r="A76" s="3"/>
      <c r="B76" s="3">
        <v>45948</v>
      </c>
      <c r="C76" s="5">
        <v>2025020074</v>
      </c>
      <c r="D76" s="2" t="s">
        <v>24</v>
      </c>
      <c r="E76" s="2" t="s">
        <v>16</v>
      </c>
      <c r="F76" s="2"/>
      <c r="G76" s="2"/>
      <c r="H76" s="2" t="str">
        <f t="shared" si="9"/>
        <v>_</v>
      </c>
      <c r="I76" s="2"/>
      <c r="J76" s="2"/>
      <c r="K76" s="2"/>
      <c r="L76" s="2" t="str">
        <f t="shared" si="10"/>
        <v>_</v>
      </c>
      <c r="M76" s="2"/>
      <c r="N76" s="2">
        <f>IF(ISBLANK(Table2[[#This Row],[ActualResult]]), 0, 1)</f>
        <v>0</v>
      </c>
      <c r="O76" s="2" t="str">
        <f>IF(ISBLANK(Table2[[#This Row],[ActualResult]]), "_", IF(Table2[[#This Row],[ActualWinner]]=Table2[[#This Row],[PredictedWinner]], "Y", "N"))</f>
        <v>_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" s="2"/>
      <c r="S76" s="2" t="str">
        <f t="shared" si="11"/>
        <v>_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45">
        <f>IF(AND(Table2[[#This Row],[GameIsOver]]=1,Table2[[#This Row],[ActualHomeScore]]*Table2[[#This Row],[ActualAwayScore]]=0), 1,0)</f>
        <v>0</v>
      </c>
      <c r="AA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6" s="2">
        <f>Table2[[#This Row],[ActualAwayScore]]-Table2[[#This Row],[PredictedAwayScore]]</f>
        <v>0</v>
      </c>
      <c r="AG76" s="2">
        <f>Table2[[#This Row],[ActualHomeScore]]-Table2[[#This Row],[PredictedHomeScore]]</f>
        <v>0</v>
      </c>
      <c r="AH76" s="2">
        <f t="shared" si="12"/>
        <v>0</v>
      </c>
      <c r="AI76" s="2">
        <f t="shared" si="13"/>
        <v>0</v>
      </c>
      <c r="AJ76" s="2"/>
      <c r="AK76" s="2"/>
      <c r="AL76" s="2">
        <f>IF(Table2[[#This Row],[GameIsOver]]=0,0,IF(Table2[[#This Row],[ActualWinner]]=Table2[[#This Row],[AwayTeam]], 1, 0))</f>
        <v>0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" s="2" t="str">
        <f>INDEX(Sheet5!$B$2:$AG$33, MATCH(Table2[[#This Row],[AwayTeam]],Sheet5!$A$2:$A$33, 0), MATCH(Table2[[#This Row],[HomeTeam]],Sheet5!$A$2:$A$33, 0))</f>
        <v>0-0-0</v>
      </c>
      <c r="AP76" s="2" t="str">
        <f>INDEX(Sheet5!$B$2:$AG$33, MATCH(Table2[[#This Row],[HomeTeam]],Sheet5!$A$2:$A$33, 0), MATCH(Table2[[#This Row],[AwayTeam]],Sheet5!$A$2:$A$33, 0))</f>
        <v>0-0-0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1</v>
      </c>
      <c r="AU76" s="2"/>
      <c r="AV76" s="2"/>
    </row>
    <row r="77" spans="1:48" x14ac:dyDescent="0.25">
      <c r="A77" s="3"/>
      <c r="B77" s="3">
        <v>45948</v>
      </c>
      <c r="C77" s="5">
        <v>2025020075</v>
      </c>
      <c r="D77" s="2" t="s">
        <v>37</v>
      </c>
      <c r="E77" s="2" t="s">
        <v>14</v>
      </c>
      <c r="F77" s="2"/>
      <c r="G77" s="2"/>
      <c r="H77" s="2" t="str">
        <f t="shared" si="9"/>
        <v>_</v>
      </c>
      <c r="I77" s="2"/>
      <c r="J77" s="2"/>
      <c r="K77" s="2"/>
      <c r="L77" s="2" t="str">
        <f t="shared" si="10"/>
        <v>_</v>
      </c>
      <c r="M77" s="2"/>
      <c r="N77" s="2">
        <f>IF(ISBLANK(Table2[[#This Row],[ActualResult]]), 0, 1)</f>
        <v>0</v>
      </c>
      <c r="O77" s="2" t="str">
        <f>IF(ISBLANK(Table2[[#This Row],[ActualResult]]), "_", IF(Table2[[#This Row],[ActualWinner]]=Table2[[#This Row],[PredictedWinner]], "Y", "N"))</f>
        <v>_</v>
      </c>
      <c r="P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" s="2"/>
      <c r="S77" s="2" t="str">
        <f t="shared" si="11"/>
        <v>_</v>
      </c>
      <c r="T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2">
        <f>IF(Table2[[#This Row],[InterConf]]=1,IF(Table2[[#This Row],[InterDiv]]=0, 1, 0), 0)</f>
        <v>1</v>
      </c>
      <c r="W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2"/>
      <c r="Y77" s="2"/>
      <c r="Z77" s="145">
        <f>IF(AND(Table2[[#This Row],[GameIsOver]]=1,Table2[[#This Row],[ActualHomeScore]]*Table2[[#This Row],[ActualAwayScore]]=0), 1,0)</f>
        <v>0</v>
      </c>
      <c r="AA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7" s="2">
        <f>Table2[[#This Row],[ActualAwayScore]]-Table2[[#This Row],[PredictedAwayScore]]</f>
        <v>0</v>
      </c>
      <c r="AG77" s="2">
        <f>Table2[[#This Row],[ActualHomeScore]]-Table2[[#This Row],[PredictedHomeScore]]</f>
        <v>0</v>
      </c>
      <c r="AH77" s="2">
        <f t="shared" si="12"/>
        <v>0</v>
      </c>
      <c r="AI77" s="2">
        <f t="shared" si="13"/>
        <v>0</v>
      </c>
      <c r="AJ77" s="2"/>
      <c r="AK77" s="2"/>
      <c r="AL77" s="2">
        <f>IF(Table2[[#This Row],[GameIsOver]]=0,0,IF(Table2[[#This Row],[ActualWinner]]=Table2[[#This Row],[AwayTeam]], 1, 0))</f>
        <v>0</v>
      </c>
      <c r="AM77" s="2">
        <f>IF(Table2[[#This Row],[GameIsOver]]=0,0,IF(Table2[[#This Row],[ActualWinner]]=Table2[[#This Row],[HomeTeam]], 1, 0))</f>
        <v>0</v>
      </c>
      <c r="AN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" s="2" t="str">
        <f>INDEX(Sheet5!$B$2:$AG$33, MATCH(Table2[[#This Row],[AwayTeam]],Sheet5!$A$2:$A$33, 0), MATCH(Table2[[#This Row],[HomeTeam]],Sheet5!$A$2:$A$33, 0))</f>
        <v>0-0-0</v>
      </c>
      <c r="AP77" s="2" t="str">
        <f>INDEX(Sheet5!$B$2:$AG$33, MATCH(Table2[[#This Row],[HomeTeam]],Sheet5!$A$2:$A$33, 0), MATCH(Table2[[#This Row],[AwayTeam]],Sheet5!$A$2:$A$33, 0))</f>
        <v>0-0-0</v>
      </c>
      <c r="AQ77" s="2">
        <f>IF(Table2[[#This Row],[GameHasShutOut]], 1, 0)</f>
        <v>0</v>
      </c>
      <c r="AR77" s="2">
        <f>IF(Table2[[#This Row],[ActualAwayScore]] + Table2[[#This Row],[ActualHomeScore]] &gt;= 10, 1, 0)</f>
        <v>0</v>
      </c>
      <c r="AS77" s="2">
        <f>IF(ABS(Table2[[#This Row],[ActualAwayScore]]-Table2[[#This Row],[ActualHomeScore]])&gt;=5, 1, 0)</f>
        <v>0</v>
      </c>
      <c r="AT77" s="2">
        <f>IF(Table2[[#This Row],[ActualAwayScore]] + Table2[[#This Row],[ActualHomeScore]] &lt;= 3, 1, 0)</f>
        <v>1</v>
      </c>
      <c r="AU77" s="2"/>
      <c r="AV77" s="2"/>
    </row>
    <row r="78" spans="1:48" x14ac:dyDescent="0.25">
      <c r="A78" s="3"/>
      <c r="B78" s="3">
        <v>45948</v>
      </c>
      <c r="C78" s="5">
        <v>2025020076</v>
      </c>
      <c r="D78" s="2" t="s">
        <v>13</v>
      </c>
      <c r="E78" s="2" t="s">
        <v>28</v>
      </c>
      <c r="F78" s="2"/>
      <c r="G78" s="2"/>
      <c r="H78" s="2" t="str">
        <f t="shared" si="9"/>
        <v>_</v>
      </c>
      <c r="I78" s="2"/>
      <c r="J78" s="2"/>
      <c r="K78" s="2"/>
      <c r="L78" s="2" t="str">
        <f t="shared" si="10"/>
        <v>_</v>
      </c>
      <c r="M78" s="2"/>
      <c r="N78" s="2">
        <f>IF(ISBLANK(Table2[[#This Row],[ActualResult]]), 0, 1)</f>
        <v>0</v>
      </c>
      <c r="O78" s="2" t="str">
        <f>IF(ISBLANK(Table2[[#This Row],[ActualResult]]), "_", IF(Table2[[#This Row],[ActualWinner]]=Table2[[#This Row],[PredictedWinner]], "Y", "N"))</f>
        <v>_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" s="2"/>
      <c r="S78" s="2" t="str">
        <f t="shared" si="11"/>
        <v>_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45">
        <f>IF(AND(Table2[[#This Row],[GameIsOver]]=1,Table2[[#This Row],[ActualHomeScore]]*Table2[[#This Row],[ActualAwayScore]]=0), 1,0)</f>
        <v>0</v>
      </c>
      <c r="AA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0</v>
      </c>
      <c r="AG78" s="2">
        <f>Table2[[#This Row],[ActualHomeScore]]-Table2[[#This Row],[PredictedHomeScore]]</f>
        <v>0</v>
      </c>
      <c r="AH78" s="2">
        <f t="shared" si="12"/>
        <v>0</v>
      </c>
      <c r="AI78" s="2">
        <f t="shared" si="13"/>
        <v>0</v>
      </c>
      <c r="AJ78" s="2"/>
      <c r="AK78" s="2"/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0</v>
      </c>
      <c r="AN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" s="2" t="str">
        <f>INDEX(Sheet5!$B$2:$AG$33, MATCH(Table2[[#This Row],[AwayTeam]],Sheet5!$A$2:$A$33, 0), MATCH(Table2[[#This Row],[HomeTeam]],Sheet5!$A$2:$A$33, 0))</f>
        <v>0-0-0</v>
      </c>
      <c r="AP78" s="2" t="str">
        <f>INDEX(Sheet5!$B$2:$AG$33, MATCH(Table2[[#This Row],[HomeTeam]],Sheet5!$A$2:$A$33, 0), MATCH(Table2[[#This Row],[AwayTeam]],Sheet5!$A$2:$A$33, 0))</f>
        <v>0-0-0</v>
      </c>
      <c r="AQ78" s="2">
        <f>IF(Table2[[#This Row],[GameHasShutOut]], 1, 0)</f>
        <v>0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2"/>
      <c r="AV78" s="2"/>
    </row>
    <row r="79" spans="1:48" x14ac:dyDescent="0.25">
      <c r="A79" s="3"/>
      <c r="B79" s="3">
        <v>45948</v>
      </c>
      <c r="C79" s="5">
        <v>2025020077</v>
      </c>
      <c r="D79" s="2" t="s">
        <v>32</v>
      </c>
      <c r="E79" s="2" t="s">
        <v>29</v>
      </c>
      <c r="F79" s="2"/>
      <c r="G79" s="2"/>
      <c r="H79" s="2" t="str">
        <f t="shared" si="9"/>
        <v>_</v>
      </c>
      <c r="I79" s="2"/>
      <c r="J79" s="2"/>
      <c r="K79" s="2"/>
      <c r="L79" s="2" t="str">
        <f t="shared" si="10"/>
        <v>_</v>
      </c>
      <c r="M79" s="2"/>
      <c r="N79" s="2">
        <f>IF(ISBLANK(Table2[[#This Row],[ActualResult]]), 0, 1)</f>
        <v>0</v>
      </c>
      <c r="O79" s="2" t="str">
        <f>IF(ISBLANK(Table2[[#This Row],[ActualResult]]), "_", IF(Table2[[#This Row],[ActualWinner]]=Table2[[#This Row],[PredictedWinner]], "Y", "N"))</f>
        <v>_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" s="2"/>
      <c r="S79" s="2" t="str">
        <f t="shared" si="11"/>
        <v>_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45">
        <f>IF(AND(Table2[[#This Row],[GameIsOver]]=1,Table2[[#This Row],[ActualHomeScore]]*Table2[[#This Row],[ActualAwayScore]]=0), 1,0)</f>
        <v>0</v>
      </c>
      <c r="AA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0</v>
      </c>
      <c r="AG79" s="2">
        <f>Table2[[#This Row],[ActualHomeScore]]-Table2[[#This Row],[PredictedHomeScore]]</f>
        <v>0</v>
      </c>
      <c r="AH79" s="2">
        <f t="shared" si="12"/>
        <v>0</v>
      </c>
      <c r="AI79" s="2">
        <f t="shared" si="13"/>
        <v>0</v>
      </c>
      <c r="AJ79" s="2"/>
      <c r="AK79" s="2"/>
      <c r="AL79" s="2">
        <f>IF(Table2[[#This Row],[GameIsOver]]=0,0,IF(Table2[[#This Row],[ActualWinner]]=Table2[[#This Row],[AwayTeam]], 1, 0))</f>
        <v>0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" s="2" t="str">
        <f>INDEX(Sheet5!$B$2:$AG$33, MATCH(Table2[[#This Row],[AwayTeam]],Sheet5!$A$2:$A$33, 0), MATCH(Table2[[#This Row],[HomeTeam]],Sheet5!$A$2:$A$33, 0))</f>
        <v>0-0-0</v>
      </c>
      <c r="AP79" s="2" t="str">
        <f>INDEX(Sheet5!$B$2:$AG$33, MATCH(Table2[[#This Row],[HomeTeam]],Sheet5!$A$2:$A$33, 0), MATCH(Table2[[#This Row],[AwayTeam]],Sheet5!$A$2:$A$33, 0))</f>
        <v>0-0-0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1</v>
      </c>
      <c r="AU79" s="2"/>
      <c r="AV79" s="2"/>
    </row>
    <row r="80" spans="1:48" x14ac:dyDescent="0.25">
      <c r="A80" s="3"/>
      <c r="B80" s="3">
        <v>45948</v>
      </c>
      <c r="C80" s="5">
        <v>2025020078</v>
      </c>
      <c r="D80" s="2" t="s">
        <v>22</v>
      </c>
      <c r="E80" s="2" t="s">
        <v>31</v>
      </c>
      <c r="F80" s="2"/>
      <c r="G80" s="2"/>
      <c r="H80" s="2" t="str">
        <f t="shared" si="9"/>
        <v>_</v>
      </c>
      <c r="I80" s="2"/>
      <c r="J80" s="2"/>
      <c r="K80" s="2"/>
      <c r="L80" s="2" t="str">
        <f t="shared" si="10"/>
        <v>_</v>
      </c>
      <c r="M80" s="2"/>
      <c r="N80" s="2">
        <f>IF(ISBLANK(Table2[[#This Row],[ActualResult]]), 0, 1)</f>
        <v>0</v>
      </c>
      <c r="O80" s="2" t="str">
        <f>IF(ISBLANK(Table2[[#This Row],[ActualResult]]), "_", IF(Table2[[#This Row],[ActualWinner]]=Table2[[#This Row],[PredictedWinner]], "Y", "N"))</f>
        <v>_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" s="2"/>
      <c r="S80" s="2" t="str">
        <f t="shared" si="11"/>
        <v>_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45">
        <f>IF(AND(Table2[[#This Row],[GameIsOver]]=1,Table2[[#This Row],[ActualHomeScore]]*Table2[[#This Row],[ActualAwayScore]]=0), 1,0)</f>
        <v>0</v>
      </c>
      <c r="AA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0</v>
      </c>
      <c r="AH80" s="2">
        <f t="shared" si="12"/>
        <v>0</v>
      </c>
      <c r="AI80" s="2">
        <f t="shared" si="13"/>
        <v>0</v>
      </c>
      <c r="AJ80" s="2"/>
      <c r="AK80" s="2"/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0</v>
      </c>
      <c r="AN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" s="2" t="str">
        <f>INDEX(Sheet5!$B$2:$AG$33, MATCH(Table2[[#This Row],[AwayTeam]],Sheet5!$A$2:$A$33, 0), MATCH(Table2[[#This Row],[HomeTeam]],Sheet5!$A$2:$A$33, 0))</f>
        <v>0-0-0</v>
      </c>
      <c r="AP80" s="2" t="str">
        <f>INDEX(Sheet5!$B$2:$AG$33, MATCH(Table2[[#This Row],[HomeTeam]],Sheet5!$A$2:$A$33, 0), MATCH(Table2[[#This Row],[AwayTeam]],Sheet5!$A$2:$A$33, 0))</f>
        <v>0-0-0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1</v>
      </c>
      <c r="AU80" s="2"/>
      <c r="AV80" s="2"/>
    </row>
    <row r="81" spans="1:48" x14ac:dyDescent="0.25">
      <c r="A81" s="3"/>
      <c r="B81" s="3">
        <v>45948</v>
      </c>
      <c r="C81" s="5">
        <v>2025020079</v>
      </c>
      <c r="D81" s="2" t="s">
        <v>11</v>
      </c>
      <c r="E81" s="2" t="s">
        <v>17</v>
      </c>
      <c r="F81" s="2"/>
      <c r="G81" s="2"/>
      <c r="H81" s="2" t="str">
        <f t="shared" si="9"/>
        <v>_</v>
      </c>
      <c r="I81" s="2"/>
      <c r="J81" s="2"/>
      <c r="K81" s="2"/>
      <c r="L81" s="2" t="str">
        <f t="shared" si="10"/>
        <v>_</v>
      </c>
      <c r="M81" s="2"/>
      <c r="N81" s="2">
        <f>IF(ISBLANK(Table2[[#This Row],[ActualResult]]), 0, 1)</f>
        <v>0</v>
      </c>
      <c r="O81" s="2" t="str">
        <f>IF(ISBLANK(Table2[[#This Row],[ActualResult]]), "_", IF(Table2[[#This Row],[ActualWinner]]=Table2[[#This Row],[PredictedWinner]], "Y", "N"))</f>
        <v>_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" s="2"/>
      <c r="S81" s="2" t="str">
        <f t="shared" si="11"/>
        <v>_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45">
        <f>IF(AND(Table2[[#This Row],[GameIsOver]]=1,Table2[[#This Row],[ActualHomeScore]]*Table2[[#This Row],[ActualAwayScore]]=0), 1,0)</f>
        <v>0</v>
      </c>
      <c r="AA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0</v>
      </c>
      <c r="AG81" s="2">
        <f>Table2[[#This Row],[ActualHomeScore]]-Table2[[#This Row],[PredictedHomeScore]]</f>
        <v>0</v>
      </c>
      <c r="AH81" s="2">
        <f t="shared" si="12"/>
        <v>0</v>
      </c>
      <c r="AI81" s="2">
        <f t="shared" si="13"/>
        <v>0</v>
      </c>
      <c r="AJ81" s="2"/>
      <c r="AK81" s="2"/>
      <c r="AL81" s="2">
        <f>IF(Table2[[#This Row],[GameIsOver]]=0,0,IF(Table2[[#This Row],[ActualWinner]]=Table2[[#This Row],[AwayTeam]], 1, 0))</f>
        <v>0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" s="2" t="str">
        <f>INDEX(Sheet5!$B$2:$AG$33, MATCH(Table2[[#This Row],[AwayTeam]],Sheet5!$A$2:$A$33, 0), MATCH(Table2[[#This Row],[HomeTeam]],Sheet5!$A$2:$A$33, 0))</f>
        <v>0-0-0</v>
      </c>
      <c r="AP81" s="2" t="str">
        <f>INDEX(Sheet5!$B$2:$AG$33, MATCH(Table2[[#This Row],[HomeTeam]],Sheet5!$A$2:$A$33, 0), MATCH(Table2[[#This Row],[AwayTeam]],Sheet5!$A$2:$A$33, 0))</f>
        <v>0-0-0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1</v>
      </c>
      <c r="AU81" s="2"/>
      <c r="AV81" s="2"/>
    </row>
    <row r="82" spans="1:48" x14ac:dyDescent="0.25">
      <c r="A82" s="3"/>
      <c r="B82" s="3">
        <v>45948</v>
      </c>
      <c r="C82" s="5">
        <v>2025020080</v>
      </c>
      <c r="D82" s="2" t="s">
        <v>19</v>
      </c>
      <c r="E82" s="2" t="s">
        <v>18</v>
      </c>
      <c r="F82" s="2"/>
      <c r="G82" s="2"/>
      <c r="H82" s="2" t="str">
        <f t="shared" si="9"/>
        <v>_</v>
      </c>
      <c r="I82" s="2"/>
      <c r="J82" s="2"/>
      <c r="K82" s="2"/>
      <c r="L82" s="2" t="str">
        <f t="shared" si="10"/>
        <v>_</v>
      </c>
      <c r="M82" s="2"/>
      <c r="N82" s="2">
        <f>IF(ISBLANK(Table2[[#This Row],[ActualResult]]), 0, 1)</f>
        <v>0</v>
      </c>
      <c r="O82" s="2" t="str">
        <f>IF(ISBLANK(Table2[[#This Row],[ActualResult]]), "_", IF(Table2[[#This Row],[ActualWinner]]=Table2[[#This Row],[PredictedWinner]], "Y", "N"))</f>
        <v>_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" s="2"/>
      <c r="S82" s="2" t="str">
        <f t="shared" si="11"/>
        <v>_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45">
        <f>IF(AND(Table2[[#This Row],[GameIsOver]]=1,Table2[[#This Row],[ActualHomeScore]]*Table2[[#This Row],[ActualAwayScore]]=0), 1,0)</f>
        <v>0</v>
      </c>
      <c r="AA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0</v>
      </c>
      <c r="AG82" s="2">
        <f>Table2[[#This Row],[ActualHomeScore]]-Table2[[#This Row],[PredictedHomeScore]]</f>
        <v>0</v>
      </c>
      <c r="AH82" s="2">
        <f t="shared" si="12"/>
        <v>0</v>
      </c>
      <c r="AI82" s="2">
        <f t="shared" si="13"/>
        <v>0</v>
      </c>
      <c r="AJ82" s="2"/>
      <c r="AK82" s="2"/>
      <c r="AL82" s="2">
        <f>IF(Table2[[#This Row],[GameIsOver]]=0,0,IF(Table2[[#This Row],[ActualWinner]]=Table2[[#This Row],[AwayTeam]], 1, 0))</f>
        <v>0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" s="2" t="str">
        <f>INDEX(Sheet5!$B$2:$AG$33, MATCH(Table2[[#This Row],[AwayTeam]],Sheet5!$A$2:$A$33, 0), MATCH(Table2[[#This Row],[HomeTeam]],Sheet5!$A$2:$A$33, 0))</f>
        <v>0-0-0</v>
      </c>
      <c r="AP82" s="2" t="str">
        <f>INDEX(Sheet5!$B$2:$AG$33, MATCH(Table2[[#This Row],[HomeTeam]],Sheet5!$A$2:$A$33, 0), MATCH(Table2[[#This Row],[AwayTeam]],Sheet5!$A$2:$A$33, 0))</f>
        <v>0-0-0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1</v>
      </c>
      <c r="AU82" s="2"/>
      <c r="AV82" s="2"/>
    </row>
    <row r="83" spans="1:48" x14ac:dyDescent="0.25">
      <c r="A83" s="3"/>
      <c r="B83" s="3">
        <v>45948</v>
      </c>
      <c r="C83" s="5">
        <v>2025020081</v>
      </c>
      <c r="D83" s="2" t="s">
        <v>36</v>
      </c>
      <c r="E83" s="2" t="s">
        <v>42</v>
      </c>
      <c r="F83" s="2"/>
      <c r="G83" s="2"/>
      <c r="H83" s="2" t="str">
        <f t="shared" si="9"/>
        <v>_</v>
      </c>
      <c r="I83" s="2"/>
      <c r="J83" s="2"/>
      <c r="K83" s="2"/>
      <c r="L83" s="2" t="str">
        <f t="shared" si="10"/>
        <v>_</v>
      </c>
      <c r="M83" s="2"/>
      <c r="N83" s="2">
        <f>IF(ISBLANK(Table2[[#This Row],[ActualResult]]), 0, 1)</f>
        <v>0</v>
      </c>
      <c r="O83" s="2" t="str">
        <f>IF(ISBLANK(Table2[[#This Row],[ActualResult]]), "_", IF(Table2[[#This Row],[ActualWinner]]=Table2[[#This Row],[PredictedWinner]], "Y", "N"))</f>
        <v>_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" s="2"/>
      <c r="S83" s="2" t="str">
        <f t="shared" si="11"/>
        <v>_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45">
        <f>IF(AND(Table2[[#This Row],[GameIsOver]]=1,Table2[[#This Row],[ActualHomeScore]]*Table2[[#This Row],[ActualAwayScore]]=0), 1,0)</f>
        <v>0</v>
      </c>
      <c r="AA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0</v>
      </c>
      <c r="AG83" s="2">
        <f>Table2[[#This Row],[ActualHomeScore]]-Table2[[#This Row],[PredictedHomeScore]]</f>
        <v>0</v>
      </c>
      <c r="AH83" s="2">
        <f t="shared" si="12"/>
        <v>0</v>
      </c>
      <c r="AI83" s="2">
        <f t="shared" si="13"/>
        <v>0</v>
      </c>
      <c r="AJ83" s="2"/>
      <c r="AK83" s="2"/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0</v>
      </c>
      <c r="AN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" s="2" t="str">
        <f>INDEX(Sheet5!$B$2:$AG$33, MATCH(Table2[[#This Row],[AwayTeam]],Sheet5!$A$2:$A$33, 0), MATCH(Table2[[#This Row],[HomeTeam]],Sheet5!$A$2:$A$33, 0))</f>
        <v>0-0-0</v>
      </c>
      <c r="AP83" s="2" t="str">
        <f>INDEX(Sheet5!$B$2:$AG$33, MATCH(Table2[[#This Row],[HomeTeam]],Sheet5!$A$2:$A$33, 0), MATCH(Table2[[#This Row],[AwayTeam]],Sheet5!$A$2:$A$33, 0))</f>
        <v>0-0-0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/>
      <c r="AV83" s="2"/>
    </row>
    <row r="84" spans="1:48" x14ac:dyDescent="0.25">
      <c r="A84" s="3"/>
      <c r="B84" s="3">
        <v>45948</v>
      </c>
      <c r="C84" s="5">
        <v>2025020082</v>
      </c>
      <c r="D84" s="2" t="s">
        <v>40</v>
      </c>
      <c r="E84" s="2" t="s">
        <v>35</v>
      </c>
      <c r="F84" s="2"/>
      <c r="G84" s="2"/>
      <c r="H84" s="2" t="str">
        <f t="shared" si="9"/>
        <v>_</v>
      </c>
      <c r="I84" s="2"/>
      <c r="J84" s="2"/>
      <c r="K84" s="2"/>
      <c r="L84" s="2" t="str">
        <f t="shared" si="10"/>
        <v>_</v>
      </c>
      <c r="M84" s="2"/>
      <c r="N84" s="2">
        <f>IF(ISBLANK(Table2[[#This Row],[ActualResult]]), 0, 1)</f>
        <v>0</v>
      </c>
      <c r="O84" s="2" t="str">
        <f>IF(ISBLANK(Table2[[#This Row],[ActualResult]]), "_", IF(Table2[[#This Row],[ActualWinner]]=Table2[[#This Row],[PredictedWinner]], "Y", "N"))</f>
        <v>_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" s="2"/>
      <c r="S84" s="2" t="str">
        <f t="shared" si="11"/>
        <v>_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45">
        <f>IF(AND(Table2[[#This Row],[GameIsOver]]=1,Table2[[#This Row],[ActualHomeScore]]*Table2[[#This Row],[ActualAwayScore]]=0), 1,0)</f>
        <v>0</v>
      </c>
      <c r="AA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0</v>
      </c>
      <c r="AG84" s="2">
        <f>Table2[[#This Row],[ActualHomeScore]]-Table2[[#This Row],[PredictedHomeScore]]</f>
        <v>0</v>
      </c>
      <c r="AH84" s="2">
        <f t="shared" si="12"/>
        <v>0</v>
      </c>
      <c r="AI84" s="2">
        <f t="shared" si="13"/>
        <v>0</v>
      </c>
      <c r="AJ84" s="2"/>
      <c r="AK84" s="2"/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0</v>
      </c>
      <c r="AN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" s="2" t="str">
        <f>INDEX(Sheet5!$B$2:$AG$33, MATCH(Table2[[#This Row],[AwayTeam]],Sheet5!$A$2:$A$33, 0), MATCH(Table2[[#This Row],[HomeTeam]],Sheet5!$A$2:$A$33, 0))</f>
        <v>0-0-0</v>
      </c>
      <c r="AP84" s="2" t="str">
        <f>INDEX(Sheet5!$B$2:$AG$33, MATCH(Table2[[#This Row],[HomeTeam]],Sheet5!$A$2:$A$33, 0), MATCH(Table2[[#This Row],[AwayTeam]],Sheet5!$A$2:$A$33, 0))</f>
        <v>0-0-0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1</v>
      </c>
      <c r="AU84" s="2"/>
      <c r="AV84" s="2"/>
    </row>
    <row r="85" spans="1:48" x14ac:dyDescent="0.25">
      <c r="A85" s="3"/>
      <c r="B85" s="3">
        <v>45948</v>
      </c>
      <c r="C85" s="5">
        <v>2025020083</v>
      </c>
      <c r="D85" s="2" t="s">
        <v>33</v>
      </c>
      <c r="E85" s="2" t="s">
        <v>12</v>
      </c>
      <c r="F85" s="2"/>
      <c r="G85" s="2"/>
      <c r="H85" s="2" t="str">
        <f t="shared" si="9"/>
        <v>_</v>
      </c>
      <c r="I85" s="2"/>
      <c r="J85" s="2"/>
      <c r="K85" s="2"/>
      <c r="L85" s="2" t="str">
        <f t="shared" si="10"/>
        <v>_</v>
      </c>
      <c r="M85" s="2"/>
      <c r="N85" s="2">
        <f>IF(ISBLANK(Table2[[#This Row],[ActualResult]]), 0, 1)</f>
        <v>0</v>
      </c>
      <c r="O85" s="2" t="str">
        <f>IF(ISBLANK(Table2[[#This Row],[ActualResult]]), "_", IF(Table2[[#This Row],[ActualWinner]]=Table2[[#This Row],[PredictedWinner]], "Y", "N"))</f>
        <v>_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" s="2"/>
      <c r="S85" s="2" t="str">
        <f t="shared" si="11"/>
        <v>_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45">
        <f>IF(AND(Table2[[#This Row],[GameIsOver]]=1,Table2[[#This Row],[ActualHomeScore]]*Table2[[#This Row],[ActualAwayScore]]=0), 1,0)</f>
        <v>0</v>
      </c>
      <c r="AA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0</v>
      </c>
      <c r="AG85" s="2">
        <f>Table2[[#This Row],[ActualHomeScore]]-Table2[[#This Row],[PredictedHomeScore]]</f>
        <v>0</v>
      </c>
      <c r="AH85" s="2">
        <f t="shared" si="12"/>
        <v>0</v>
      </c>
      <c r="AI85" s="2">
        <f t="shared" si="13"/>
        <v>0</v>
      </c>
      <c r="AJ85" s="2"/>
      <c r="AK85" s="2"/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0</v>
      </c>
      <c r="AN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" s="2" t="str">
        <f>INDEX(Sheet5!$B$2:$AG$33, MATCH(Table2[[#This Row],[AwayTeam]],Sheet5!$A$2:$A$33, 0), MATCH(Table2[[#This Row],[HomeTeam]],Sheet5!$A$2:$A$33, 0))</f>
        <v>0-0-0</v>
      </c>
      <c r="AP85" s="2" t="str">
        <f>INDEX(Sheet5!$B$2:$AG$33, MATCH(Table2[[#This Row],[HomeTeam]],Sheet5!$A$2:$A$33, 0), MATCH(Table2[[#This Row],[AwayTeam]],Sheet5!$A$2:$A$33, 0))</f>
        <v>0-0-0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1</v>
      </c>
      <c r="AU85" s="2"/>
      <c r="AV85" s="2"/>
    </row>
    <row r="86" spans="1:48" x14ac:dyDescent="0.25">
      <c r="A86" s="3"/>
      <c r="B86" s="3">
        <v>45948</v>
      </c>
      <c r="C86" s="5">
        <v>2025020084</v>
      </c>
      <c r="D86" s="2" t="s">
        <v>34</v>
      </c>
      <c r="E86" s="2" t="s">
        <v>21</v>
      </c>
      <c r="F86" s="2"/>
      <c r="G86" s="2"/>
      <c r="H86" s="2" t="str">
        <f t="shared" si="9"/>
        <v>_</v>
      </c>
      <c r="I86" s="2"/>
      <c r="J86" s="2"/>
      <c r="K86" s="2"/>
      <c r="L86" s="2" t="str">
        <f t="shared" si="10"/>
        <v>_</v>
      </c>
      <c r="M86" s="2"/>
      <c r="N86" s="2">
        <f>IF(ISBLANK(Table2[[#This Row],[ActualResult]]), 0, 1)</f>
        <v>0</v>
      </c>
      <c r="O86" s="2" t="str">
        <f>IF(ISBLANK(Table2[[#This Row],[ActualResult]]), "_", IF(Table2[[#This Row],[ActualWinner]]=Table2[[#This Row],[PredictedWinner]], "Y", "N"))</f>
        <v>_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" s="2"/>
      <c r="S86" s="2" t="str">
        <f t="shared" si="11"/>
        <v>_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45">
        <f>IF(AND(Table2[[#This Row],[GameIsOver]]=1,Table2[[#This Row],[ActualHomeScore]]*Table2[[#This Row],[ActualAwayScore]]=0), 1,0)</f>
        <v>0</v>
      </c>
      <c r="AA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0</v>
      </c>
      <c r="AI86" s="2">
        <f t="shared" si="13"/>
        <v>0</v>
      </c>
      <c r="AJ86" s="2"/>
      <c r="AK86" s="2"/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0</v>
      </c>
      <c r="AN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" s="2" t="str">
        <f>INDEX(Sheet5!$B$2:$AG$33, MATCH(Table2[[#This Row],[AwayTeam]],Sheet5!$A$2:$A$33, 0), MATCH(Table2[[#This Row],[HomeTeam]],Sheet5!$A$2:$A$33, 0))</f>
        <v>0-0-0</v>
      </c>
      <c r="AP86" s="2" t="str">
        <f>INDEX(Sheet5!$B$2:$AG$33, MATCH(Table2[[#This Row],[HomeTeam]],Sheet5!$A$2:$A$33, 0), MATCH(Table2[[#This Row],[AwayTeam]],Sheet5!$A$2:$A$33, 0))</f>
        <v>0-0-0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1</v>
      </c>
      <c r="AU86" s="2"/>
      <c r="AV86" s="2"/>
    </row>
    <row r="87" spans="1:48" x14ac:dyDescent="0.25">
      <c r="A87" s="3"/>
      <c r="B87" s="3">
        <v>45949</v>
      </c>
      <c r="C87" s="5">
        <v>2025020085</v>
      </c>
      <c r="D87" s="2" t="s">
        <v>15</v>
      </c>
      <c r="E87" s="2" t="s">
        <v>25</v>
      </c>
      <c r="F87" s="2"/>
      <c r="G87" s="2"/>
      <c r="H87" s="2" t="str">
        <f t="shared" si="9"/>
        <v>_</v>
      </c>
      <c r="I87" s="2"/>
      <c r="J87" s="2"/>
      <c r="K87" s="2"/>
      <c r="L87" s="2" t="str">
        <f t="shared" si="10"/>
        <v>_</v>
      </c>
      <c r="M87" s="2"/>
      <c r="N87" s="2">
        <f>IF(ISBLANK(Table2[[#This Row],[ActualResult]]), 0, 1)</f>
        <v>0</v>
      </c>
      <c r="O87" s="2" t="str">
        <f>IF(ISBLANK(Table2[[#This Row],[ActualResult]]), "_", IF(Table2[[#This Row],[ActualWinner]]=Table2[[#This Row],[PredictedWinner]], "Y", "N"))</f>
        <v>_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" s="2"/>
      <c r="S87" s="2" t="str">
        <f t="shared" si="11"/>
        <v>_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45">
        <f>IF(AND(Table2[[#This Row],[GameIsOver]]=1,Table2[[#This Row],[ActualHomeScore]]*Table2[[#This Row],[ActualAwayScore]]=0), 1,0)</f>
        <v>0</v>
      </c>
      <c r="AA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" s="2">
        <f>Table2[[#This Row],[ActualAwayScore]]-Table2[[#This Row],[PredictedAwayScore]]</f>
        <v>0</v>
      </c>
      <c r="AG87" s="2">
        <f>Table2[[#This Row],[ActualHomeScore]]-Table2[[#This Row],[PredictedHomeScore]]</f>
        <v>0</v>
      </c>
      <c r="AH87" s="2">
        <f t="shared" si="12"/>
        <v>0</v>
      </c>
      <c r="AI87" s="2">
        <f t="shared" si="13"/>
        <v>0</v>
      </c>
      <c r="AJ87" s="2"/>
      <c r="AK87" s="2"/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0</v>
      </c>
      <c r="AN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" s="2" t="str">
        <f>INDEX(Sheet5!$B$2:$AG$33, MATCH(Table2[[#This Row],[AwayTeam]],Sheet5!$A$2:$A$33, 0), MATCH(Table2[[#This Row],[HomeTeam]],Sheet5!$A$2:$A$33, 0))</f>
        <v>0-0-0</v>
      </c>
      <c r="AP87" s="2" t="str">
        <f>INDEX(Sheet5!$B$2:$AG$33, MATCH(Table2[[#This Row],[HomeTeam]],Sheet5!$A$2:$A$33, 0), MATCH(Table2[[#This Row],[AwayTeam]],Sheet5!$A$2:$A$33, 0))</f>
        <v>0-0-0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1</v>
      </c>
      <c r="AU87" s="2"/>
      <c r="AV87" s="2"/>
    </row>
    <row r="88" spans="1:48" x14ac:dyDescent="0.25">
      <c r="A88" s="3"/>
      <c r="B88" s="3">
        <v>45949</v>
      </c>
      <c r="C88" s="5">
        <v>2025020086</v>
      </c>
      <c r="D88" s="2" t="s">
        <v>41</v>
      </c>
      <c r="E88" s="2" t="s">
        <v>27</v>
      </c>
      <c r="F88" s="2"/>
      <c r="G88" s="2"/>
      <c r="H88" s="2" t="str">
        <f t="shared" si="9"/>
        <v>_</v>
      </c>
      <c r="I88" s="2"/>
      <c r="J88" s="2"/>
      <c r="K88" s="2"/>
      <c r="L88" s="2" t="str">
        <f t="shared" si="10"/>
        <v>_</v>
      </c>
      <c r="M88" s="2"/>
      <c r="N88" s="2">
        <f>IF(ISBLANK(Table2[[#This Row],[ActualResult]]), 0, 1)</f>
        <v>0</v>
      </c>
      <c r="O88" s="2" t="str">
        <f>IF(ISBLANK(Table2[[#This Row],[ActualResult]]), "_", IF(Table2[[#This Row],[ActualWinner]]=Table2[[#This Row],[PredictedWinner]], "Y", "N"))</f>
        <v>_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" s="2"/>
      <c r="S88" s="2" t="str">
        <f t="shared" si="11"/>
        <v>_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45">
        <f>IF(AND(Table2[[#This Row],[GameIsOver]]=1,Table2[[#This Row],[ActualHomeScore]]*Table2[[#This Row],[ActualAwayScore]]=0), 1,0)</f>
        <v>0</v>
      </c>
      <c r="AA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8" s="2">
        <f>Table2[[#This Row],[ActualAwayScore]]-Table2[[#This Row],[PredictedAwayScore]]</f>
        <v>0</v>
      </c>
      <c r="AG88" s="2">
        <f>Table2[[#This Row],[ActualHomeScore]]-Table2[[#This Row],[PredictedHomeScore]]</f>
        <v>0</v>
      </c>
      <c r="AH88" s="2">
        <f t="shared" si="12"/>
        <v>0</v>
      </c>
      <c r="AI88" s="2">
        <f t="shared" si="13"/>
        <v>0</v>
      </c>
      <c r="AJ88" s="2"/>
      <c r="AK88" s="2"/>
      <c r="AL88" s="2">
        <f>IF(Table2[[#This Row],[GameIsOver]]=0,0,IF(Table2[[#This Row],[ActualWinner]]=Table2[[#This Row],[AwayTeam]], 1, 0))</f>
        <v>0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" s="2" t="str">
        <f>INDEX(Sheet5!$B$2:$AG$33, MATCH(Table2[[#This Row],[AwayTeam]],Sheet5!$A$2:$A$33, 0), MATCH(Table2[[#This Row],[HomeTeam]],Sheet5!$A$2:$A$33, 0))</f>
        <v>0-0-0</v>
      </c>
      <c r="AP88" s="2" t="str">
        <f>INDEX(Sheet5!$B$2:$AG$33, MATCH(Table2[[#This Row],[HomeTeam]],Sheet5!$A$2:$A$33, 0), MATCH(Table2[[#This Row],[AwayTeam]],Sheet5!$A$2:$A$33, 0))</f>
        <v>0-0-0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1</v>
      </c>
      <c r="AU88" s="2"/>
      <c r="AV88" s="2"/>
    </row>
    <row r="89" spans="1:48" x14ac:dyDescent="0.25">
      <c r="A89" s="3"/>
      <c r="B89" s="3">
        <v>45949</v>
      </c>
      <c r="C89" s="5">
        <v>2025020087</v>
      </c>
      <c r="D89" s="2" t="s">
        <v>23</v>
      </c>
      <c r="E89" s="2" t="s">
        <v>26</v>
      </c>
      <c r="F89" s="2"/>
      <c r="G89" s="2"/>
      <c r="H89" s="2" t="str">
        <f t="shared" si="9"/>
        <v>_</v>
      </c>
      <c r="I89" s="2"/>
      <c r="J89" s="2"/>
      <c r="K89" s="2"/>
      <c r="L89" s="2" t="str">
        <f t="shared" si="10"/>
        <v>_</v>
      </c>
      <c r="M89" s="2"/>
      <c r="N89" s="2">
        <f>IF(ISBLANK(Table2[[#This Row],[ActualResult]]), 0, 1)</f>
        <v>0</v>
      </c>
      <c r="O89" s="2" t="str">
        <f>IF(ISBLANK(Table2[[#This Row],[ActualResult]]), "_", IF(Table2[[#This Row],[ActualWinner]]=Table2[[#This Row],[PredictedWinner]], "Y", "N"))</f>
        <v>_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" s="2"/>
      <c r="S89" s="2" t="str">
        <f t="shared" si="11"/>
        <v>_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45">
        <f>IF(AND(Table2[[#This Row],[GameIsOver]]=1,Table2[[#This Row],[ActualHomeScore]]*Table2[[#This Row],[ActualAwayScore]]=0), 1,0)</f>
        <v>0</v>
      </c>
      <c r="AA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9" s="2">
        <f>Table2[[#This Row],[ActualAwayScore]]-Table2[[#This Row],[PredictedAwayScore]]</f>
        <v>0</v>
      </c>
      <c r="AG89" s="2">
        <f>Table2[[#This Row],[ActualHomeScore]]-Table2[[#This Row],[PredictedHomeScore]]</f>
        <v>0</v>
      </c>
      <c r="AH89" s="2">
        <f t="shared" si="12"/>
        <v>0</v>
      </c>
      <c r="AI89" s="2">
        <f t="shared" si="13"/>
        <v>0</v>
      </c>
      <c r="AJ89" s="2"/>
      <c r="AK89" s="2"/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0</v>
      </c>
      <c r="AN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89" s="2" t="str">
        <f>INDEX(Sheet5!$B$2:$AG$33, MATCH(Table2[[#This Row],[AwayTeam]],Sheet5!$A$2:$A$33, 0), MATCH(Table2[[#This Row],[HomeTeam]],Sheet5!$A$2:$A$33, 0))</f>
        <v>0-0-0</v>
      </c>
      <c r="AP89" s="2" t="str">
        <f>INDEX(Sheet5!$B$2:$AG$33, MATCH(Table2[[#This Row],[HomeTeam]],Sheet5!$A$2:$A$33, 0), MATCH(Table2[[#This Row],[AwayTeam]],Sheet5!$A$2:$A$33, 0))</f>
        <v>0-0-0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0</v>
      </c>
      <c r="AT89" s="2">
        <f>IF(Table2[[#This Row],[ActualAwayScore]] + Table2[[#This Row],[ActualHomeScore]] &lt;= 3, 1, 0)</f>
        <v>1</v>
      </c>
      <c r="AU89" s="2"/>
      <c r="AV89" s="2"/>
    </row>
    <row r="90" spans="1:48" x14ac:dyDescent="0.25">
      <c r="A90" s="3"/>
      <c r="B90" s="3">
        <v>45949</v>
      </c>
      <c r="C90" s="5">
        <v>2025020088</v>
      </c>
      <c r="D90" s="2" t="s">
        <v>20</v>
      </c>
      <c r="E90" s="2" t="s">
        <v>37</v>
      </c>
      <c r="F90" s="2"/>
      <c r="G90" s="2"/>
      <c r="H90" s="2" t="str">
        <f t="shared" si="9"/>
        <v>_</v>
      </c>
      <c r="I90" s="2"/>
      <c r="J90" s="2"/>
      <c r="K90" s="2"/>
      <c r="L90" s="2" t="str">
        <f t="shared" si="10"/>
        <v>_</v>
      </c>
      <c r="M90" s="2"/>
      <c r="N90" s="2">
        <f>IF(ISBLANK(Table2[[#This Row],[ActualResult]]), 0, 1)</f>
        <v>0</v>
      </c>
      <c r="O90" s="2" t="str">
        <f>IF(ISBLANK(Table2[[#This Row],[ActualResult]]), "_", IF(Table2[[#This Row],[ActualWinner]]=Table2[[#This Row],[PredictedWinner]], "Y", "N"))</f>
        <v>_</v>
      </c>
      <c r="P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" s="2"/>
      <c r="S90" s="2" t="str">
        <f t="shared" si="11"/>
        <v>_</v>
      </c>
      <c r="T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2">
        <f>IF(Table2[[#This Row],[InterConf]]=1,IF(Table2[[#This Row],[InterDiv]]=0, 1, 0), 0)</f>
        <v>0</v>
      </c>
      <c r="W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2"/>
      <c r="Y90" s="2"/>
      <c r="Z90" s="145">
        <f>IF(AND(Table2[[#This Row],[GameIsOver]]=1,Table2[[#This Row],[ActualHomeScore]]*Table2[[#This Row],[ActualAwayScore]]=0), 1,0)</f>
        <v>0</v>
      </c>
      <c r="AA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0" s="2">
        <f>Table2[[#This Row],[ActualAwayScore]]-Table2[[#This Row],[PredictedAwayScore]]</f>
        <v>0</v>
      </c>
      <c r="AG90" s="2">
        <f>Table2[[#This Row],[ActualHomeScore]]-Table2[[#This Row],[PredictedHomeScore]]</f>
        <v>0</v>
      </c>
      <c r="AH90" s="2">
        <f t="shared" si="12"/>
        <v>0</v>
      </c>
      <c r="AI90" s="2">
        <f t="shared" si="13"/>
        <v>0</v>
      </c>
      <c r="AJ90" s="2"/>
      <c r="AK90" s="2"/>
      <c r="AL90" s="2">
        <f>IF(Table2[[#This Row],[GameIsOver]]=0,0,IF(Table2[[#This Row],[ActualWinner]]=Table2[[#This Row],[AwayTeam]], 1, 0))</f>
        <v>0</v>
      </c>
      <c r="AM90" s="2">
        <f>IF(Table2[[#This Row],[GameIsOver]]=0,0,IF(Table2[[#This Row],[ActualWinner]]=Table2[[#This Row],[HomeTeam]], 1, 0))</f>
        <v>0</v>
      </c>
      <c r="AN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" s="2" t="str">
        <f>INDEX(Sheet5!$B$2:$AG$33, MATCH(Table2[[#This Row],[AwayTeam]],Sheet5!$A$2:$A$33, 0), MATCH(Table2[[#This Row],[HomeTeam]],Sheet5!$A$2:$A$33, 0))</f>
        <v>0-0-0</v>
      </c>
      <c r="AP90" s="2" t="str">
        <f>INDEX(Sheet5!$B$2:$AG$33, MATCH(Table2[[#This Row],[HomeTeam]],Sheet5!$A$2:$A$33, 0), MATCH(Table2[[#This Row],[AwayTeam]],Sheet5!$A$2:$A$33, 0))</f>
        <v>0-0-0</v>
      </c>
      <c r="AQ90" s="2">
        <f>IF(Table2[[#This Row],[GameHasShutOut]], 1, 0)</f>
        <v>0</v>
      </c>
      <c r="AR90" s="2">
        <f>IF(Table2[[#This Row],[ActualAwayScore]] + Table2[[#This Row],[ActualHomeScore]] &gt;= 10, 1, 0)</f>
        <v>0</v>
      </c>
      <c r="AS90" s="2">
        <f>IF(ABS(Table2[[#This Row],[ActualAwayScore]]-Table2[[#This Row],[ActualHomeScore]])&gt;=5, 1, 0)</f>
        <v>0</v>
      </c>
      <c r="AT90" s="2">
        <f>IF(Table2[[#This Row],[ActualAwayScore]] + Table2[[#This Row],[ActualHomeScore]] &lt;= 3, 1, 0)</f>
        <v>1</v>
      </c>
      <c r="AU90" s="2"/>
      <c r="AV90" s="2"/>
    </row>
    <row r="91" spans="1:48" x14ac:dyDescent="0.25">
      <c r="A91" s="3"/>
      <c r="B91" s="3">
        <v>45949</v>
      </c>
      <c r="C91" s="5">
        <v>2025020089</v>
      </c>
      <c r="D91" s="2" t="s">
        <v>24</v>
      </c>
      <c r="E91" s="2" t="s">
        <v>43</v>
      </c>
      <c r="F91" s="2"/>
      <c r="G91" s="2"/>
      <c r="H91" s="2" t="str">
        <f t="shared" si="9"/>
        <v>_</v>
      </c>
      <c r="I91" s="2"/>
      <c r="J91" s="2"/>
      <c r="K91" s="2"/>
      <c r="L91" s="2" t="str">
        <f t="shared" si="10"/>
        <v>_</v>
      </c>
      <c r="M91" s="2"/>
      <c r="N91" s="2">
        <f>IF(ISBLANK(Table2[[#This Row],[ActualResult]]), 0, 1)</f>
        <v>0</v>
      </c>
      <c r="O91" s="2" t="str">
        <f>IF(ISBLANK(Table2[[#This Row],[ActualResult]]), "_", IF(Table2[[#This Row],[ActualWinner]]=Table2[[#This Row],[PredictedWinner]], "Y", "N"))</f>
        <v>_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" s="2"/>
      <c r="S91" s="2" t="str">
        <f t="shared" si="11"/>
        <v>_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45">
        <f>IF(AND(Table2[[#This Row],[GameIsOver]]=1,Table2[[#This Row],[ActualHomeScore]]*Table2[[#This Row],[ActualAwayScore]]=0), 1,0)</f>
        <v>0</v>
      </c>
      <c r="AA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0</v>
      </c>
      <c r="AG91" s="2">
        <f>Table2[[#This Row],[ActualHomeScore]]-Table2[[#This Row],[PredictedHomeScore]]</f>
        <v>0</v>
      </c>
      <c r="AH91" s="2">
        <f t="shared" si="12"/>
        <v>0</v>
      </c>
      <c r="AI91" s="2">
        <f t="shared" si="13"/>
        <v>0</v>
      </c>
      <c r="AJ91" s="2"/>
      <c r="AK91" s="2"/>
      <c r="AL91" s="2">
        <f>IF(Table2[[#This Row],[GameIsOver]]=0,0,IF(Table2[[#This Row],[ActualWinner]]=Table2[[#This Row],[AwayTeam]], 1, 0))</f>
        <v>0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" s="2" t="str">
        <f>INDEX(Sheet5!$B$2:$AG$33, MATCH(Table2[[#This Row],[AwayTeam]],Sheet5!$A$2:$A$33, 0), MATCH(Table2[[#This Row],[HomeTeam]],Sheet5!$A$2:$A$33, 0))</f>
        <v>0-0-0</v>
      </c>
      <c r="AP91" s="2" t="str">
        <f>INDEX(Sheet5!$B$2:$AG$33, MATCH(Table2[[#This Row],[HomeTeam]],Sheet5!$A$2:$A$33, 0), MATCH(Table2[[#This Row],[AwayTeam]],Sheet5!$A$2:$A$33, 0))</f>
        <v>0-0-0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1</v>
      </c>
      <c r="AU91" s="2"/>
      <c r="AV91" s="2"/>
    </row>
    <row r="92" spans="1:48" x14ac:dyDescent="0.25">
      <c r="A92" s="3"/>
      <c r="B92" s="3">
        <v>45949</v>
      </c>
      <c r="C92" s="5">
        <v>2025020090</v>
      </c>
      <c r="D92" s="2" t="s">
        <v>22</v>
      </c>
      <c r="E92" s="2" t="s">
        <v>30</v>
      </c>
      <c r="F92" s="2"/>
      <c r="G92" s="2"/>
      <c r="H92" s="2" t="str">
        <f t="shared" si="9"/>
        <v>_</v>
      </c>
      <c r="I92" s="2"/>
      <c r="J92" s="2"/>
      <c r="K92" s="2"/>
      <c r="L92" s="2" t="str">
        <f t="shared" si="10"/>
        <v>_</v>
      </c>
      <c r="M92" s="2"/>
      <c r="N92" s="2">
        <f>IF(ISBLANK(Table2[[#This Row],[ActualResult]]), 0, 1)</f>
        <v>0</v>
      </c>
      <c r="O92" s="2" t="str">
        <f>IF(ISBLANK(Table2[[#This Row],[ActualResult]]), "_", IF(Table2[[#This Row],[ActualWinner]]=Table2[[#This Row],[PredictedWinner]], "Y", "N"))</f>
        <v>_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" s="2"/>
      <c r="S92" s="2" t="str">
        <f t="shared" si="11"/>
        <v>_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45">
        <f>IF(AND(Table2[[#This Row],[GameIsOver]]=1,Table2[[#This Row],[ActualHomeScore]]*Table2[[#This Row],[ActualAwayScore]]=0), 1,0)</f>
        <v>0</v>
      </c>
      <c r="AA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0</v>
      </c>
      <c r="AG92" s="2">
        <f>Table2[[#This Row],[ActualHomeScore]]-Table2[[#This Row],[PredictedHomeScore]]</f>
        <v>0</v>
      </c>
      <c r="AH92" s="2">
        <f t="shared" si="12"/>
        <v>0</v>
      </c>
      <c r="AI92" s="2">
        <f t="shared" si="13"/>
        <v>0</v>
      </c>
      <c r="AJ92" s="2"/>
      <c r="AK92" s="2"/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0</v>
      </c>
      <c r="AN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" s="2" t="str">
        <f>INDEX(Sheet5!$B$2:$AG$33, MATCH(Table2[[#This Row],[AwayTeam]],Sheet5!$A$2:$A$33, 0), MATCH(Table2[[#This Row],[HomeTeam]],Sheet5!$A$2:$A$33, 0))</f>
        <v>0-0-0</v>
      </c>
      <c r="AP92" s="2" t="str">
        <f>INDEX(Sheet5!$B$2:$AG$33, MATCH(Table2[[#This Row],[HomeTeam]],Sheet5!$A$2:$A$33, 0), MATCH(Table2[[#This Row],[AwayTeam]],Sheet5!$A$2:$A$33, 0))</f>
        <v>0-0-0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1</v>
      </c>
      <c r="AU92" s="2"/>
      <c r="AV92" s="2"/>
    </row>
    <row r="93" spans="1:48" x14ac:dyDescent="0.25">
      <c r="A93" s="3"/>
      <c r="B93" s="3">
        <v>45949</v>
      </c>
      <c r="C93" s="5">
        <v>2025020091</v>
      </c>
      <c r="D93" s="2" t="s">
        <v>44</v>
      </c>
      <c r="E93" s="2" t="s">
        <v>16</v>
      </c>
      <c r="F93" s="2"/>
      <c r="G93" s="2"/>
      <c r="H93" s="2" t="str">
        <f t="shared" si="9"/>
        <v>_</v>
      </c>
      <c r="I93" s="2"/>
      <c r="J93" s="2"/>
      <c r="K93" s="2"/>
      <c r="L93" s="2" t="str">
        <f t="shared" si="10"/>
        <v>_</v>
      </c>
      <c r="M93" s="2"/>
      <c r="N93" s="2">
        <f>IF(ISBLANK(Table2[[#This Row],[ActualResult]]), 0, 1)</f>
        <v>0</v>
      </c>
      <c r="O93" s="2" t="str">
        <f>IF(ISBLANK(Table2[[#This Row],[ActualResult]]), "_", IF(Table2[[#This Row],[ActualWinner]]=Table2[[#This Row],[PredictedWinner]], "Y", "N"))</f>
        <v>_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" s="2"/>
      <c r="S93" s="2" t="str">
        <f t="shared" si="11"/>
        <v>_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45">
        <f>IF(AND(Table2[[#This Row],[GameIsOver]]=1,Table2[[#This Row],[ActualHomeScore]]*Table2[[#This Row],[ActualAwayScore]]=0), 1,0)</f>
        <v>0</v>
      </c>
      <c r="AA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0</v>
      </c>
      <c r="AG93" s="2">
        <f>Table2[[#This Row],[ActualHomeScore]]-Table2[[#This Row],[PredictedHomeScore]]</f>
        <v>0</v>
      </c>
      <c r="AH93" s="2">
        <f t="shared" si="12"/>
        <v>0</v>
      </c>
      <c r="AI93" s="2">
        <f t="shared" si="13"/>
        <v>0</v>
      </c>
      <c r="AJ93" s="2"/>
      <c r="AK93" s="2"/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0</v>
      </c>
      <c r="AN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" s="2" t="str">
        <f>INDEX(Sheet5!$B$2:$AG$33, MATCH(Table2[[#This Row],[AwayTeam]],Sheet5!$A$2:$A$33, 0), MATCH(Table2[[#This Row],[HomeTeam]],Sheet5!$A$2:$A$33, 0))</f>
        <v>0-0-0</v>
      </c>
      <c r="AP93" s="2" t="str">
        <f>INDEX(Sheet5!$B$2:$AG$33, MATCH(Table2[[#This Row],[HomeTeam]],Sheet5!$A$2:$A$33, 0), MATCH(Table2[[#This Row],[AwayTeam]],Sheet5!$A$2:$A$33, 0))</f>
        <v>0-0-0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/>
      <c r="AV93" s="2"/>
    </row>
    <row r="94" spans="1:48" x14ac:dyDescent="0.25">
      <c r="A94" s="3"/>
      <c r="B94" s="3">
        <v>45949</v>
      </c>
      <c r="C94" s="5">
        <v>2025020092</v>
      </c>
      <c r="D94" s="2" t="s">
        <v>15</v>
      </c>
      <c r="E94" s="2" t="s">
        <v>14</v>
      </c>
      <c r="F94" s="2"/>
      <c r="G94" s="2"/>
      <c r="H94" s="2" t="str">
        <f t="shared" si="9"/>
        <v>_</v>
      </c>
      <c r="I94" s="2"/>
      <c r="J94" s="2"/>
      <c r="K94" s="2"/>
      <c r="L94" s="2" t="str">
        <f t="shared" si="10"/>
        <v>_</v>
      </c>
      <c r="M94" s="2"/>
      <c r="N94" s="2">
        <f>IF(ISBLANK(Table2[[#This Row],[ActualResult]]), 0, 1)</f>
        <v>0</v>
      </c>
      <c r="O94" s="2" t="str">
        <f>IF(ISBLANK(Table2[[#This Row],[ActualResult]]), "_", IF(Table2[[#This Row],[ActualWinner]]=Table2[[#This Row],[PredictedWinner]], "Y", "N"))</f>
        <v>_</v>
      </c>
      <c r="P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" s="2"/>
      <c r="S94" s="2" t="str">
        <f t="shared" si="11"/>
        <v>_</v>
      </c>
      <c r="T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2">
        <f>IF(Table2[[#This Row],[InterConf]]=1,IF(Table2[[#This Row],[InterDiv]]=0, 1, 0), 0)</f>
        <v>0</v>
      </c>
      <c r="W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2"/>
      <c r="Y94" s="2"/>
      <c r="Z94" s="145">
        <f>IF(AND(Table2[[#This Row],[GameIsOver]]=1,Table2[[#This Row],[ActualHomeScore]]*Table2[[#This Row],[ActualAwayScore]]=0), 1,0)</f>
        <v>0</v>
      </c>
      <c r="AA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2">
        <f>Table2[[#This Row],[ActualAwayScore]]-Table2[[#This Row],[PredictedAwayScore]]</f>
        <v>0</v>
      </c>
      <c r="AG94" s="2">
        <f>Table2[[#This Row],[ActualHomeScore]]-Table2[[#This Row],[PredictedHomeScore]]</f>
        <v>0</v>
      </c>
      <c r="AH94" s="2">
        <f t="shared" si="12"/>
        <v>0</v>
      </c>
      <c r="AI94" s="2">
        <f t="shared" si="13"/>
        <v>0</v>
      </c>
      <c r="AJ94" s="2"/>
      <c r="AK94" s="2"/>
      <c r="AL94" s="2">
        <f>IF(Table2[[#This Row],[GameIsOver]]=0,0,IF(Table2[[#This Row],[ActualWinner]]=Table2[[#This Row],[AwayTeam]], 1, 0))</f>
        <v>0</v>
      </c>
      <c r="AM94" s="2">
        <f>IF(Table2[[#This Row],[GameIsOver]]=0,0,IF(Table2[[#This Row],[ActualWinner]]=Table2[[#This Row],[HomeTeam]], 1, 0))</f>
        <v>0</v>
      </c>
      <c r="AN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" s="2" t="str">
        <f>INDEX(Sheet5!$B$2:$AG$33, MATCH(Table2[[#This Row],[AwayTeam]],Sheet5!$A$2:$A$33, 0), MATCH(Table2[[#This Row],[HomeTeam]],Sheet5!$A$2:$A$33, 0))</f>
        <v>0-0-0</v>
      </c>
      <c r="AP94" s="2" t="str">
        <f>INDEX(Sheet5!$B$2:$AG$33, MATCH(Table2[[#This Row],[HomeTeam]],Sheet5!$A$2:$A$33, 0), MATCH(Table2[[#This Row],[AwayTeam]],Sheet5!$A$2:$A$33, 0))</f>
        <v>0-0-0</v>
      </c>
      <c r="AQ94" s="2">
        <f>IF(Table2[[#This Row],[GameHasShutOut]], 1, 0)</f>
        <v>0</v>
      </c>
      <c r="AR94" s="2">
        <f>IF(Table2[[#This Row],[ActualAwayScore]] + Table2[[#This Row],[ActualHomeScore]] &gt;= 10, 1, 0)</f>
        <v>0</v>
      </c>
      <c r="AS94" s="2">
        <f>IF(ABS(Table2[[#This Row],[ActualAwayScore]]-Table2[[#This Row],[ActualHomeScore]])&gt;=5, 1, 0)</f>
        <v>0</v>
      </c>
      <c r="AT94" s="2">
        <f>IF(Table2[[#This Row],[ActualAwayScore]] + Table2[[#This Row],[ActualHomeScore]] &lt;= 3, 1, 0)</f>
        <v>1</v>
      </c>
      <c r="AU94" s="2"/>
      <c r="AV94" s="2"/>
    </row>
    <row r="95" spans="1:48" x14ac:dyDescent="0.25">
      <c r="A95" s="3"/>
      <c r="B95" s="3">
        <v>45950</v>
      </c>
      <c r="C95" s="5">
        <v>2025020093</v>
      </c>
      <c r="D95" s="2" t="s">
        <v>36</v>
      </c>
      <c r="E95" s="2" t="s">
        <v>19</v>
      </c>
      <c r="F95" s="2"/>
      <c r="G95" s="2"/>
      <c r="H95" s="2" t="str">
        <f t="shared" si="9"/>
        <v>_</v>
      </c>
      <c r="I95" s="2"/>
      <c r="J95" s="2"/>
      <c r="K95" s="2"/>
      <c r="L95" s="2" t="str">
        <f t="shared" si="10"/>
        <v>_</v>
      </c>
      <c r="M95" s="2"/>
      <c r="N95" s="2">
        <f>IF(ISBLANK(Table2[[#This Row],[ActualResult]]), 0, 1)</f>
        <v>0</v>
      </c>
      <c r="O95" s="2" t="str">
        <f>IF(ISBLANK(Table2[[#This Row],[ActualResult]]), "_", IF(Table2[[#This Row],[ActualWinner]]=Table2[[#This Row],[PredictedWinner]], "Y", "N"))</f>
        <v>_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" s="2"/>
      <c r="S95" s="2" t="str">
        <f t="shared" si="11"/>
        <v>_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45">
        <f>IF(AND(Table2[[#This Row],[GameIsOver]]=1,Table2[[#This Row],[ActualHomeScore]]*Table2[[#This Row],[ActualAwayScore]]=0), 1,0)</f>
        <v>0</v>
      </c>
      <c r="AA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0</v>
      </c>
      <c r="AG95" s="2">
        <f>Table2[[#This Row],[ActualHomeScore]]-Table2[[#This Row],[PredictedHomeScore]]</f>
        <v>0</v>
      </c>
      <c r="AH95" s="2">
        <f t="shared" si="12"/>
        <v>0</v>
      </c>
      <c r="AI95" s="2">
        <f t="shared" si="13"/>
        <v>0</v>
      </c>
      <c r="AJ95" s="2"/>
      <c r="AK95" s="2"/>
      <c r="AL95" s="2">
        <f>IF(Table2[[#This Row],[GameIsOver]]=0,0,IF(Table2[[#This Row],[ActualWinner]]=Table2[[#This Row],[AwayTeam]], 1, 0))</f>
        <v>0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" s="2" t="str">
        <f>INDEX(Sheet5!$B$2:$AG$33, MATCH(Table2[[#This Row],[AwayTeam]],Sheet5!$A$2:$A$33, 0), MATCH(Table2[[#This Row],[HomeTeam]],Sheet5!$A$2:$A$33, 0))</f>
        <v>0-0-0</v>
      </c>
      <c r="AP95" s="2" t="str">
        <f>INDEX(Sheet5!$B$2:$AG$33, MATCH(Table2[[#This Row],[HomeTeam]],Sheet5!$A$2:$A$33, 0), MATCH(Table2[[#This Row],[AwayTeam]],Sheet5!$A$2:$A$33, 0))</f>
        <v>0-0-0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1</v>
      </c>
      <c r="AU95" s="2"/>
      <c r="AV95" s="2"/>
    </row>
    <row r="96" spans="1:48" x14ac:dyDescent="0.25">
      <c r="A96" s="3"/>
      <c r="B96" s="3">
        <v>45950</v>
      </c>
      <c r="C96" s="5">
        <v>2025020094</v>
      </c>
      <c r="D96" s="2" t="s">
        <v>11</v>
      </c>
      <c r="E96" s="2" t="s">
        <v>42</v>
      </c>
      <c r="F96" s="2"/>
      <c r="G96" s="2"/>
      <c r="H96" s="2" t="str">
        <f t="shared" si="9"/>
        <v>_</v>
      </c>
      <c r="I96" s="2"/>
      <c r="J96" s="2"/>
      <c r="K96" s="2"/>
      <c r="L96" s="2" t="str">
        <f t="shared" si="10"/>
        <v>_</v>
      </c>
      <c r="M96" s="2"/>
      <c r="N96" s="2">
        <f>IF(ISBLANK(Table2[[#This Row],[ActualResult]]), 0, 1)</f>
        <v>0</v>
      </c>
      <c r="O96" s="2" t="str">
        <f>IF(ISBLANK(Table2[[#This Row],[ActualResult]]), "_", IF(Table2[[#This Row],[ActualWinner]]=Table2[[#This Row],[PredictedWinner]], "Y", "N"))</f>
        <v>_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" s="2"/>
      <c r="S96" s="2" t="str">
        <f t="shared" si="11"/>
        <v>_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45">
        <f>IF(AND(Table2[[#This Row],[GameIsOver]]=1,Table2[[#This Row],[ActualHomeScore]]*Table2[[#This Row],[ActualAwayScore]]=0), 1,0)</f>
        <v>0</v>
      </c>
      <c r="AA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0</v>
      </c>
      <c r="AG96" s="2">
        <f>Table2[[#This Row],[ActualHomeScore]]-Table2[[#This Row],[PredictedHomeScore]]</f>
        <v>0</v>
      </c>
      <c r="AH96" s="2">
        <f t="shared" si="12"/>
        <v>0</v>
      </c>
      <c r="AI96" s="2">
        <f t="shared" si="13"/>
        <v>0</v>
      </c>
      <c r="AJ96" s="2"/>
      <c r="AK96" s="2"/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0</v>
      </c>
      <c r="AN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" s="2" t="str">
        <f>INDEX(Sheet5!$B$2:$AG$33, MATCH(Table2[[#This Row],[AwayTeam]],Sheet5!$A$2:$A$33, 0), MATCH(Table2[[#This Row],[HomeTeam]],Sheet5!$A$2:$A$33, 0))</f>
        <v>0-0-0</v>
      </c>
      <c r="AP96" s="2" t="str">
        <f>INDEX(Sheet5!$B$2:$AG$33, MATCH(Table2[[#This Row],[HomeTeam]],Sheet5!$A$2:$A$33, 0), MATCH(Table2[[#This Row],[AwayTeam]],Sheet5!$A$2:$A$33, 0))</f>
        <v>0-0-0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1</v>
      </c>
      <c r="AU96" s="2"/>
      <c r="AV96" s="2"/>
    </row>
    <row r="97" spans="1:48" x14ac:dyDescent="0.25">
      <c r="A97" s="3"/>
      <c r="B97" s="3">
        <v>45950</v>
      </c>
      <c r="C97" s="5">
        <v>2025020095</v>
      </c>
      <c r="D97" s="2" t="s">
        <v>28</v>
      </c>
      <c r="E97" s="2" t="s">
        <v>18</v>
      </c>
      <c r="F97" s="2"/>
      <c r="G97" s="2"/>
      <c r="H97" s="2" t="str">
        <f t="shared" si="9"/>
        <v>_</v>
      </c>
      <c r="I97" s="2"/>
      <c r="J97" s="2"/>
      <c r="K97" s="2"/>
      <c r="L97" s="2" t="str">
        <f t="shared" si="10"/>
        <v>_</v>
      </c>
      <c r="M97" s="2"/>
      <c r="N97" s="2">
        <f>IF(ISBLANK(Table2[[#This Row],[ActualResult]]), 0, 1)</f>
        <v>0</v>
      </c>
      <c r="O97" s="2" t="str">
        <f>IF(ISBLANK(Table2[[#This Row],[ActualResult]]), "_", IF(Table2[[#This Row],[ActualWinner]]=Table2[[#This Row],[PredictedWinner]], "Y", "N"))</f>
        <v>_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" s="2"/>
      <c r="S97" s="2" t="str">
        <f t="shared" si="11"/>
        <v>_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/>
      <c r="Y97" s="2"/>
      <c r="Z97" s="145">
        <f>IF(AND(Table2[[#This Row],[GameIsOver]]=1,Table2[[#This Row],[ActualHomeScore]]*Table2[[#This Row],[ActualAwayScore]]=0), 1,0)</f>
        <v>0</v>
      </c>
      <c r="AA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0</v>
      </c>
      <c r="AG97" s="2">
        <f>Table2[[#This Row],[ActualHomeScore]]-Table2[[#This Row],[PredictedHomeScore]]</f>
        <v>0</v>
      </c>
      <c r="AH97" s="2">
        <f t="shared" si="12"/>
        <v>0</v>
      </c>
      <c r="AI97" s="2">
        <f t="shared" si="13"/>
        <v>0</v>
      </c>
      <c r="AJ97" s="2"/>
      <c r="AK97" s="2"/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0</v>
      </c>
      <c r="AN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" s="2" t="str">
        <f>INDEX(Sheet5!$B$2:$AG$33, MATCH(Table2[[#This Row],[AwayTeam]],Sheet5!$A$2:$A$33, 0), MATCH(Table2[[#This Row],[HomeTeam]],Sheet5!$A$2:$A$33, 0))</f>
        <v>0-0-0</v>
      </c>
      <c r="AP97" s="2" t="str">
        <f>INDEX(Sheet5!$B$2:$AG$33, MATCH(Table2[[#This Row],[HomeTeam]],Sheet5!$A$2:$A$33, 0), MATCH(Table2[[#This Row],[AwayTeam]],Sheet5!$A$2:$A$33, 0))</f>
        <v>0-0-0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1</v>
      </c>
      <c r="AU97" s="2"/>
      <c r="AV97" s="2"/>
    </row>
    <row r="98" spans="1:48" x14ac:dyDescent="0.25">
      <c r="A98" s="3"/>
      <c r="B98" s="3">
        <v>45951</v>
      </c>
      <c r="C98" s="5">
        <v>2025020096</v>
      </c>
      <c r="D98" s="2" t="s">
        <v>21</v>
      </c>
      <c r="E98" s="2" t="s">
        <v>23</v>
      </c>
      <c r="F98" s="2"/>
      <c r="G98" s="2"/>
      <c r="H98" s="2" t="str">
        <f t="shared" si="9"/>
        <v>_</v>
      </c>
      <c r="I98" s="2"/>
      <c r="J98" s="2"/>
      <c r="K98" s="2"/>
      <c r="L98" s="2" t="str">
        <f t="shared" si="10"/>
        <v>_</v>
      </c>
      <c r="M98" s="2"/>
      <c r="N98" s="2">
        <f>IF(ISBLANK(Table2[[#This Row],[ActualResult]]), 0, 1)</f>
        <v>0</v>
      </c>
      <c r="O98" s="2" t="str">
        <f>IF(ISBLANK(Table2[[#This Row],[ActualResult]]), "_", IF(Table2[[#This Row],[ActualWinner]]=Table2[[#This Row],[PredictedWinner]], "Y", "N"))</f>
        <v>_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" s="2"/>
      <c r="S98" s="2" t="str">
        <f t="shared" si="11"/>
        <v>_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45">
        <f>IF(AND(Table2[[#This Row],[GameIsOver]]=1,Table2[[#This Row],[ActualHomeScore]]*Table2[[#This Row],[ActualAwayScore]]=0), 1,0)</f>
        <v>0</v>
      </c>
      <c r="AA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0</v>
      </c>
      <c r="AH98" s="2">
        <f t="shared" si="12"/>
        <v>0</v>
      </c>
      <c r="AI98" s="2">
        <f t="shared" si="13"/>
        <v>0</v>
      </c>
      <c r="AJ98" s="2"/>
      <c r="AK98" s="2"/>
      <c r="AL98" s="2">
        <f>IF(Table2[[#This Row],[GameIsOver]]=0,0,IF(Table2[[#This Row],[ActualWinner]]=Table2[[#This Row],[AwayTeam]], 1, 0))</f>
        <v>0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" s="2" t="str">
        <f>INDEX(Sheet5!$B$2:$AG$33, MATCH(Table2[[#This Row],[AwayTeam]],Sheet5!$A$2:$A$33, 0), MATCH(Table2[[#This Row],[HomeTeam]],Sheet5!$A$2:$A$33, 0))</f>
        <v>0-0-0</v>
      </c>
      <c r="AP98" s="2" t="str">
        <f>INDEX(Sheet5!$B$2:$AG$33, MATCH(Table2[[#This Row],[HomeTeam]],Sheet5!$A$2:$A$33, 0), MATCH(Table2[[#This Row],[AwayTeam]],Sheet5!$A$2:$A$33, 0))</f>
        <v>0-0-0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/>
      <c r="AV98" s="2"/>
    </row>
    <row r="99" spans="1:48" x14ac:dyDescent="0.25">
      <c r="A99" s="3"/>
      <c r="B99" s="3">
        <v>45951</v>
      </c>
      <c r="C99" s="5">
        <v>2025020097</v>
      </c>
      <c r="D99" s="2" t="s">
        <v>41</v>
      </c>
      <c r="E99" s="2" t="s">
        <v>26</v>
      </c>
      <c r="F99" s="2"/>
      <c r="G99" s="2"/>
      <c r="H99" s="2" t="str">
        <f t="shared" si="9"/>
        <v>_</v>
      </c>
      <c r="I99" s="2"/>
      <c r="J99" s="2"/>
      <c r="K99" s="2"/>
      <c r="L99" s="2" t="str">
        <f t="shared" si="10"/>
        <v>_</v>
      </c>
      <c r="M99" s="2"/>
      <c r="N99" s="2">
        <f>IF(ISBLANK(Table2[[#This Row],[ActualResult]]), 0, 1)</f>
        <v>0</v>
      </c>
      <c r="O99" s="2" t="str">
        <f>IF(ISBLANK(Table2[[#This Row],[ActualResult]]), "_", IF(Table2[[#This Row],[ActualWinner]]=Table2[[#This Row],[PredictedWinner]], "Y", "N"))</f>
        <v>_</v>
      </c>
      <c r="P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" s="2"/>
      <c r="S99" s="2" t="str">
        <f t="shared" si="11"/>
        <v>_</v>
      </c>
      <c r="T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2">
        <f>IF(Table2[[#This Row],[InterConf]]=1,IF(Table2[[#This Row],[InterDiv]]=0, 1, 0), 0)</f>
        <v>0</v>
      </c>
      <c r="W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2"/>
      <c r="Y99" s="2"/>
      <c r="Z99" s="145">
        <f>IF(AND(Table2[[#This Row],[GameIsOver]]=1,Table2[[#This Row],[ActualHomeScore]]*Table2[[#This Row],[ActualAwayScore]]=0), 1,0)</f>
        <v>0</v>
      </c>
      <c r="AA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9" s="2">
        <f>Table2[[#This Row],[ActualAwayScore]]-Table2[[#This Row],[PredictedAwayScore]]</f>
        <v>0</v>
      </c>
      <c r="AG99" s="2">
        <f>Table2[[#This Row],[ActualHomeScore]]-Table2[[#This Row],[PredictedHomeScore]]</f>
        <v>0</v>
      </c>
      <c r="AH99" s="2">
        <f t="shared" si="12"/>
        <v>0</v>
      </c>
      <c r="AI99" s="2">
        <f t="shared" si="13"/>
        <v>0</v>
      </c>
      <c r="AJ99" s="2"/>
      <c r="AK99" s="2"/>
      <c r="AL99" s="2">
        <f>IF(Table2[[#This Row],[GameIsOver]]=0,0,IF(Table2[[#This Row],[ActualWinner]]=Table2[[#This Row],[AwayTeam]], 1, 0))</f>
        <v>0</v>
      </c>
      <c r="AM99" s="2">
        <f>IF(Table2[[#This Row],[GameIsOver]]=0,0,IF(Table2[[#This Row],[ActualWinner]]=Table2[[#This Row],[HomeTeam]], 1, 0))</f>
        <v>0</v>
      </c>
      <c r="AN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" s="2" t="str">
        <f>INDEX(Sheet5!$B$2:$AG$33, MATCH(Table2[[#This Row],[AwayTeam]],Sheet5!$A$2:$A$33, 0), MATCH(Table2[[#This Row],[HomeTeam]],Sheet5!$A$2:$A$33, 0))</f>
        <v>0-0-0</v>
      </c>
      <c r="AP99" s="2" t="str">
        <f>INDEX(Sheet5!$B$2:$AG$33, MATCH(Table2[[#This Row],[HomeTeam]],Sheet5!$A$2:$A$33, 0), MATCH(Table2[[#This Row],[AwayTeam]],Sheet5!$A$2:$A$33, 0))</f>
        <v>0-0-0</v>
      </c>
      <c r="AQ99" s="2">
        <f>IF(Table2[[#This Row],[GameHasShutOut]], 1, 0)</f>
        <v>0</v>
      </c>
      <c r="AR99" s="2">
        <f>IF(Table2[[#This Row],[ActualAwayScore]] + Table2[[#This Row],[ActualHomeScore]] &gt;= 10, 1, 0)</f>
        <v>0</v>
      </c>
      <c r="AS99" s="2">
        <f>IF(ABS(Table2[[#This Row],[ActualAwayScore]]-Table2[[#This Row],[ActualHomeScore]])&gt;=5, 1, 0)</f>
        <v>0</v>
      </c>
      <c r="AT99" s="2">
        <f>IF(Table2[[#This Row],[ActualAwayScore]] + Table2[[#This Row],[ActualHomeScore]] &lt;= 3, 1, 0)</f>
        <v>1</v>
      </c>
      <c r="AU99" s="2"/>
      <c r="AV99" s="2"/>
    </row>
    <row r="100" spans="1:48" x14ac:dyDescent="0.25">
      <c r="A100" s="3"/>
      <c r="B100" s="3">
        <v>45951</v>
      </c>
      <c r="C100" s="5">
        <v>2025020098</v>
      </c>
      <c r="D100" s="2" t="s">
        <v>31</v>
      </c>
      <c r="E100" s="2" t="s">
        <v>17</v>
      </c>
      <c r="F100" s="2"/>
      <c r="G100" s="2"/>
      <c r="H100" s="2" t="str">
        <f t="shared" si="9"/>
        <v>_</v>
      </c>
      <c r="I100" s="2"/>
      <c r="J100" s="2"/>
      <c r="K100" s="2"/>
      <c r="L100" s="2" t="str">
        <f t="shared" si="10"/>
        <v>_</v>
      </c>
      <c r="M100" s="2"/>
      <c r="N100" s="2">
        <f>IF(ISBLANK(Table2[[#This Row],[ActualResult]]), 0, 1)</f>
        <v>0</v>
      </c>
      <c r="O100" s="2" t="str">
        <f>IF(ISBLANK(Table2[[#This Row],[ActualResult]]), "_", IF(Table2[[#This Row],[ActualWinner]]=Table2[[#This Row],[PredictedWinner]], "Y", "N"))</f>
        <v>_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" s="2"/>
      <c r="S100" s="2" t="str">
        <f t="shared" si="11"/>
        <v>_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45">
        <f>IF(AND(Table2[[#This Row],[GameIsOver]]=1,Table2[[#This Row],[ActualHomeScore]]*Table2[[#This Row],[ActualAwayScore]]=0), 1,0)</f>
        <v>0</v>
      </c>
      <c r="AA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0</v>
      </c>
      <c r="AG100" s="2">
        <f>Table2[[#This Row],[ActualHomeScore]]-Table2[[#This Row],[PredictedHomeScore]]</f>
        <v>0</v>
      </c>
      <c r="AH100" s="2">
        <f t="shared" si="12"/>
        <v>0</v>
      </c>
      <c r="AI100" s="2">
        <f t="shared" si="13"/>
        <v>0</v>
      </c>
      <c r="AJ100" s="2"/>
      <c r="AK100" s="2"/>
      <c r="AL100" s="2">
        <f>IF(Table2[[#This Row],[GameIsOver]]=0,0,IF(Table2[[#This Row],[ActualWinner]]=Table2[[#This Row],[AwayTeam]], 1, 0))</f>
        <v>0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" s="2" t="str">
        <f>INDEX(Sheet5!$B$2:$AG$33, MATCH(Table2[[#This Row],[AwayTeam]],Sheet5!$A$2:$A$33, 0), MATCH(Table2[[#This Row],[HomeTeam]],Sheet5!$A$2:$A$33, 0))</f>
        <v>0-0-0</v>
      </c>
      <c r="AP100" s="2" t="str">
        <f>INDEX(Sheet5!$B$2:$AG$33, MATCH(Table2[[#This Row],[HomeTeam]],Sheet5!$A$2:$A$33, 0), MATCH(Table2[[#This Row],[AwayTeam]],Sheet5!$A$2:$A$33, 0))</f>
        <v>0-0-0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1</v>
      </c>
      <c r="AU100" s="2"/>
      <c r="AV100" s="2"/>
    </row>
    <row r="101" spans="1:48" x14ac:dyDescent="0.25">
      <c r="A101" s="3"/>
      <c r="B101" s="3">
        <v>45951</v>
      </c>
      <c r="C101" s="5">
        <v>2025020099</v>
      </c>
      <c r="D101" s="2" t="s">
        <v>22</v>
      </c>
      <c r="E101" s="2" t="s">
        <v>29</v>
      </c>
      <c r="F101" s="2"/>
      <c r="G101" s="2"/>
      <c r="H101" s="2" t="str">
        <f t="shared" si="9"/>
        <v>_</v>
      </c>
      <c r="I101" s="2"/>
      <c r="J101" s="2"/>
      <c r="K101" s="2"/>
      <c r="L101" s="2" t="str">
        <f t="shared" si="10"/>
        <v>_</v>
      </c>
      <c r="M101" s="2"/>
      <c r="N101" s="2">
        <f>IF(ISBLANK(Table2[[#This Row],[ActualResult]]), 0, 1)</f>
        <v>0</v>
      </c>
      <c r="O101" s="2" t="str">
        <f>IF(ISBLANK(Table2[[#This Row],[ActualResult]]), "_", IF(Table2[[#This Row],[ActualWinner]]=Table2[[#This Row],[PredictedWinner]], "Y", "N"))</f>
        <v>_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" s="2"/>
      <c r="S101" s="2" t="str">
        <f t="shared" si="11"/>
        <v>_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45">
        <f>IF(AND(Table2[[#This Row],[GameIsOver]]=1,Table2[[#This Row],[ActualHomeScore]]*Table2[[#This Row],[ActualAwayScore]]=0), 1,0)</f>
        <v>0</v>
      </c>
      <c r="AA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0</v>
      </c>
      <c r="AG101" s="2">
        <f>Table2[[#This Row],[ActualHomeScore]]-Table2[[#This Row],[PredictedHomeScore]]</f>
        <v>0</v>
      </c>
      <c r="AH101" s="2">
        <f t="shared" si="12"/>
        <v>0</v>
      </c>
      <c r="AI101" s="2">
        <f t="shared" si="13"/>
        <v>0</v>
      </c>
      <c r="AJ101" s="2"/>
      <c r="AK101" s="2"/>
      <c r="AL101" s="2">
        <f>IF(Table2[[#This Row],[GameIsOver]]=0,0,IF(Table2[[#This Row],[ActualWinner]]=Table2[[#This Row],[AwayTeam]], 1, 0))</f>
        <v>0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" s="2" t="str">
        <f>INDEX(Sheet5!$B$2:$AG$33, MATCH(Table2[[#This Row],[AwayTeam]],Sheet5!$A$2:$A$33, 0), MATCH(Table2[[#This Row],[HomeTeam]],Sheet5!$A$2:$A$33, 0))</f>
        <v>0-0-0</v>
      </c>
      <c r="AP101" s="2" t="str">
        <f>INDEX(Sheet5!$B$2:$AG$33, MATCH(Table2[[#This Row],[HomeTeam]],Sheet5!$A$2:$A$33, 0), MATCH(Table2[[#This Row],[AwayTeam]],Sheet5!$A$2:$A$33, 0))</f>
        <v>0-0-0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1</v>
      </c>
      <c r="AU101" s="2"/>
      <c r="AV101" s="2"/>
    </row>
    <row r="102" spans="1:48" x14ac:dyDescent="0.25">
      <c r="A102" s="3"/>
      <c r="B102" s="3">
        <v>45951</v>
      </c>
      <c r="C102" s="5">
        <v>2025020100</v>
      </c>
      <c r="D102" s="2" t="s">
        <v>37</v>
      </c>
      <c r="E102" s="2" t="s">
        <v>32</v>
      </c>
      <c r="F102" s="2"/>
      <c r="G102" s="2"/>
      <c r="H102" s="2" t="str">
        <f t="shared" si="9"/>
        <v>_</v>
      </c>
      <c r="I102" s="2"/>
      <c r="J102" s="2"/>
      <c r="K102" s="2"/>
      <c r="L102" s="2" t="str">
        <f t="shared" si="10"/>
        <v>_</v>
      </c>
      <c r="M102" s="2"/>
      <c r="N102" s="2">
        <f>IF(ISBLANK(Table2[[#This Row],[ActualResult]]), 0, 1)</f>
        <v>0</v>
      </c>
      <c r="O102" s="2" t="str">
        <f>IF(ISBLANK(Table2[[#This Row],[ActualResult]]), "_", IF(Table2[[#This Row],[ActualWinner]]=Table2[[#This Row],[PredictedWinner]], "Y", "N"))</f>
        <v>_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" s="2"/>
      <c r="S102" s="2" t="str">
        <f t="shared" si="11"/>
        <v>_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45">
        <f>IF(AND(Table2[[#This Row],[GameIsOver]]=1,Table2[[#This Row],[ActualHomeScore]]*Table2[[#This Row],[ActualAwayScore]]=0), 1,0)</f>
        <v>0</v>
      </c>
      <c r="AA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0</v>
      </c>
      <c r="AH102" s="2">
        <f t="shared" si="12"/>
        <v>0</v>
      </c>
      <c r="AI102" s="2">
        <f t="shared" si="13"/>
        <v>0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0</v>
      </c>
      <c r="AN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" s="2" t="str">
        <f>INDEX(Sheet5!$B$2:$AG$33, MATCH(Table2[[#This Row],[AwayTeam]],Sheet5!$A$2:$A$33, 0), MATCH(Table2[[#This Row],[HomeTeam]],Sheet5!$A$2:$A$33, 0))</f>
        <v>0-0-0</v>
      </c>
      <c r="AP102" s="2" t="str">
        <f>INDEX(Sheet5!$B$2:$AG$33, MATCH(Table2[[#This Row],[HomeTeam]],Sheet5!$A$2:$A$33, 0), MATCH(Table2[[#This Row],[AwayTeam]],Sheet5!$A$2:$A$33, 0))</f>
        <v>0-0-0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1</v>
      </c>
      <c r="AU102" s="2"/>
      <c r="AV102" s="2"/>
    </row>
    <row r="103" spans="1:48" x14ac:dyDescent="0.25">
      <c r="A103" s="3"/>
      <c r="B103" s="3">
        <v>45951</v>
      </c>
      <c r="C103" s="5">
        <v>2025020101</v>
      </c>
      <c r="D103" s="2" t="s">
        <v>24</v>
      </c>
      <c r="E103" s="2" t="s">
        <v>20</v>
      </c>
      <c r="F103" s="2"/>
      <c r="G103" s="2"/>
      <c r="H103" s="2" t="str">
        <f t="shared" si="9"/>
        <v>_</v>
      </c>
      <c r="I103" s="2"/>
      <c r="J103" s="2"/>
      <c r="K103" s="2"/>
      <c r="L103" s="2" t="str">
        <f t="shared" si="10"/>
        <v>_</v>
      </c>
      <c r="M103" s="2"/>
      <c r="N103" s="2">
        <f>IF(ISBLANK(Table2[[#This Row],[ActualResult]]), 0, 1)</f>
        <v>0</v>
      </c>
      <c r="O103" s="2" t="str">
        <f>IF(ISBLANK(Table2[[#This Row],[ActualResult]]), "_", IF(Table2[[#This Row],[ActualWinner]]=Table2[[#This Row],[PredictedWinner]], "Y", "N"))</f>
        <v>_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" s="2"/>
      <c r="S103" s="2" t="str">
        <f t="shared" si="11"/>
        <v>_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45">
        <f>IF(AND(Table2[[#This Row],[GameIsOver]]=1,Table2[[#This Row],[ActualHomeScore]]*Table2[[#This Row],[ActualAwayScore]]=0), 1,0)</f>
        <v>0</v>
      </c>
      <c r="AA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0</v>
      </c>
      <c r="AG103" s="2">
        <f>Table2[[#This Row],[ActualHomeScore]]-Table2[[#This Row],[PredictedHomeScore]]</f>
        <v>0</v>
      </c>
      <c r="AH103" s="2">
        <f t="shared" si="12"/>
        <v>0</v>
      </c>
      <c r="AI103" s="2">
        <f t="shared" si="13"/>
        <v>0</v>
      </c>
      <c r="AJ103" s="2"/>
      <c r="AK103" s="2"/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0</v>
      </c>
      <c r="AN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" s="2" t="str">
        <f>INDEX(Sheet5!$B$2:$AG$33, MATCH(Table2[[#This Row],[AwayTeam]],Sheet5!$A$2:$A$33, 0), MATCH(Table2[[#This Row],[HomeTeam]],Sheet5!$A$2:$A$33, 0))</f>
        <v>0-0-0</v>
      </c>
      <c r="AP103" s="2" t="str">
        <f>INDEX(Sheet5!$B$2:$AG$33, MATCH(Table2[[#This Row],[HomeTeam]],Sheet5!$A$2:$A$33, 0), MATCH(Table2[[#This Row],[AwayTeam]],Sheet5!$A$2:$A$33, 0))</f>
        <v>0-0-0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1</v>
      </c>
      <c r="AU103" s="2"/>
      <c r="AV103" s="2"/>
    </row>
    <row r="104" spans="1:48" x14ac:dyDescent="0.25">
      <c r="A104" s="3"/>
      <c r="B104" s="3">
        <v>45951</v>
      </c>
      <c r="C104" s="5">
        <v>2025020102</v>
      </c>
      <c r="D104" s="2" t="s">
        <v>11</v>
      </c>
      <c r="E104" s="2" t="s">
        <v>43</v>
      </c>
      <c r="F104" s="2"/>
      <c r="G104" s="2"/>
      <c r="H104" s="2" t="str">
        <f t="shared" si="9"/>
        <v>_</v>
      </c>
      <c r="I104" s="2"/>
      <c r="J104" s="2"/>
      <c r="K104" s="2"/>
      <c r="L104" s="2" t="str">
        <f t="shared" si="10"/>
        <v>_</v>
      </c>
      <c r="M104" s="2"/>
      <c r="N104" s="2">
        <f>IF(ISBLANK(Table2[[#This Row],[ActualResult]]), 0, 1)</f>
        <v>0</v>
      </c>
      <c r="O104" s="2" t="str">
        <f>IF(ISBLANK(Table2[[#This Row],[ActualResult]]), "_", IF(Table2[[#This Row],[ActualWinner]]=Table2[[#This Row],[PredictedWinner]], "Y", "N"))</f>
        <v>_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" s="2"/>
      <c r="S104" s="2" t="str">
        <f t="shared" si="11"/>
        <v>_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45">
        <f>IF(AND(Table2[[#This Row],[GameIsOver]]=1,Table2[[#This Row],[ActualHomeScore]]*Table2[[#This Row],[ActualAwayScore]]=0), 1,0)</f>
        <v>0</v>
      </c>
      <c r="AA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0</v>
      </c>
      <c r="AG104" s="2">
        <f>Table2[[#This Row],[ActualHomeScore]]-Table2[[#This Row],[PredictedHomeScore]]</f>
        <v>0</v>
      </c>
      <c r="AH104" s="2">
        <f t="shared" si="12"/>
        <v>0</v>
      </c>
      <c r="AI104" s="2">
        <f t="shared" si="13"/>
        <v>0</v>
      </c>
      <c r="AJ104" s="2"/>
      <c r="AK104" s="2"/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0</v>
      </c>
      <c r="AN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" s="2" t="str">
        <f>INDEX(Sheet5!$B$2:$AG$33, MATCH(Table2[[#This Row],[AwayTeam]],Sheet5!$A$2:$A$33, 0), MATCH(Table2[[#This Row],[HomeTeam]],Sheet5!$A$2:$A$33, 0))</f>
        <v>0-0-0</v>
      </c>
      <c r="AP104" s="2" t="str">
        <f>INDEX(Sheet5!$B$2:$AG$33, MATCH(Table2[[#This Row],[HomeTeam]],Sheet5!$A$2:$A$33, 0), MATCH(Table2[[#This Row],[AwayTeam]],Sheet5!$A$2:$A$33, 0))</f>
        <v>0-0-0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1</v>
      </c>
      <c r="AU104" s="2"/>
      <c r="AV104" s="2"/>
    </row>
    <row r="105" spans="1:48" x14ac:dyDescent="0.25">
      <c r="A105" s="3"/>
      <c r="B105" s="3">
        <v>45951</v>
      </c>
      <c r="C105" s="5">
        <v>2025020103</v>
      </c>
      <c r="D105" s="2" t="s">
        <v>13</v>
      </c>
      <c r="E105" s="2" t="s">
        <v>15</v>
      </c>
      <c r="F105" s="2"/>
      <c r="G105" s="2"/>
      <c r="H105" s="2" t="str">
        <f t="shared" si="9"/>
        <v>_</v>
      </c>
      <c r="I105" s="2"/>
      <c r="J105" s="2"/>
      <c r="K105" s="2"/>
      <c r="L105" s="2" t="str">
        <f t="shared" si="10"/>
        <v>_</v>
      </c>
      <c r="M105" s="2"/>
      <c r="N105" s="2">
        <f>IF(ISBLANK(Table2[[#This Row],[ActualResult]]), 0, 1)</f>
        <v>0</v>
      </c>
      <c r="O105" s="2" t="str">
        <f>IF(ISBLANK(Table2[[#This Row],[ActualResult]]), "_", IF(Table2[[#This Row],[ActualWinner]]=Table2[[#This Row],[PredictedWinner]], "Y", "N"))</f>
        <v>_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" s="2"/>
      <c r="S105" s="2" t="str">
        <f t="shared" si="11"/>
        <v>_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45">
        <f>IF(AND(Table2[[#This Row],[GameIsOver]]=1,Table2[[#This Row],[ActualHomeScore]]*Table2[[#This Row],[ActualAwayScore]]=0), 1,0)</f>
        <v>0</v>
      </c>
      <c r="AA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0</v>
      </c>
      <c r="AG105" s="2">
        <f>Table2[[#This Row],[ActualHomeScore]]-Table2[[#This Row],[PredictedHomeScore]]</f>
        <v>0</v>
      </c>
      <c r="AH105" s="2">
        <f t="shared" si="12"/>
        <v>0</v>
      </c>
      <c r="AI105" s="2">
        <f t="shared" si="13"/>
        <v>0</v>
      </c>
      <c r="AJ105" s="2"/>
      <c r="AK105" s="2"/>
      <c r="AL105" s="2">
        <f>IF(Table2[[#This Row],[GameIsOver]]=0,0,IF(Table2[[#This Row],[ActualWinner]]=Table2[[#This Row],[AwayTeam]], 1, 0))</f>
        <v>0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" s="2" t="str">
        <f>INDEX(Sheet5!$B$2:$AG$33, MATCH(Table2[[#This Row],[AwayTeam]],Sheet5!$A$2:$A$33, 0), MATCH(Table2[[#This Row],[HomeTeam]],Sheet5!$A$2:$A$33, 0))</f>
        <v>0-0-0</v>
      </c>
      <c r="AP105" s="2" t="str">
        <f>INDEX(Sheet5!$B$2:$AG$33, MATCH(Table2[[#This Row],[HomeTeam]],Sheet5!$A$2:$A$33, 0), MATCH(Table2[[#This Row],[AwayTeam]],Sheet5!$A$2:$A$33, 0))</f>
        <v>0-0-0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1</v>
      </c>
      <c r="AU105" s="2"/>
      <c r="AV105" s="2"/>
    </row>
    <row r="106" spans="1:48" x14ac:dyDescent="0.25">
      <c r="A106" s="3"/>
      <c r="B106" s="3">
        <v>45952</v>
      </c>
      <c r="C106" s="5">
        <v>2025020104</v>
      </c>
      <c r="D106" s="2" t="s">
        <v>27</v>
      </c>
      <c r="E106" s="2" t="s">
        <v>12</v>
      </c>
      <c r="F106" s="2"/>
      <c r="G106" s="2"/>
      <c r="H106" s="2" t="str">
        <f t="shared" si="9"/>
        <v>_</v>
      </c>
      <c r="I106" s="2"/>
      <c r="J106" s="2"/>
      <c r="K106" s="2"/>
      <c r="L106" s="2" t="str">
        <f t="shared" si="10"/>
        <v>_</v>
      </c>
      <c r="M106" s="2"/>
      <c r="N106" s="2">
        <f>IF(ISBLANK(Table2[[#This Row],[ActualResult]]), 0, 1)</f>
        <v>0</v>
      </c>
      <c r="O106" s="2" t="str">
        <f>IF(ISBLANK(Table2[[#This Row],[ActualResult]]), "_", IF(Table2[[#This Row],[ActualWinner]]=Table2[[#This Row],[PredictedWinner]], "Y", "N"))</f>
        <v>_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" s="2"/>
      <c r="S106" s="2" t="str">
        <f t="shared" si="11"/>
        <v>_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45">
        <f>IF(AND(Table2[[#This Row],[GameIsOver]]=1,Table2[[#This Row],[ActualHomeScore]]*Table2[[#This Row],[ActualAwayScore]]=0), 1,0)</f>
        <v>0</v>
      </c>
      <c r="AA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6" s="2">
        <f>Table2[[#This Row],[ActualAwayScore]]-Table2[[#This Row],[PredictedAwayScore]]</f>
        <v>0</v>
      </c>
      <c r="AG106" s="2">
        <f>Table2[[#This Row],[ActualHomeScore]]-Table2[[#This Row],[PredictedHomeScore]]</f>
        <v>0</v>
      </c>
      <c r="AH106" s="2">
        <f t="shared" si="12"/>
        <v>0</v>
      </c>
      <c r="AI106" s="2">
        <f t="shared" si="13"/>
        <v>0</v>
      </c>
      <c r="AJ106" s="2"/>
      <c r="AK106" s="2"/>
      <c r="AL106" s="2">
        <f>IF(Table2[[#This Row],[GameIsOver]]=0,0,IF(Table2[[#This Row],[ActualWinner]]=Table2[[#This Row],[AwayTeam]], 1, 0))</f>
        <v>0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" s="2" t="str">
        <f>INDEX(Sheet5!$B$2:$AG$33, MATCH(Table2[[#This Row],[AwayTeam]],Sheet5!$A$2:$A$33, 0), MATCH(Table2[[#This Row],[HomeTeam]],Sheet5!$A$2:$A$33, 0))</f>
        <v>0-0-0</v>
      </c>
      <c r="AP106" s="2" t="str">
        <f>INDEX(Sheet5!$B$2:$AG$33, MATCH(Table2[[#This Row],[HomeTeam]],Sheet5!$A$2:$A$33, 0), MATCH(Table2[[#This Row],[AwayTeam]],Sheet5!$A$2:$A$33, 0))</f>
        <v>0-0-0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/>
      <c r="AV106" s="2"/>
    </row>
    <row r="107" spans="1:48" x14ac:dyDescent="0.25">
      <c r="A107" s="3"/>
      <c r="B107" s="3">
        <v>45952</v>
      </c>
      <c r="C107" s="5">
        <v>2025020105</v>
      </c>
      <c r="D107" s="2" t="s">
        <v>44</v>
      </c>
      <c r="E107" s="2" t="s">
        <v>34</v>
      </c>
      <c r="F107" s="2"/>
      <c r="G107" s="2"/>
      <c r="H107" s="2" t="str">
        <f t="shared" si="9"/>
        <v>_</v>
      </c>
      <c r="I107" s="2"/>
      <c r="J107" s="2"/>
      <c r="K107" s="2"/>
      <c r="L107" s="2" t="str">
        <f t="shared" si="10"/>
        <v>_</v>
      </c>
      <c r="M107" s="2"/>
      <c r="N107" s="2">
        <f>IF(ISBLANK(Table2[[#This Row],[ActualResult]]), 0, 1)</f>
        <v>0</v>
      </c>
      <c r="O107" s="2" t="str">
        <f>IF(ISBLANK(Table2[[#This Row],[ActualResult]]), "_", IF(Table2[[#This Row],[ActualWinner]]=Table2[[#This Row],[PredictedWinner]], "Y", "N"))</f>
        <v>_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" s="2"/>
      <c r="S107" s="2" t="str">
        <f t="shared" si="11"/>
        <v>_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45">
        <f>IF(AND(Table2[[#This Row],[GameIsOver]]=1,Table2[[#This Row],[ActualHomeScore]]*Table2[[#This Row],[ActualAwayScore]]=0), 1,0)</f>
        <v>0</v>
      </c>
      <c r="AA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" s="2">
        <f>Table2[[#This Row],[ActualAwayScore]]-Table2[[#This Row],[PredictedAwayScore]]</f>
        <v>0</v>
      </c>
      <c r="AG107" s="2">
        <f>Table2[[#This Row],[ActualHomeScore]]-Table2[[#This Row],[PredictedHomeScore]]</f>
        <v>0</v>
      </c>
      <c r="AH107" s="2">
        <f t="shared" si="12"/>
        <v>0</v>
      </c>
      <c r="AI107" s="2">
        <f t="shared" si="13"/>
        <v>0</v>
      </c>
      <c r="AJ107" s="2"/>
      <c r="AK107" s="2"/>
      <c r="AL107" s="2">
        <f>IF(Table2[[#This Row],[GameIsOver]]=0,0,IF(Table2[[#This Row],[ActualWinner]]=Table2[[#This Row],[AwayTeam]], 1, 0))</f>
        <v>0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" s="2" t="str">
        <f>INDEX(Sheet5!$B$2:$AG$33, MATCH(Table2[[#This Row],[AwayTeam]],Sheet5!$A$2:$A$33, 0), MATCH(Table2[[#This Row],[HomeTeam]],Sheet5!$A$2:$A$33, 0))</f>
        <v>0-0-0</v>
      </c>
      <c r="AP107" s="2" t="str">
        <f>INDEX(Sheet5!$B$2:$AG$33, MATCH(Table2[[#This Row],[HomeTeam]],Sheet5!$A$2:$A$33, 0), MATCH(Table2[[#This Row],[AwayTeam]],Sheet5!$A$2:$A$33, 0))</f>
        <v>0-0-0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1</v>
      </c>
      <c r="AU107" s="2"/>
      <c r="AV107" s="2"/>
    </row>
    <row r="108" spans="1:48" x14ac:dyDescent="0.25">
      <c r="A108" s="3"/>
      <c r="B108" s="3">
        <v>45952</v>
      </c>
      <c r="C108" s="5">
        <v>2025020106</v>
      </c>
      <c r="D108" s="2" t="s">
        <v>35</v>
      </c>
      <c r="E108" s="2" t="s">
        <v>33</v>
      </c>
      <c r="F108" s="2"/>
      <c r="G108" s="2"/>
      <c r="H108" s="2" t="str">
        <f t="shared" si="9"/>
        <v>_</v>
      </c>
      <c r="I108" s="2"/>
      <c r="J108" s="2"/>
      <c r="K108" s="2"/>
      <c r="L108" s="2" t="str">
        <f t="shared" si="10"/>
        <v>_</v>
      </c>
      <c r="M108" s="2"/>
      <c r="N108" s="2">
        <f>IF(ISBLANK(Table2[[#This Row],[ActualResult]]), 0, 1)</f>
        <v>0</v>
      </c>
      <c r="O108" s="2" t="str">
        <f>IF(ISBLANK(Table2[[#This Row],[ActualResult]]), "_", IF(Table2[[#This Row],[ActualWinner]]=Table2[[#This Row],[PredictedWinner]], "Y", "N"))</f>
        <v>_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" s="2"/>
      <c r="S108" s="2" t="str">
        <f t="shared" si="11"/>
        <v>_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45">
        <f>IF(AND(Table2[[#This Row],[GameIsOver]]=1,Table2[[#This Row],[ActualHomeScore]]*Table2[[#This Row],[ActualAwayScore]]=0), 1,0)</f>
        <v>0</v>
      </c>
      <c r="AA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" s="2">
        <f>Table2[[#This Row],[ActualAwayScore]]-Table2[[#This Row],[PredictedAwayScore]]</f>
        <v>0</v>
      </c>
      <c r="AG108" s="2">
        <f>Table2[[#This Row],[ActualHomeScore]]-Table2[[#This Row],[PredictedHomeScore]]</f>
        <v>0</v>
      </c>
      <c r="AH108" s="2">
        <f t="shared" si="12"/>
        <v>0</v>
      </c>
      <c r="AI108" s="2">
        <f t="shared" si="13"/>
        <v>0</v>
      </c>
      <c r="AJ108" s="2"/>
      <c r="AK108" s="2"/>
      <c r="AL108" s="2">
        <f>IF(Table2[[#This Row],[GameIsOver]]=0,0,IF(Table2[[#This Row],[ActualWinner]]=Table2[[#This Row],[AwayTeam]], 1, 0))</f>
        <v>0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" s="2" t="str">
        <f>INDEX(Sheet5!$B$2:$AG$33, MATCH(Table2[[#This Row],[AwayTeam]],Sheet5!$A$2:$A$33, 0), MATCH(Table2[[#This Row],[HomeTeam]],Sheet5!$A$2:$A$33, 0))</f>
        <v>0-0-0</v>
      </c>
      <c r="AP108" s="2" t="str">
        <f>INDEX(Sheet5!$B$2:$AG$33, MATCH(Table2[[#This Row],[HomeTeam]],Sheet5!$A$2:$A$33, 0), MATCH(Table2[[#This Row],[AwayTeam]],Sheet5!$A$2:$A$33, 0))</f>
        <v>0-0-0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1</v>
      </c>
      <c r="AU108" s="2"/>
      <c r="AV108" s="2"/>
    </row>
    <row r="109" spans="1:48" x14ac:dyDescent="0.25">
      <c r="A109" s="3"/>
      <c r="B109" s="3">
        <v>45952</v>
      </c>
      <c r="C109" s="5">
        <v>2025020107</v>
      </c>
      <c r="D109" s="2" t="s">
        <v>25</v>
      </c>
      <c r="E109" s="2" t="s">
        <v>14</v>
      </c>
      <c r="F109" s="2"/>
      <c r="G109" s="2"/>
      <c r="H109" s="2" t="str">
        <f t="shared" si="9"/>
        <v>_</v>
      </c>
      <c r="I109" s="2"/>
      <c r="J109" s="2"/>
      <c r="K109" s="2"/>
      <c r="L109" s="2" t="str">
        <f t="shared" si="10"/>
        <v>_</v>
      </c>
      <c r="M109" s="2"/>
      <c r="N109" s="2">
        <f>IF(ISBLANK(Table2[[#This Row],[ActualResult]]), 0, 1)</f>
        <v>0</v>
      </c>
      <c r="O109" s="2" t="str">
        <f>IF(ISBLANK(Table2[[#This Row],[ActualResult]]), "_", IF(Table2[[#This Row],[ActualWinner]]=Table2[[#This Row],[PredictedWinner]], "Y", "N"))</f>
        <v>_</v>
      </c>
      <c r="P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" s="2"/>
      <c r="S109" s="2" t="str">
        <f t="shared" si="11"/>
        <v>_</v>
      </c>
      <c r="T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2">
        <f>IF(Table2[[#This Row],[InterConf]]=1,IF(Table2[[#This Row],[InterDiv]]=0, 1, 0), 0)</f>
        <v>0</v>
      </c>
      <c r="W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2"/>
      <c r="Y109" s="2"/>
      <c r="Z109" s="145">
        <f>IF(AND(Table2[[#This Row],[GameIsOver]]=1,Table2[[#This Row],[ActualHomeScore]]*Table2[[#This Row],[ActualAwayScore]]=0), 1,0)</f>
        <v>0</v>
      </c>
      <c r="AA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9" s="2">
        <f>Table2[[#This Row],[ActualAwayScore]]-Table2[[#This Row],[PredictedAwayScore]]</f>
        <v>0</v>
      </c>
      <c r="AG109" s="2">
        <f>Table2[[#This Row],[ActualHomeScore]]-Table2[[#This Row],[PredictedHomeScore]]</f>
        <v>0</v>
      </c>
      <c r="AH109" s="2">
        <f t="shared" si="12"/>
        <v>0</v>
      </c>
      <c r="AI109" s="2">
        <f t="shared" si="13"/>
        <v>0</v>
      </c>
      <c r="AJ109" s="2"/>
      <c r="AK109" s="2"/>
      <c r="AL109" s="2">
        <f>IF(Table2[[#This Row],[GameIsOver]]=0,0,IF(Table2[[#This Row],[ActualWinner]]=Table2[[#This Row],[AwayTeam]], 1, 0))</f>
        <v>0</v>
      </c>
      <c r="AM109" s="2">
        <f>IF(Table2[[#This Row],[GameIsOver]]=0,0,IF(Table2[[#This Row],[ActualWinner]]=Table2[[#This Row],[HomeTeam]], 1, 0))</f>
        <v>0</v>
      </c>
      <c r="AN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" s="2" t="str">
        <f>INDEX(Sheet5!$B$2:$AG$33, MATCH(Table2[[#This Row],[AwayTeam]],Sheet5!$A$2:$A$33, 0), MATCH(Table2[[#This Row],[HomeTeam]],Sheet5!$A$2:$A$33, 0))</f>
        <v>0-0-0</v>
      </c>
      <c r="AP109" s="2" t="str">
        <f>INDEX(Sheet5!$B$2:$AG$33, MATCH(Table2[[#This Row],[HomeTeam]],Sheet5!$A$2:$A$33, 0), MATCH(Table2[[#This Row],[AwayTeam]],Sheet5!$A$2:$A$33, 0))</f>
        <v>0-0-0</v>
      </c>
      <c r="AQ109" s="2">
        <f>IF(Table2[[#This Row],[GameHasShutOut]], 1, 0)</f>
        <v>0</v>
      </c>
      <c r="AR109" s="2">
        <f>IF(Table2[[#This Row],[ActualAwayScore]] + Table2[[#This Row],[ActualHomeScore]] &gt;= 10, 1, 0)</f>
        <v>0</v>
      </c>
      <c r="AS109" s="2">
        <f>IF(ABS(Table2[[#This Row],[ActualAwayScore]]-Table2[[#This Row],[ActualHomeScore]])&gt;=5, 1, 0)</f>
        <v>0</v>
      </c>
      <c r="AT109" s="2">
        <f>IF(Table2[[#This Row],[ActualAwayScore]] + Table2[[#This Row],[ActualHomeScore]] &lt;= 3, 1, 0)</f>
        <v>1</v>
      </c>
      <c r="AU109" s="2"/>
      <c r="AV109" s="2"/>
    </row>
    <row r="110" spans="1:48" x14ac:dyDescent="0.25">
      <c r="A110" s="3"/>
      <c r="B110" s="3">
        <v>45952</v>
      </c>
      <c r="C110" s="5">
        <v>2025020108</v>
      </c>
      <c r="D110" s="2" t="s">
        <v>36</v>
      </c>
      <c r="E110" s="2" t="s">
        <v>31</v>
      </c>
      <c r="F110" s="2"/>
      <c r="G110" s="2"/>
      <c r="H110" s="2" t="str">
        <f t="shared" si="9"/>
        <v>_</v>
      </c>
      <c r="I110" s="2"/>
      <c r="J110" s="2"/>
      <c r="K110" s="2"/>
      <c r="L110" s="2" t="str">
        <f t="shared" si="10"/>
        <v>_</v>
      </c>
      <c r="M110" s="2"/>
      <c r="N110" s="2">
        <f>IF(ISBLANK(Table2[[#This Row],[ActualResult]]), 0, 1)</f>
        <v>0</v>
      </c>
      <c r="O110" s="2" t="str">
        <f>IF(ISBLANK(Table2[[#This Row],[ActualResult]]), "_", IF(Table2[[#This Row],[ActualWinner]]=Table2[[#This Row],[PredictedWinner]], "Y", "N"))</f>
        <v>_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" s="2"/>
      <c r="S110" s="2" t="str">
        <f t="shared" si="11"/>
        <v>_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45">
        <f>IF(AND(Table2[[#This Row],[GameIsOver]]=1,Table2[[#This Row],[ActualHomeScore]]*Table2[[#This Row],[ActualAwayScore]]=0), 1,0)</f>
        <v>0</v>
      </c>
      <c r="AA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0</v>
      </c>
      <c r="AG110" s="2">
        <f>Table2[[#This Row],[ActualHomeScore]]-Table2[[#This Row],[PredictedHomeScore]]</f>
        <v>0</v>
      </c>
      <c r="AH110" s="2">
        <f t="shared" si="12"/>
        <v>0</v>
      </c>
      <c r="AI110" s="2">
        <f t="shared" si="13"/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0</v>
      </c>
      <c r="AN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" s="2" t="str">
        <f>INDEX(Sheet5!$B$2:$AG$33, MATCH(Table2[[#This Row],[AwayTeam]],Sheet5!$A$2:$A$33, 0), MATCH(Table2[[#This Row],[HomeTeam]],Sheet5!$A$2:$A$33, 0))</f>
        <v>0-0-0</v>
      </c>
      <c r="AP110" s="2" t="str">
        <f>INDEX(Sheet5!$B$2:$AG$33, MATCH(Table2[[#This Row],[HomeTeam]],Sheet5!$A$2:$A$33, 0), MATCH(Table2[[#This Row],[AwayTeam]],Sheet5!$A$2:$A$33, 0))</f>
        <v>0-0-0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1</v>
      </c>
      <c r="AU110" s="2"/>
      <c r="AV110" s="2"/>
    </row>
    <row r="111" spans="1:48" x14ac:dyDescent="0.25">
      <c r="A111" s="3"/>
      <c r="B111" s="3">
        <v>45952</v>
      </c>
      <c r="C111" s="5">
        <v>2025020109</v>
      </c>
      <c r="D111" s="2" t="s">
        <v>30</v>
      </c>
      <c r="E111" s="2" t="s">
        <v>28</v>
      </c>
      <c r="F111" s="2"/>
      <c r="G111" s="2"/>
      <c r="H111" s="2" t="str">
        <f t="shared" si="9"/>
        <v>_</v>
      </c>
      <c r="I111" s="2"/>
      <c r="J111" s="2"/>
      <c r="K111" s="2"/>
      <c r="L111" s="2" t="str">
        <f t="shared" si="10"/>
        <v>_</v>
      </c>
      <c r="M111" s="2"/>
      <c r="N111" s="2">
        <f>IF(ISBLANK(Table2[[#This Row],[ActualResult]]), 0, 1)</f>
        <v>0</v>
      </c>
      <c r="O111" s="2" t="str">
        <f>IF(ISBLANK(Table2[[#This Row],[ActualResult]]), "_", IF(Table2[[#This Row],[ActualWinner]]=Table2[[#This Row],[PredictedWinner]], "Y", "N"))</f>
        <v>_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" s="2"/>
      <c r="S111" s="2" t="str">
        <f t="shared" si="11"/>
        <v>_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45">
        <f>IF(AND(Table2[[#This Row],[GameIsOver]]=1,Table2[[#This Row],[ActualHomeScore]]*Table2[[#This Row],[ActualAwayScore]]=0), 1,0)</f>
        <v>0</v>
      </c>
      <c r="AA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0</v>
      </c>
      <c r="AG111" s="2">
        <f>Table2[[#This Row],[ActualHomeScore]]-Table2[[#This Row],[PredictedHomeScore]]</f>
        <v>0</v>
      </c>
      <c r="AH111" s="2">
        <f t="shared" si="12"/>
        <v>0</v>
      </c>
      <c r="AI111" s="2">
        <f t="shared" si="13"/>
        <v>0</v>
      </c>
      <c r="AJ111" s="2"/>
      <c r="AK111" s="2"/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0</v>
      </c>
      <c r="AN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" s="2" t="str">
        <f>INDEX(Sheet5!$B$2:$AG$33, MATCH(Table2[[#This Row],[AwayTeam]],Sheet5!$A$2:$A$33, 0), MATCH(Table2[[#This Row],[HomeTeam]],Sheet5!$A$2:$A$33, 0))</f>
        <v>0-0-0</v>
      </c>
      <c r="AP111" s="2" t="str">
        <f>INDEX(Sheet5!$B$2:$AG$33, MATCH(Table2[[#This Row],[HomeTeam]],Sheet5!$A$2:$A$33, 0), MATCH(Table2[[#This Row],[AwayTeam]],Sheet5!$A$2:$A$33, 0))</f>
        <v>0-0-0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1</v>
      </c>
      <c r="AU111" s="2"/>
      <c r="AV111" s="2"/>
    </row>
    <row r="112" spans="1:48" x14ac:dyDescent="0.25">
      <c r="A112" s="3"/>
      <c r="B112" s="3">
        <v>45953</v>
      </c>
      <c r="C112" s="5">
        <v>2025020110</v>
      </c>
      <c r="D112" s="2" t="s">
        <v>18</v>
      </c>
      <c r="E112" s="2" t="s">
        <v>23</v>
      </c>
      <c r="F112" s="2"/>
      <c r="G112" s="2"/>
      <c r="H112" s="2" t="str">
        <f t="shared" si="9"/>
        <v>_</v>
      </c>
      <c r="I112" s="2"/>
      <c r="J112" s="2"/>
      <c r="K112" s="2"/>
      <c r="L112" s="2" t="str">
        <f t="shared" si="10"/>
        <v>_</v>
      </c>
      <c r="M112" s="2"/>
      <c r="N112" s="2">
        <f>IF(ISBLANK(Table2[[#This Row],[ActualResult]]), 0, 1)</f>
        <v>0</v>
      </c>
      <c r="O112" s="2" t="str">
        <f>IF(ISBLANK(Table2[[#This Row],[ActualResult]]), "_", IF(Table2[[#This Row],[ActualWinner]]=Table2[[#This Row],[PredictedWinner]], "Y", "N"))</f>
        <v>_</v>
      </c>
      <c r="P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" s="2"/>
      <c r="S112" s="2" t="str">
        <f t="shared" si="11"/>
        <v>_</v>
      </c>
      <c r="T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2">
        <f>IF(Table2[[#This Row],[InterConf]]=1,IF(Table2[[#This Row],[InterDiv]]=0, 1, 0), 0)</f>
        <v>0</v>
      </c>
      <c r="W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2"/>
      <c r="Y112" s="2"/>
      <c r="Z112" s="145">
        <f>IF(AND(Table2[[#This Row],[GameIsOver]]=1,Table2[[#This Row],[ActualHomeScore]]*Table2[[#This Row],[ActualAwayScore]]=0), 1,0)</f>
        <v>0</v>
      </c>
      <c r="AA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2" s="2">
        <f>Table2[[#This Row],[ActualAwayScore]]-Table2[[#This Row],[PredictedAwayScore]]</f>
        <v>0</v>
      </c>
      <c r="AG112" s="2">
        <f>Table2[[#This Row],[ActualHomeScore]]-Table2[[#This Row],[PredictedHomeScore]]</f>
        <v>0</v>
      </c>
      <c r="AH112" s="2">
        <f t="shared" si="12"/>
        <v>0</v>
      </c>
      <c r="AI112" s="2">
        <f t="shared" si="13"/>
        <v>0</v>
      </c>
      <c r="AJ112" s="2"/>
      <c r="AK112" s="2"/>
      <c r="AL112" s="2">
        <f>IF(Table2[[#This Row],[GameIsOver]]=0,0,IF(Table2[[#This Row],[ActualWinner]]=Table2[[#This Row],[AwayTeam]], 1, 0))</f>
        <v>0</v>
      </c>
      <c r="AM112" s="2">
        <f>IF(Table2[[#This Row],[GameIsOver]]=0,0,IF(Table2[[#This Row],[ActualWinner]]=Table2[[#This Row],[HomeTeam]], 1, 0))</f>
        <v>0</v>
      </c>
      <c r="AN1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2" s="2" t="str">
        <f>INDEX(Sheet5!$B$2:$AG$33, MATCH(Table2[[#This Row],[AwayTeam]],Sheet5!$A$2:$A$33, 0), MATCH(Table2[[#This Row],[HomeTeam]],Sheet5!$A$2:$A$33, 0))</f>
        <v>0-0-0</v>
      </c>
      <c r="AP112" s="2" t="str">
        <f>INDEX(Sheet5!$B$2:$AG$33, MATCH(Table2[[#This Row],[HomeTeam]],Sheet5!$A$2:$A$33, 0), MATCH(Table2[[#This Row],[AwayTeam]],Sheet5!$A$2:$A$33, 0))</f>
        <v>0-0-0</v>
      </c>
      <c r="AQ112" s="2">
        <f>IF(Table2[[#This Row],[GameHasShutOut]], 1, 0)</f>
        <v>0</v>
      </c>
      <c r="AR112" s="2">
        <f>IF(Table2[[#This Row],[ActualAwayScore]] + Table2[[#This Row],[ActualHomeScore]] &gt;= 10, 1, 0)</f>
        <v>0</v>
      </c>
      <c r="AS112" s="2">
        <f>IF(ABS(Table2[[#This Row],[ActualAwayScore]]-Table2[[#This Row],[ActualHomeScore]])&gt;=5, 1, 0)</f>
        <v>0</v>
      </c>
      <c r="AT112" s="2">
        <f>IF(Table2[[#This Row],[ActualAwayScore]] + Table2[[#This Row],[ActualHomeScore]] &lt;= 3, 1, 0)</f>
        <v>1</v>
      </c>
      <c r="AU112" s="2"/>
      <c r="AV112" s="2"/>
    </row>
    <row r="113" spans="1:48" x14ac:dyDescent="0.25">
      <c r="A113" s="3"/>
      <c r="B113" s="3">
        <v>45953</v>
      </c>
      <c r="C113" s="5">
        <v>2025020111</v>
      </c>
      <c r="D113" s="2" t="s">
        <v>44</v>
      </c>
      <c r="E113" s="2" t="s">
        <v>15</v>
      </c>
      <c r="F113" s="2"/>
      <c r="G113" s="2"/>
      <c r="H113" s="2" t="str">
        <f t="shared" si="9"/>
        <v>_</v>
      </c>
      <c r="I113" s="2"/>
      <c r="J113" s="2"/>
      <c r="K113" s="2"/>
      <c r="L113" s="2" t="str">
        <f t="shared" si="10"/>
        <v>_</v>
      </c>
      <c r="M113" s="2"/>
      <c r="N113" s="2">
        <f>IF(ISBLANK(Table2[[#This Row],[ActualResult]]), 0, 1)</f>
        <v>0</v>
      </c>
      <c r="O113" s="2" t="str">
        <f>IF(ISBLANK(Table2[[#This Row],[ActualResult]]), "_", IF(Table2[[#This Row],[ActualWinner]]=Table2[[#This Row],[PredictedWinner]], "Y", "N"))</f>
        <v>_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" s="2"/>
      <c r="S113" s="2" t="str">
        <f t="shared" si="11"/>
        <v>_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45">
        <f>IF(AND(Table2[[#This Row],[GameIsOver]]=1,Table2[[#This Row],[ActualHomeScore]]*Table2[[#This Row],[ActualAwayScore]]=0), 1,0)</f>
        <v>0</v>
      </c>
      <c r="AA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0</v>
      </c>
      <c r="AG113" s="2">
        <f>Table2[[#This Row],[ActualHomeScore]]-Table2[[#This Row],[PredictedHomeScore]]</f>
        <v>0</v>
      </c>
      <c r="AH113" s="2">
        <f t="shared" si="12"/>
        <v>0</v>
      </c>
      <c r="AI113" s="2">
        <f t="shared" si="13"/>
        <v>0</v>
      </c>
      <c r="AJ113" s="2"/>
      <c r="AK113" s="2"/>
      <c r="AL113" s="2">
        <f>IF(Table2[[#This Row],[GameIsOver]]=0,0,IF(Table2[[#This Row],[ActualWinner]]=Table2[[#This Row],[AwayTeam]], 1, 0))</f>
        <v>0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" s="2" t="str">
        <f>INDEX(Sheet5!$B$2:$AG$33, MATCH(Table2[[#This Row],[AwayTeam]],Sheet5!$A$2:$A$33, 0), MATCH(Table2[[#This Row],[HomeTeam]],Sheet5!$A$2:$A$33, 0))</f>
        <v>0-0-0</v>
      </c>
      <c r="AP113" s="2" t="str">
        <f>INDEX(Sheet5!$B$2:$AG$33, MATCH(Table2[[#This Row],[HomeTeam]],Sheet5!$A$2:$A$33, 0), MATCH(Table2[[#This Row],[AwayTeam]],Sheet5!$A$2:$A$33, 0))</f>
        <v>0-0-0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0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1</v>
      </c>
      <c r="AU113" s="2"/>
      <c r="AV113" s="2"/>
    </row>
    <row r="114" spans="1:48" x14ac:dyDescent="0.25">
      <c r="A114" s="3"/>
      <c r="B114" s="3">
        <v>45953</v>
      </c>
      <c r="C114" s="5">
        <v>2025020112</v>
      </c>
      <c r="D114" s="2" t="s">
        <v>42</v>
      </c>
      <c r="E114" s="2" t="s">
        <v>29</v>
      </c>
      <c r="F114" s="2"/>
      <c r="G114" s="2"/>
      <c r="H114" s="2" t="str">
        <f t="shared" si="9"/>
        <v>_</v>
      </c>
      <c r="I114" s="2"/>
      <c r="J114" s="2"/>
      <c r="K114" s="2"/>
      <c r="L114" s="2" t="str">
        <f t="shared" si="10"/>
        <v>_</v>
      </c>
      <c r="M114" s="2"/>
      <c r="N114" s="2">
        <f>IF(ISBLANK(Table2[[#This Row],[ActualResult]]), 0, 1)</f>
        <v>0</v>
      </c>
      <c r="O114" s="2" t="str">
        <f>IF(ISBLANK(Table2[[#This Row],[ActualResult]]), "_", IF(Table2[[#This Row],[ActualWinner]]=Table2[[#This Row],[PredictedWinner]], "Y", "N"))</f>
        <v>_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" s="2"/>
      <c r="S114" s="2" t="str">
        <f t="shared" si="11"/>
        <v>_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45">
        <f>IF(AND(Table2[[#This Row],[GameIsOver]]=1,Table2[[#This Row],[ActualHomeScore]]*Table2[[#This Row],[ActualAwayScore]]=0), 1,0)</f>
        <v>0</v>
      </c>
      <c r="AA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0</v>
      </c>
      <c r="AH114" s="2">
        <f t="shared" si="12"/>
        <v>0</v>
      </c>
      <c r="AI114" s="2">
        <f t="shared" si="13"/>
        <v>0</v>
      </c>
      <c r="AJ114" s="2"/>
      <c r="AK114" s="2"/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0</v>
      </c>
      <c r="AN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" s="2" t="str">
        <f>INDEX(Sheet5!$B$2:$AG$33, MATCH(Table2[[#This Row],[AwayTeam]],Sheet5!$A$2:$A$33, 0), MATCH(Table2[[#This Row],[HomeTeam]],Sheet5!$A$2:$A$33, 0))</f>
        <v>0-0-0</v>
      </c>
      <c r="AP114" s="2" t="str">
        <f>INDEX(Sheet5!$B$2:$AG$33, MATCH(Table2[[#This Row],[HomeTeam]],Sheet5!$A$2:$A$33, 0), MATCH(Table2[[#This Row],[AwayTeam]],Sheet5!$A$2:$A$33, 0))</f>
        <v>0-0-0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/>
      <c r="AV114" s="2"/>
    </row>
    <row r="115" spans="1:48" x14ac:dyDescent="0.25">
      <c r="A115" s="3"/>
      <c r="B115" s="3">
        <v>45953</v>
      </c>
      <c r="C115" s="5">
        <v>2025020113</v>
      </c>
      <c r="D115" s="2" t="s">
        <v>16</v>
      </c>
      <c r="E115" s="2" t="s">
        <v>40</v>
      </c>
      <c r="F115" s="2"/>
      <c r="G115" s="2"/>
      <c r="H115" s="2" t="str">
        <f t="shared" si="9"/>
        <v>_</v>
      </c>
      <c r="I115" s="2"/>
      <c r="J115" s="2"/>
      <c r="K115" s="2"/>
      <c r="L115" s="2" t="str">
        <f t="shared" si="10"/>
        <v>_</v>
      </c>
      <c r="M115" s="2"/>
      <c r="N115" s="2">
        <f>IF(ISBLANK(Table2[[#This Row],[ActualResult]]), 0, 1)</f>
        <v>0</v>
      </c>
      <c r="O115" s="2" t="str">
        <f>IF(ISBLANK(Table2[[#This Row],[ActualResult]]), "_", IF(Table2[[#This Row],[ActualWinner]]=Table2[[#This Row],[PredictedWinner]], "Y", "N"))</f>
        <v>_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" s="2"/>
      <c r="S115" s="2" t="str">
        <f t="shared" si="11"/>
        <v>_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45">
        <f>IF(AND(Table2[[#This Row],[GameIsOver]]=1,Table2[[#This Row],[ActualHomeScore]]*Table2[[#This Row],[ActualAwayScore]]=0), 1,0)</f>
        <v>0</v>
      </c>
      <c r="AA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0</v>
      </c>
      <c r="AG115" s="2">
        <f>Table2[[#This Row],[ActualHomeScore]]-Table2[[#This Row],[PredictedHomeScore]]</f>
        <v>0</v>
      </c>
      <c r="AH115" s="2">
        <f t="shared" si="12"/>
        <v>0</v>
      </c>
      <c r="AI115" s="2">
        <f t="shared" si="13"/>
        <v>0</v>
      </c>
      <c r="AJ115" s="2"/>
      <c r="AK115" s="2"/>
      <c r="AL115" s="2">
        <f>IF(Table2[[#This Row],[GameIsOver]]=0,0,IF(Table2[[#This Row],[ActualWinner]]=Table2[[#This Row],[AwayTeam]], 1, 0))</f>
        <v>0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" s="2" t="str">
        <f>INDEX(Sheet5!$B$2:$AG$33, MATCH(Table2[[#This Row],[AwayTeam]],Sheet5!$A$2:$A$33, 0), MATCH(Table2[[#This Row],[HomeTeam]],Sheet5!$A$2:$A$33, 0))</f>
        <v>0-0-0</v>
      </c>
      <c r="AP115" s="2" t="str">
        <f>INDEX(Sheet5!$B$2:$AG$33, MATCH(Table2[[#This Row],[HomeTeam]],Sheet5!$A$2:$A$33, 0), MATCH(Table2[[#This Row],[AwayTeam]],Sheet5!$A$2:$A$33, 0))</f>
        <v>0-0-0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1</v>
      </c>
      <c r="AU115" s="2"/>
      <c r="AV115" s="2"/>
    </row>
    <row r="116" spans="1:48" x14ac:dyDescent="0.25">
      <c r="A116" s="3"/>
      <c r="B116" s="3">
        <v>45953</v>
      </c>
      <c r="C116" s="5">
        <v>2025020114</v>
      </c>
      <c r="D116" s="2" t="s">
        <v>20</v>
      </c>
      <c r="E116" s="2" t="s">
        <v>13</v>
      </c>
      <c r="F116" s="2"/>
      <c r="G116" s="2"/>
      <c r="H116" s="2" t="str">
        <f t="shared" si="9"/>
        <v>_</v>
      </c>
      <c r="I116" s="2"/>
      <c r="J116" s="2"/>
      <c r="K116" s="2"/>
      <c r="L116" s="2" t="str">
        <f t="shared" si="10"/>
        <v>_</v>
      </c>
      <c r="M116" s="2"/>
      <c r="N116" s="2">
        <f>IF(ISBLANK(Table2[[#This Row],[ActualResult]]), 0, 1)</f>
        <v>0</v>
      </c>
      <c r="O116" s="2" t="str">
        <f>IF(ISBLANK(Table2[[#This Row],[ActualResult]]), "_", IF(Table2[[#This Row],[ActualWinner]]=Table2[[#This Row],[PredictedWinner]], "Y", "N"))</f>
        <v>_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" s="2"/>
      <c r="S116" s="2" t="str">
        <f t="shared" si="11"/>
        <v>_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45">
        <f>IF(AND(Table2[[#This Row],[GameIsOver]]=1,Table2[[#This Row],[ActualHomeScore]]*Table2[[#This Row],[ActualAwayScore]]=0), 1,0)</f>
        <v>0</v>
      </c>
      <c r="AA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0</v>
      </c>
      <c r="AG116" s="2">
        <f>Table2[[#This Row],[ActualHomeScore]]-Table2[[#This Row],[PredictedHomeScore]]</f>
        <v>0</v>
      </c>
      <c r="AH116" s="2">
        <f t="shared" si="12"/>
        <v>0</v>
      </c>
      <c r="AI116" s="2">
        <f t="shared" si="13"/>
        <v>0</v>
      </c>
      <c r="AJ116" s="2"/>
      <c r="AK116" s="2"/>
      <c r="AL116" s="2">
        <f>IF(Table2[[#This Row],[GameIsOver]]=0,0,IF(Table2[[#This Row],[ActualWinner]]=Table2[[#This Row],[AwayTeam]], 1, 0))</f>
        <v>0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" s="2" t="str">
        <f>INDEX(Sheet5!$B$2:$AG$33, MATCH(Table2[[#This Row],[AwayTeam]],Sheet5!$A$2:$A$33, 0), MATCH(Table2[[#This Row],[HomeTeam]],Sheet5!$A$2:$A$33, 0))</f>
        <v>0-0-0</v>
      </c>
      <c r="AP116" s="2" t="str">
        <f>INDEX(Sheet5!$B$2:$AG$33, MATCH(Table2[[#This Row],[HomeTeam]],Sheet5!$A$2:$A$33, 0), MATCH(Table2[[#This Row],[AwayTeam]],Sheet5!$A$2:$A$33, 0))</f>
        <v>0-0-0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1</v>
      </c>
      <c r="AU116" s="2"/>
      <c r="AV116" s="2"/>
    </row>
    <row r="117" spans="1:48" x14ac:dyDescent="0.25">
      <c r="A117" s="3"/>
      <c r="B117" s="3">
        <v>45953</v>
      </c>
      <c r="C117" s="5">
        <v>2025020115</v>
      </c>
      <c r="D117" s="2" t="s">
        <v>30</v>
      </c>
      <c r="E117" s="2" t="s">
        <v>32</v>
      </c>
      <c r="F117" s="2"/>
      <c r="G117" s="2"/>
      <c r="H117" s="2" t="str">
        <f t="shared" si="9"/>
        <v>_</v>
      </c>
      <c r="I117" s="2"/>
      <c r="J117" s="2"/>
      <c r="K117" s="2"/>
      <c r="L117" s="2" t="str">
        <f t="shared" si="10"/>
        <v>_</v>
      </c>
      <c r="M117" s="2"/>
      <c r="N117" s="2">
        <f>IF(ISBLANK(Table2[[#This Row],[ActualResult]]), 0, 1)</f>
        <v>0</v>
      </c>
      <c r="O117" s="2" t="str">
        <f>IF(ISBLANK(Table2[[#This Row],[ActualResult]]), "_", IF(Table2[[#This Row],[ActualWinner]]=Table2[[#This Row],[PredictedWinner]], "Y", "N"))</f>
        <v>_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" s="2"/>
      <c r="S117" s="2" t="str">
        <f t="shared" si="11"/>
        <v>_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45">
        <f>IF(AND(Table2[[#This Row],[GameIsOver]]=1,Table2[[#This Row],[ActualHomeScore]]*Table2[[#This Row],[ActualAwayScore]]=0), 1,0)</f>
        <v>0</v>
      </c>
      <c r="AA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0</v>
      </c>
      <c r="AH117" s="2">
        <f t="shared" si="12"/>
        <v>0</v>
      </c>
      <c r="AI117" s="2">
        <f t="shared" si="13"/>
        <v>0</v>
      </c>
      <c r="AJ117" s="2"/>
      <c r="AK117" s="2"/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0</v>
      </c>
      <c r="AN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" s="2" t="str">
        <f>INDEX(Sheet5!$B$2:$AG$33, MATCH(Table2[[#This Row],[AwayTeam]],Sheet5!$A$2:$A$33, 0), MATCH(Table2[[#This Row],[HomeTeam]],Sheet5!$A$2:$A$33, 0))</f>
        <v>0-0-0</v>
      </c>
      <c r="AP117" s="2" t="str">
        <f>INDEX(Sheet5!$B$2:$AG$33, MATCH(Table2[[#This Row],[HomeTeam]],Sheet5!$A$2:$A$33, 0), MATCH(Table2[[#This Row],[AwayTeam]],Sheet5!$A$2:$A$33, 0))</f>
        <v>0-0-0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0</v>
      </c>
      <c r="AT117" s="2">
        <f>IF(Table2[[#This Row],[ActualAwayScore]] + Table2[[#This Row],[ActualHomeScore]] &lt;= 3, 1, 0)</f>
        <v>1</v>
      </c>
      <c r="AU117" s="2"/>
      <c r="AV117" s="2"/>
    </row>
    <row r="118" spans="1:48" x14ac:dyDescent="0.25">
      <c r="A118" s="3"/>
      <c r="B118" s="3">
        <v>45953</v>
      </c>
      <c r="C118" s="5">
        <v>2025020116</v>
      </c>
      <c r="D118" s="2" t="s">
        <v>37</v>
      </c>
      <c r="E118" s="2" t="s">
        <v>19</v>
      </c>
      <c r="F118" s="2"/>
      <c r="G118" s="2"/>
      <c r="H118" s="2" t="str">
        <f t="shared" si="9"/>
        <v>_</v>
      </c>
      <c r="I118" s="2"/>
      <c r="J118" s="2"/>
      <c r="K118" s="2"/>
      <c r="L118" s="2" t="str">
        <f t="shared" si="10"/>
        <v>_</v>
      </c>
      <c r="M118" s="2"/>
      <c r="N118" s="2">
        <f>IF(ISBLANK(Table2[[#This Row],[ActualResult]]), 0, 1)</f>
        <v>0</v>
      </c>
      <c r="O118" s="2" t="str">
        <f>IF(ISBLANK(Table2[[#This Row],[ActualResult]]), "_", IF(Table2[[#This Row],[ActualWinner]]=Table2[[#This Row],[PredictedWinner]], "Y", "N"))</f>
        <v>_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" s="2"/>
      <c r="S118" s="2" t="str">
        <f t="shared" si="11"/>
        <v>_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45">
        <f>IF(AND(Table2[[#This Row],[GameIsOver]]=1,Table2[[#This Row],[ActualHomeScore]]*Table2[[#This Row],[ActualAwayScore]]=0), 1,0)</f>
        <v>0</v>
      </c>
      <c r="AA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0</v>
      </c>
      <c r="AG118" s="2">
        <f>Table2[[#This Row],[ActualHomeScore]]-Table2[[#This Row],[PredictedHomeScore]]</f>
        <v>0</v>
      </c>
      <c r="AH118" s="2">
        <f t="shared" si="12"/>
        <v>0</v>
      </c>
      <c r="AI118" s="2">
        <f t="shared" si="13"/>
        <v>0</v>
      </c>
      <c r="AJ118" s="2"/>
      <c r="AK118" s="2"/>
      <c r="AL118" s="2">
        <f>IF(Table2[[#This Row],[GameIsOver]]=0,0,IF(Table2[[#This Row],[ActualWinner]]=Table2[[#This Row],[AwayTeam]], 1, 0))</f>
        <v>0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" s="2" t="str">
        <f>INDEX(Sheet5!$B$2:$AG$33, MATCH(Table2[[#This Row],[AwayTeam]],Sheet5!$A$2:$A$33, 0), MATCH(Table2[[#This Row],[HomeTeam]],Sheet5!$A$2:$A$33, 0))</f>
        <v>0-0-0</v>
      </c>
      <c r="AP118" s="2" t="str">
        <f>INDEX(Sheet5!$B$2:$AG$33, MATCH(Table2[[#This Row],[HomeTeam]],Sheet5!$A$2:$A$33, 0), MATCH(Table2[[#This Row],[AwayTeam]],Sheet5!$A$2:$A$33, 0))</f>
        <v>0-0-0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0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1</v>
      </c>
      <c r="AU118" s="2"/>
      <c r="AV118" s="2"/>
    </row>
    <row r="119" spans="1:48" x14ac:dyDescent="0.25">
      <c r="A119" s="3"/>
      <c r="B119" s="3">
        <v>45954</v>
      </c>
      <c r="C119" s="5">
        <v>2025020117</v>
      </c>
      <c r="D119" s="2" t="s">
        <v>14</v>
      </c>
      <c r="E119" s="2" t="s">
        <v>12</v>
      </c>
      <c r="F119" s="2"/>
      <c r="G119" s="2"/>
      <c r="H119" s="2" t="str">
        <f t="shared" si="9"/>
        <v>_</v>
      </c>
      <c r="I119" s="2"/>
      <c r="J119" s="2"/>
      <c r="K119" s="2"/>
      <c r="L119" s="2" t="str">
        <f t="shared" si="10"/>
        <v>_</v>
      </c>
      <c r="M119" s="2"/>
      <c r="N119" s="2">
        <f>IF(ISBLANK(Table2[[#This Row],[ActualResult]]), 0, 1)</f>
        <v>0</v>
      </c>
      <c r="O119" s="2" t="str">
        <f>IF(ISBLANK(Table2[[#This Row],[ActualResult]]), "_", IF(Table2[[#This Row],[ActualWinner]]=Table2[[#This Row],[PredictedWinner]], "Y", "N"))</f>
        <v>_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" s="2"/>
      <c r="S119" s="2" t="str">
        <f t="shared" si="11"/>
        <v>_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45">
        <f>IF(AND(Table2[[#This Row],[GameIsOver]]=1,Table2[[#This Row],[ActualHomeScore]]*Table2[[#This Row],[ActualAwayScore]]=0), 1,0)</f>
        <v>0</v>
      </c>
      <c r="AA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9" s="2">
        <f>Table2[[#This Row],[ActualAwayScore]]-Table2[[#This Row],[PredictedAwayScore]]</f>
        <v>0</v>
      </c>
      <c r="AG119" s="2">
        <f>Table2[[#This Row],[ActualHomeScore]]-Table2[[#This Row],[PredictedHomeScore]]</f>
        <v>0</v>
      </c>
      <c r="AH119" s="2">
        <f t="shared" si="12"/>
        <v>0</v>
      </c>
      <c r="AI119" s="2">
        <f t="shared" si="13"/>
        <v>0</v>
      </c>
      <c r="AJ119" s="2"/>
      <c r="AK119" s="2"/>
      <c r="AL119" s="2">
        <f>IF(Table2[[#This Row],[GameIsOver]]=0,0,IF(Table2[[#This Row],[ActualWinner]]=Table2[[#This Row],[AwayTeam]], 1, 0))</f>
        <v>0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" s="2" t="str">
        <f>INDEX(Sheet5!$B$2:$AG$33, MATCH(Table2[[#This Row],[AwayTeam]],Sheet5!$A$2:$A$33, 0), MATCH(Table2[[#This Row],[HomeTeam]],Sheet5!$A$2:$A$33, 0))</f>
        <v>0-0-0</v>
      </c>
      <c r="AP119" s="2" t="str">
        <f>INDEX(Sheet5!$B$2:$AG$33, MATCH(Table2[[#This Row],[HomeTeam]],Sheet5!$A$2:$A$33, 0), MATCH(Table2[[#This Row],[AwayTeam]],Sheet5!$A$2:$A$33, 0))</f>
        <v>0-0-0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0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1</v>
      </c>
      <c r="AU119" s="2"/>
      <c r="AV119" s="2"/>
    </row>
    <row r="120" spans="1:48" x14ac:dyDescent="0.25">
      <c r="A120" s="3"/>
      <c r="B120" s="3">
        <v>45954</v>
      </c>
      <c r="C120" s="5">
        <v>2025020118</v>
      </c>
      <c r="D120" s="2" t="s">
        <v>24</v>
      </c>
      <c r="E120" s="2" t="s">
        <v>34</v>
      </c>
      <c r="F120" s="2"/>
      <c r="G120" s="2"/>
      <c r="H120" s="2" t="str">
        <f t="shared" si="9"/>
        <v>_</v>
      </c>
      <c r="I120" s="2"/>
      <c r="J120" s="2"/>
      <c r="K120" s="2"/>
      <c r="L120" s="2" t="str">
        <f t="shared" si="10"/>
        <v>_</v>
      </c>
      <c r="M120" s="2"/>
      <c r="N120" s="2">
        <f>IF(ISBLANK(Table2[[#This Row],[ActualResult]]), 0, 1)</f>
        <v>0</v>
      </c>
      <c r="O120" s="2" t="str">
        <f>IF(ISBLANK(Table2[[#This Row],[ActualResult]]), "_", IF(Table2[[#This Row],[ActualWinner]]=Table2[[#This Row],[PredictedWinner]], "Y", "N"))</f>
        <v>_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" s="2"/>
      <c r="S120" s="2" t="str">
        <f t="shared" si="11"/>
        <v>_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45">
        <f>IF(AND(Table2[[#This Row],[GameIsOver]]=1,Table2[[#This Row],[ActualHomeScore]]*Table2[[#This Row],[ActualAwayScore]]=0), 1,0)</f>
        <v>0</v>
      </c>
      <c r="AA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" s="2">
        <f>Table2[[#This Row],[ActualAwayScore]]-Table2[[#This Row],[PredictedAwayScore]]</f>
        <v>0</v>
      </c>
      <c r="AG120" s="2">
        <f>Table2[[#This Row],[ActualHomeScore]]-Table2[[#This Row],[PredictedHomeScore]]</f>
        <v>0</v>
      </c>
      <c r="AH120" s="2">
        <f t="shared" si="12"/>
        <v>0</v>
      </c>
      <c r="AI120" s="2">
        <f t="shared" si="13"/>
        <v>0</v>
      </c>
      <c r="AJ120" s="2"/>
      <c r="AK120" s="2"/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0</v>
      </c>
      <c r="AN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" s="2" t="str">
        <f>INDEX(Sheet5!$B$2:$AG$33, MATCH(Table2[[#This Row],[AwayTeam]],Sheet5!$A$2:$A$33, 0), MATCH(Table2[[#This Row],[HomeTeam]],Sheet5!$A$2:$A$33, 0))</f>
        <v>0-0-0</v>
      </c>
      <c r="AP120" s="2" t="str">
        <f>INDEX(Sheet5!$B$2:$AG$33, MATCH(Table2[[#This Row],[HomeTeam]],Sheet5!$A$2:$A$33, 0), MATCH(Table2[[#This Row],[AwayTeam]],Sheet5!$A$2:$A$33, 0))</f>
        <v>0-0-0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/>
      <c r="AV120" s="2"/>
    </row>
    <row r="121" spans="1:48" x14ac:dyDescent="0.25">
      <c r="A121" s="3"/>
      <c r="B121" s="3">
        <v>45954</v>
      </c>
      <c r="C121" s="5">
        <v>2025020119</v>
      </c>
      <c r="D121" s="2" t="s">
        <v>27</v>
      </c>
      <c r="E121" s="2" t="s">
        <v>33</v>
      </c>
      <c r="F121" s="2"/>
      <c r="G121" s="2"/>
      <c r="H121" s="2" t="str">
        <f t="shared" si="9"/>
        <v>_</v>
      </c>
      <c r="I121" s="2"/>
      <c r="J121" s="2"/>
      <c r="K121" s="2"/>
      <c r="L121" s="2" t="str">
        <f t="shared" si="10"/>
        <v>_</v>
      </c>
      <c r="M121" s="2"/>
      <c r="N121" s="2">
        <f>IF(ISBLANK(Table2[[#This Row],[ActualResult]]), 0, 1)</f>
        <v>0</v>
      </c>
      <c r="O121" s="2" t="str">
        <f>IF(ISBLANK(Table2[[#This Row],[ActualResult]]), "_", IF(Table2[[#This Row],[ActualWinner]]=Table2[[#This Row],[PredictedWinner]], "Y", "N"))</f>
        <v>_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" s="2"/>
      <c r="S121" s="2" t="str">
        <f t="shared" si="11"/>
        <v>_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45">
        <f>IF(AND(Table2[[#This Row],[GameIsOver]]=1,Table2[[#This Row],[ActualHomeScore]]*Table2[[#This Row],[ActualAwayScore]]=0), 1,0)</f>
        <v>0</v>
      </c>
      <c r="AA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0</v>
      </c>
      <c r="AH121" s="2">
        <f t="shared" si="12"/>
        <v>0</v>
      </c>
      <c r="AI121" s="2">
        <f t="shared" si="13"/>
        <v>0</v>
      </c>
      <c r="AJ121" s="2"/>
      <c r="AK121" s="2"/>
      <c r="AL121" s="2">
        <f>IF(Table2[[#This Row],[GameIsOver]]=0,0,IF(Table2[[#This Row],[ActualWinner]]=Table2[[#This Row],[AwayTeam]], 1, 0))</f>
        <v>0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" s="2" t="str">
        <f>INDEX(Sheet5!$B$2:$AG$33, MATCH(Table2[[#This Row],[AwayTeam]],Sheet5!$A$2:$A$33, 0), MATCH(Table2[[#This Row],[HomeTeam]],Sheet5!$A$2:$A$33, 0))</f>
        <v>0-0-0</v>
      </c>
      <c r="AP121" s="2" t="str">
        <f>INDEX(Sheet5!$B$2:$AG$33, MATCH(Table2[[#This Row],[HomeTeam]],Sheet5!$A$2:$A$33, 0), MATCH(Table2[[#This Row],[AwayTeam]],Sheet5!$A$2:$A$33, 0))</f>
        <v>0-0-0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1</v>
      </c>
      <c r="AU121" s="2"/>
      <c r="AV121" s="2"/>
    </row>
    <row r="122" spans="1:48" x14ac:dyDescent="0.25">
      <c r="A122" s="3"/>
      <c r="B122" s="3">
        <v>45954</v>
      </c>
      <c r="C122" s="5">
        <v>2025020120</v>
      </c>
      <c r="D122" s="2" t="s">
        <v>11</v>
      </c>
      <c r="E122" s="2" t="s">
        <v>21</v>
      </c>
      <c r="F122" s="2"/>
      <c r="G122" s="2"/>
      <c r="H122" s="2" t="str">
        <f t="shared" si="9"/>
        <v>_</v>
      </c>
      <c r="I122" s="2"/>
      <c r="J122" s="2"/>
      <c r="K122" s="2"/>
      <c r="L122" s="2" t="str">
        <f t="shared" si="10"/>
        <v>_</v>
      </c>
      <c r="M122" s="2"/>
      <c r="N122" s="2">
        <f>IF(ISBLANK(Table2[[#This Row],[ActualResult]]), 0, 1)</f>
        <v>0</v>
      </c>
      <c r="O122" s="2" t="str">
        <f>IF(ISBLANK(Table2[[#This Row],[ActualResult]]), "_", IF(Table2[[#This Row],[ActualWinner]]=Table2[[#This Row],[PredictedWinner]], "Y", "N"))</f>
        <v>_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" s="2"/>
      <c r="S122" s="2" t="str">
        <f t="shared" si="11"/>
        <v>_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45">
        <f>IF(AND(Table2[[#This Row],[GameIsOver]]=1,Table2[[#This Row],[ActualHomeScore]]*Table2[[#This Row],[ActualAwayScore]]=0), 1,0)</f>
        <v>0</v>
      </c>
      <c r="AA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2" s="2">
        <f>Table2[[#This Row],[ActualAwayScore]]-Table2[[#This Row],[PredictedAwayScore]]</f>
        <v>0</v>
      </c>
      <c r="AG122" s="2">
        <f>Table2[[#This Row],[ActualHomeScore]]-Table2[[#This Row],[PredictedHomeScore]]</f>
        <v>0</v>
      </c>
      <c r="AH122" s="2">
        <f t="shared" si="12"/>
        <v>0</v>
      </c>
      <c r="AI122" s="2">
        <f t="shared" si="13"/>
        <v>0</v>
      </c>
      <c r="AJ122" s="2"/>
      <c r="AK122" s="2"/>
      <c r="AL122" s="2">
        <f>IF(Table2[[#This Row],[GameIsOver]]=0,0,IF(Table2[[#This Row],[ActualWinner]]=Table2[[#This Row],[AwayTeam]], 1, 0))</f>
        <v>0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" s="2" t="str">
        <f>INDEX(Sheet5!$B$2:$AG$33, MATCH(Table2[[#This Row],[AwayTeam]],Sheet5!$A$2:$A$33, 0), MATCH(Table2[[#This Row],[HomeTeam]],Sheet5!$A$2:$A$33, 0))</f>
        <v>0-0-0</v>
      </c>
      <c r="AP122" s="2" t="str">
        <f>INDEX(Sheet5!$B$2:$AG$33, MATCH(Table2[[#This Row],[HomeTeam]],Sheet5!$A$2:$A$33, 0), MATCH(Table2[[#This Row],[AwayTeam]],Sheet5!$A$2:$A$33, 0))</f>
        <v>0-0-0</v>
      </c>
      <c r="AQ122" s="2">
        <f>IF(Table2[[#This Row],[GameHasShutOut]], 1, 0)</f>
        <v>0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/>
      <c r="AV122" s="2"/>
    </row>
    <row r="123" spans="1:48" x14ac:dyDescent="0.25">
      <c r="A123" s="3"/>
      <c r="B123" s="3">
        <v>45954</v>
      </c>
      <c r="C123" s="5">
        <v>2025020121</v>
      </c>
      <c r="D123" s="2" t="s">
        <v>41</v>
      </c>
      <c r="E123" s="2" t="s">
        <v>25</v>
      </c>
      <c r="F123" s="2"/>
      <c r="G123" s="2"/>
      <c r="H123" s="2" t="str">
        <f t="shared" si="9"/>
        <v>_</v>
      </c>
      <c r="I123" s="2"/>
      <c r="J123" s="2"/>
      <c r="K123" s="2"/>
      <c r="L123" s="2" t="str">
        <f t="shared" si="10"/>
        <v>_</v>
      </c>
      <c r="M123" s="2"/>
      <c r="N123" s="2">
        <f>IF(ISBLANK(Table2[[#This Row],[ActualResult]]), 0, 1)</f>
        <v>0</v>
      </c>
      <c r="O123" s="2" t="str">
        <f>IF(ISBLANK(Table2[[#This Row],[ActualResult]]), "_", IF(Table2[[#This Row],[ActualWinner]]=Table2[[#This Row],[PredictedWinner]], "Y", "N"))</f>
        <v>_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" s="2"/>
      <c r="S123" s="2" t="str">
        <f t="shared" si="11"/>
        <v>_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45">
        <f>IF(AND(Table2[[#This Row],[GameIsOver]]=1,Table2[[#This Row],[ActualHomeScore]]*Table2[[#This Row],[ActualAwayScore]]=0), 1,0)</f>
        <v>0</v>
      </c>
      <c r="AA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3" s="2">
        <f>Table2[[#This Row],[ActualAwayScore]]-Table2[[#This Row],[PredictedAwayScore]]</f>
        <v>0</v>
      </c>
      <c r="AG123" s="2">
        <f>Table2[[#This Row],[ActualHomeScore]]-Table2[[#This Row],[PredictedHomeScore]]</f>
        <v>0</v>
      </c>
      <c r="AH123" s="2">
        <f t="shared" si="12"/>
        <v>0</v>
      </c>
      <c r="AI123" s="2">
        <f t="shared" si="13"/>
        <v>0</v>
      </c>
      <c r="AJ123" s="2"/>
      <c r="AK123" s="2"/>
      <c r="AL123" s="2">
        <f>IF(Table2[[#This Row],[GameIsOver]]=0,0,IF(Table2[[#This Row],[ActualWinner]]=Table2[[#This Row],[AwayTeam]], 1, 0))</f>
        <v>0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" s="2" t="str">
        <f>INDEX(Sheet5!$B$2:$AG$33, MATCH(Table2[[#This Row],[AwayTeam]],Sheet5!$A$2:$A$33, 0), MATCH(Table2[[#This Row],[HomeTeam]],Sheet5!$A$2:$A$33, 0))</f>
        <v>0-0-0</v>
      </c>
      <c r="AP123" s="2" t="str">
        <f>INDEX(Sheet5!$B$2:$AG$33, MATCH(Table2[[#This Row],[HomeTeam]],Sheet5!$A$2:$A$33, 0), MATCH(Table2[[#This Row],[AwayTeam]],Sheet5!$A$2:$A$33, 0))</f>
        <v>0-0-0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1</v>
      </c>
      <c r="AU123" s="2"/>
      <c r="AV123" s="2"/>
    </row>
    <row r="124" spans="1:48" x14ac:dyDescent="0.25">
      <c r="A124" s="3"/>
      <c r="B124" s="3">
        <v>45954</v>
      </c>
      <c r="C124" s="5">
        <v>2025020122</v>
      </c>
      <c r="D124" s="2" t="s">
        <v>18</v>
      </c>
      <c r="E124" s="2" t="s">
        <v>22</v>
      </c>
      <c r="F124" s="2"/>
      <c r="G124" s="2"/>
      <c r="H124" s="2" t="str">
        <f t="shared" si="9"/>
        <v>_</v>
      </c>
      <c r="I124" s="2"/>
      <c r="J124" s="2"/>
      <c r="K124" s="2"/>
      <c r="L124" s="2" t="str">
        <f t="shared" si="10"/>
        <v>_</v>
      </c>
      <c r="M124" s="2"/>
      <c r="N124" s="2">
        <f>IF(ISBLANK(Table2[[#This Row],[ActualResult]]), 0, 1)</f>
        <v>0</v>
      </c>
      <c r="O124" s="2" t="str">
        <f>IF(ISBLANK(Table2[[#This Row],[ActualResult]]), "_", IF(Table2[[#This Row],[ActualWinner]]=Table2[[#This Row],[PredictedWinner]], "Y", "N"))</f>
        <v>_</v>
      </c>
      <c r="P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" s="2"/>
      <c r="S124" s="2" t="str">
        <f t="shared" si="11"/>
        <v>_</v>
      </c>
      <c r="T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2">
        <f>IF(Table2[[#This Row],[InterConf]]=1,IF(Table2[[#This Row],[InterDiv]]=0, 1, 0), 0)</f>
        <v>0</v>
      </c>
      <c r="W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2"/>
      <c r="Y124" s="2"/>
      <c r="Z124" s="145">
        <f>IF(AND(Table2[[#This Row],[GameIsOver]]=1,Table2[[#This Row],[ActualHomeScore]]*Table2[[#This Row],[ActualAwayScore]]=0), 1,0)</f>
        <v>0</v>
      </c>
      <c r="AA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4" s="2">
        <f>Table2[[#This Row],[ActualAwayScore]]-Table2[[#This Row],[PredictedAwayScore]]</f>
        <v>0</v>
      </c>
      <c r="AG124" s="2">
        <f>Table2[[#This Row],[ActualHomeScore]]-Table2[[#This Row],[PredictedHomeScore]]</f>
        <v>0</v>
      </c>
      <c r="AH124" s="2">
        <f t="shared" si="12"/>
        <v>0</v>
      </c>
      <c r="AI124" s="2">
        <f t="shared" si="13"/>
        <v>0</v>
      </c>
      <c r="AJ124" s="2"/>
      <c r="AK124" s="2"/>
      <c r="AL124" s="2">
        <f>IF(Table2[[#This Row],[GameIsOver]]=0,0,IF(Table2[[#This Row],[ActualWinner]]=Table2[[#This Row],[AwayTeam]], 1, 0))</f>
        <v>0</v>
      </c>
      <c r="AM124" s="2">
        <f>IF(Table2[[#This Row],[GameIsOver]]=0,0,IF(Table2[[#This Row],[ActualWinner]]=Table2[[#This Row],[HomeTeam]], 1, 0))</f>
        <v>0</v>
      </c>
      <c r="AN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" s="2" t="str">
        <f>INDEX(Sheet5!$B$2:$AG$33, MATCH(Table2[[#This Row],[AwayTeam]],Sheet5!$A$2:$A$33, 0), MATCH(Table2[[#This Row],[HomeTeam]],Sheet5!$A$2:$A$33, 0))</f>
        <v>0-0-0</v>
      </c>
      <c r="AP124" s="2" t="str">
        <f>INDEX(Sheet5!$B$2:$AG$33, MATCH(Table2[[#This Row],[HomeTeam]],Sheet5!$A$2:$A$33, 0), MATCH(Table2[[#This Row],[AwayTeam]],Sheet5!$A$2:$A$33, 0))</f>
        <v>0-0-0</v>
      </c>
      <c r="AQ124" s="2">
        <f>IF(Table2[[#This Row],[GameHasShutOut]], 1, 0)</f>
        <v>0</v>
      </c>
      <c r="AR124" s="2">
        <f>IF(Table2[[#This Row],[ActualAwayScore]] + Table2[[#This Row],[ActualHomeScore]] &gt;= 10, 1, 0)</f>
        <v>0</v>
      </c>
      <c r="AS124" s="2">
        <f>IF(ABS(Table2[[#This Row],[ActualAwayScore]]-Table2[[#This Row],[ActualHomeScore]])&gt;=5, 1, 0)</f>
        <v>0</v>
      </c>
      <c r="AT124" s="2">
        <f>IF(Table2[[#This Row],[ActualAwayScore]] + Table2[[#This Row],[ActualHomeScore]] &lt;= 3, 1, 0)</f>
        <v>1</v>
      </c>
      <c r="AU124" s="2"/>
      <c r="AV124" s="2"/>
    </row>
    <row r="125" spans="1:48" x14ac:dyDescent="0.25">
      <c r="A125" s="3"/>
      <c r="B125" s="3">
        <v>45954</v>
      </c>
      <c r="C125" s="5">
        <v>2025020123</v>
      </c>
      <c r="D125" s="2" t="s">
        <v>17</v>
      </c>
      <c r="E125" s="2" t="s">
        <v>28</v>
      </c>
      <c r="F125" s="2"/>
      <c r="G125" s="2"/>
      <c r="H125" s="2" t="str">
        <f t="shared" si="9"/>
        <v>_</v>
      </c>
      <c r="I125" s="2"/>
      <c r="J125" s="2"/>
      <c r="K125" s="2"/>
      <c r="L125" s="2" t="str">
        <f t="shared" si="10"/>
        <v>_</v>
      </c>
      <c r="M125" s="2"/>
      <c r="N125" s="2">
        <f>IF(ISBLANK(Table2[[#This Row],[ActualResult]]), 0, 1)</f>
        <v>0</v>
      </c>
      <c r="O125" s="2" t="str">
        <f>IF(ISBLANK(Table2[[#This Row],[ActualResult]]), "_", IF(Table2[[#This Row],[ActualWinner]]=Table2[[#This Row],[PredictedWinner]], "Y", "N"))</f>
        <v>_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" s="2"/>
      <c r="S125" s="2" t="str">
        <f t="shared" si="11"/>
        <v>_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45">
        <f>IF(AND(Table2[[#This Row],[GameIsOver]]=1,Table2[[#This Row],[ActualHomeScore]]*Table2[[#This Row],[ActualAwayScore]]=0), 1,0)</f>
        <v>0</v>
      </c>
      <c r="AA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0</v>
      </c>
      <c r="AG125" s="2">
        <f>Table2[[#This Row],[ActualHomeScore]]-Table2[[#This Row],[PredictedHomeScore]]</f>
        <v>0</v>
      </c>
      <c r="AH125" s="2">
        <f t="shared" si="12"/>
        <v>0</v>
      </c>
      <c r="AI125" s="2">
        <f t="shared" si="13"/>
        <v>0</v>
      </c>
      <c r="AJ125" s="2"/>
      <c r="AK125" s="2"/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0</v>
      </c>
      <c r="AN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" s="2" t="str">
        <f>INDEX(Sheet5!$B$2:$AG$33, MATCH(Table2[[#This Row],[AwayTeam]],Sheet5!$A$2:$A$33, 0), MATCH(Table2[[#This Row],[HomeTeam]],Sheet5!$A$2:$A$33, 0))</f>
        <v>0-0-0</v>
      </c>
      <c r="AP125" s="2" t="str">
        <f>INDEX(Sheet5!$B$2:$AG$33, MATCH(Table2[[#This Row],[HomeTeam]],Sheet5!$A$2:$A$33, 0), MATCH(Table2[[#This Row],[AwayTeam]],Sheet5!$A$2:$A$33, 0))</f>
        <v>0-0-0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1</v>
      </c>
      <c r="AU125" s="2"/>
      <c r="AV125" s="2"/>
    </row>
    <row r="126" spans="1:48" x14ac:dyDescent="0.25">
      <c r="A126" s="3"/>
      <c r="B126" s="3">
        <v>45954</v>
      </c>
      <c r="C126" s="5">
        <v>2025020124</v>
      </c>
      <c r="D126" s="2" t="s">
        <v>37</v>
      </c>
      <c r="E126" s="2" t="s">
        <v>31</v>
      </c>
      <c r="F126" s="2"/>
      <c r="G126" s="2"/>
      <c r="H126" s="2" t="str">
        <f t="shared" si="9"/>
        <v>_</v>
      </c>
      <c r="I126" s="2"/>
      <c r="J126" s="2"/>
      <c r="K126" s="2"/>
      <c r="L126" s="2" t="str">
        <f t="shared" si="10"/>
        <v>_</v>
      </c>
      <c r="M126" s="2"/>
      <c r="N126" s="2">
        <f>IF(ISBLANK(Table2[[#This Row],[ActualResult]]), 0, 1)</f>
        <v>0</v>
      </c>
      <c r="O126" s="2" t="str">
        <f>IF(ISBLANK(Table2[[#This Row],[ActualResult]]), "_", IF(Table2[[#This Row],[ActualWinner]]=Table2[[#This Row],[PredictedWinner]], "Y", "N"))</f>
        <v>_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" s="2"/>
      <c r="S126" s="2" t="str">
        <f t="shared" si="11"/>
        <v>_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45">
        <f>IF(AND(Table2[[#This Row],[GameIsOver]]=1,Table2[[#This Row],[ActualHomeScore]]*Table2[[#This Row],[ActualAwayScore]]=0), 1,0)</f>
        <v>0</v>
      </c>
      <c r="AA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0</v>
      </c>
      <c r="AG126" s="2">
        <f>Table2[[#This Row],[ActualHomeScore]]-Table2[[#This Row],[PredictedHomeScore]]</f>
        <v>0</v>
      </c>
      <c r="AH126" s="2">
        <f t="shared" si="12"/>
        <v>0</v>
      </c>
      <c r="AI126" s="2">
        <f t="shared" si="13"/>
        <v>0</v>
      </c>
      <c r="AJ126" s="2"/>
      <c r="AK126" s="2"/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0</v>
      </c>
      <c r="AN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" s="2" t="str">
        <f>INDEX(Sheet5!$B$2:$AG$33, MATCH(Table2[[#This Row],[AwayTeam]],Sheet5!$A$2:$A$33, 0), MATCH(Table2[[#This Row],[HomeTeam]],Sheet5!$A$2:$A$33, 0))</f>
        <v>0-0-0</v>
      </c>
      <c r="AP126" s="2" t="str">
        <f>INDEX(Sheet5!$B$2:$AG$33, MATCH(Table2[[#This Row],[HomeTeam]],Sheet5!$A$2:$A$33, 0), MATCH(Table2[[#This Row],[AwayTeam]],Sheet5!$A$2:$A$33, 0))</f>
        <v>0-0-0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1</v>
      </c>
      <c r="AU126" s="2"/>
      <c r="AV126" s="2"/>
    </row>
    <row r="127" spans="1:48" x14ac:dyDescent="0.25">
      <c r="A127" s="3"/>
      <c r="B127" s="3">
        <v>45954</v>
      </c>
      <c r="C127" s="5">
        <v>2025020125</v>
      </c>
      <c r="D127" s="2" t="s">
        <v>43</v>
      </c>
      <c r="E127" s="2" t="s">
        <v>35</v>
      </c>
      <c r="F127" s="2"/>
      <c r="G127" s="2"/>
      <c r="H127" s="2" t="str">
        <f t="shared" si="9"/>
        <v>_</v>
      </c>
      <c r="I127" s="2"/>
      <c r="J127" s="2"/>
      <c r="K127" s="2"/>
      <c r="L127" s="2" t="str">
        <f t="shared" si="10"/>
        <v>_</v>
      </c>
      <c r="M127" s="2"/>
      <c r="N127" s="2">
        <f>IF(ISBLANK(Table2[[#This Row],[ActualResult]]), 0, 1)</f>
        <v>0</v>
      </c>
      <c r="O127" s="2" t="str">
        <f>IF(ISBLANK(Table2[[#This Row],[ActualResult]]), "_", IF(Table2[[#This Row],[ActualWinner]]=Table2[[#This Row],[PredictedWinner]], "Y", "N"))</f>
        <v>_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" s="2"/>
      <c r="S127" s="2" t="str">
        <f t="shared" si="11"/>
        <v>_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45">
        <f>IF(AND(Table2[[#This Row],[GameIsOver]]=1,Table2[[#This Row],[ActualHomeScore]]*Table2[[#This Row],[ActualAwayScore]]=0), 1,0)</f>
        <v>0</v>
      </c>
      <c r="AA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0</v>
      </c>
      <c r="AG127" s="2">
        <f>Table2[[#This Row],[ActualHomeScore]]-Table2[[#This Row],[PredictedHomeScore]]</f>
        <v>0</v>
      </c>
      <c r="AH127" s="2">
        <f t="shared" si="12"/>
        <v>0</v>
      </c>
      <c r="AI127" s="2">
        <f t="shared" si="13"/>
        <v>0</v>
      </c>
      <c r="AJ127" s="2"/>
      <c r="AK127" s="2"/>
      <c r="AL127" s="2">
        <f>IF(Table2[[#This Row],[GameIsOver]]=0,0,IF(Table2[[#This Row],[ActualWinner]]=Table2[[#This Row],[AwayTeam]], 1, 0))</f>
        <v>0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" s="2" t="str">
        <f>INDEX(Sheet5!$B$2:$AG$33, MATCH(Table2[[#This Row],[AwayTeam]],Sheet5!$A$2:$A$33, 0), MATCH(Table2[[#This Row],[HomeTeam]],Sheet5!$A$2:$A$33, 0))</f>
        <v>0-0-0</v>
      </c>
      <c r="AP127" s="2" t="str">
        <f>INDEX(Sheet5!$B$2:$AG$33, MATCH(Table2[[#This Row],[HomeTeam]],Sheet5!$A$2:$A$33, 0), MATCH(Table2[[#This Row],[AwayTeam]],Sheet5!$A$2:$A$33, 0))</f>
        <v>0-0-0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1</v>
      </c>
      <c r="AU127" s="2"/>
      <c r="AV127" s="2"/>
    </row>
    <row r="128" spans="1:48" x14ac:dyDescent="0.25">
      <c r="A128" s="3"/>
      <c r="B128" s="3">
        <v>45955</v>
      </c>
      <c r="C128" s="5">
        <v>2025020126</v>
      </c>
      <c r="D128" s="2" t="s">
        <v>23</v>
      </c>
      <c r="E128" s="2" t="s">
        <v>21</v>
      </c>
      <c r="F128" s="2"/>
      <c r="G128" s="2"/>
      <c r="H128" s="2" t="str">
        <f t="shared" si="9"/>
        <v>_</v>
      </c>
      <c r="I128" s="2"/>
      <c r="J128" s="2"/>
      <c r="K128" s="2"/>
      <c r="L128" s="2" t="str">
        <f t="shared" si="10"/>
        <v>_</v>
      </c>
      <c r="M128" s="2"/>
      <c r="N128" s="2">
        <f>IF(ISBLANK(Table2[[#This Row],[ActualResult]]), 0, 1)</f>
        <v>0</v>
      </c>
      <c r="O128" s="2" t="str">
        <f>IF(ISBLANK(Table2[[#This Row],[ActualResult]]), "_", IF(Table2[[#This Row],[ActualWinner]]=Table2[[#This Row],[PredictedWinner]], "Y", "N"))</f>
        <v>_</v>
      </c>
      <c r="P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" s="2"/>
      <c r="S128" s="2" t="str">
        <f t="shared" si="11"/>
        <v>_</v>
      </c>
      <c r="T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2">
        <f>IF(Table2[[#This Row],[InterConf]]=1,IF(Table2[[#This Row],[InterDiv]]=0, 1, 0), 0)</f>
        <v>1</v>
      </c>
      <c r="W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2"/>
      <c r="Y128" s="2"/>
      <c r="Z128" s="145">
        <f>IF(AND(Table2[[#This Row],[GameIsOver]]=1,Table2[[#This Row],[ActualHomeScore]]*Table2[[#This Row],[ActualAwayScore]]=0), 1,0)</f>
        <v>0</v>
      </c>
      <c r="AA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8" s="2">
        <f>Table2[[#This Row],[ActualAwayScore]]-Table2[[#This Row],[PredictedAwayScore]]</f>
        <v>0</v>
      </c>
      <c r="AG128" s="2">
        <f>Table2[[#This Row],[ActualHomeScore]]-Table2[[#This Row],[PredictedHomeScore]]</f>
        <v>0</v>
      </c>
      <c r="AH128" s="2">
        <f t="shared" si="12"/>
        <v>0</v>
      </c>
      <c r="AI128" s="2">
        <f t="shared" si="13"/>
        <v>0</v>
      </c>
      <c r="AJ128" s="2"/>
      <c r="AK128" s="2"/>
      <c r="AL128" s="2">
        <f>IF(Table2[[#This Row],[GameIsOver]]=0,0,IF(Table2[[#This Row],[ActualWinner]]=Table2[[#This Row],[AwayTeam]], 1, 0))</f>
        <v>0</v>
      </c>
      <c r="AM128" s="2">
        <f>IF(Table2[[#This Row],[GameIsOver]]=0,0,IF(Table2[[#This Row],[ActualWinner]]=Table2[[#This Row],[HomeTeam]], 1, 0))</f>
        <v>0</v>
      </c>
      <c r="AN12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8" s="2" t="str">
        <f>INDEX(Sheet5!$B$2:$AG$33, MATCH(Table2[[#This Row],[AwayTeam]],Sheet5!$A$2:$A$33, 0), MATCH(Table2[[#This Row],[HomeTeam]],Sheet5!$A$2:$A$33, 0))</f>
        <v>0-0-0</v>
      </c>
      <c r="AP128" s="2" t="str">
        <f>INDEX(Sheet5!$B$2:$AG$33, MATCH(Table2[[#This Row],[HomeTeam]],Sheet5!$A$2:$A$33, 0), MATCH(Table2[[#This Row],[AwayTeam]],Sheet5!$A$2:$A$33, 0))</f>
        <v>0-0-0</v>
      </c>
      <c r="AQ128" s="2">
        <f>IF(Table2[[#This Row],[GameHasShutOut]], 1, 0)</f>
        <v>0</v>
      </c>
      <c r="AR128" s="2">
        <f>IF(Table2[[#This Row],[ActualAwayScore]] + Table2[[#This Row],[ActualHomeScore]] &gt;= 10, 1, 0)</f>
        <v>0</v>
      </c>
      <c r="AS128" s="2">
        <f>IF(ABS(Table2[[#This Row],[ActualAwayScore]]-Table2[[#This Row],[ActualHomeScore]])&gt;=5, 1, 0)</f>
        <v>0</v>
      </c>
      <c r="AT128" s="2">
        <f>IF(Table2[[#This Row],[ActualAwayScore]] + Table2[[#This Row],[ActualHomeScore]] &lt;= 3, 1, 0)</f>
        <v>1</v>
      </c>
      <c r="AU128" s="2"/>
      <c r="AV128" s="2"/>
    </row>
    <row r="129" spans="1:48" x14ac:dyDescent="0.25">
      <c r="A129" s="3"/>
      <c r="B129" s="3">
        <v>45955</v>
      </c>
      <c r="C129" s="5">
        <v>2025020127</v>
      </c>
      <c r="D129" s="2" t="s">
        <v>32</v>
      </c>
      <c r="E129" s="2" t="s">
        <v>42</v>
      </c>
      <c r="F129" s="2"/>
      <c r="G129" s="2"/>
      <c r="H129" s="2" t="str">
        <f t="shared" si="9"/>
        <v>_</v>
      </c>
      <c r="I129" s="2"/>
      <c r="J129" s="2"/>
      <c r="K129" s="2"/>
      <c r="L129" s="2" t="str">
        <f t="shared" si="10"/>
        <v>_</v>
      </c>
      <c r="M129" s="2"/>
      <c r="N129" s="2">
        <f>IF(ISBLANK(Table2[[#This Row],[ActualResult]]), 0, 1)</f>
        <v>0</v>
      </c>
      <c r="O129" s="2" t="str">
        <f>IF(ISBLANK(Table2[[#This Row],[ActualResult]]), "_", IF(Table2[[#This Row],[ActualWinner]]=Table2[[#This Row],[PredictedWinner]], "Y", "N"))</f>
        <v>_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" s="2"/>
      <c r="S129" s="2" t="str">
        <f t="shared" si="11"/>
        <v>_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45">
        <f>IF(AND(Table2[[#This Row],[GameIsOver]]=1,Table2[[#This Row],[ActualHomeScore]]*Table2[[#This Row],[ActualAwayScore]]=0), 1,0)</f>
        <v>0</v>
      </c>
      <c r="AA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0</v>
      </c>
      <c r="AG129" s="2">
        <f>Table2[[#This Row],[ActualHomeScore]]-Table2[[#This Row],[PredictedHomeScore]]</f>
        <v>0</v>
      </c>
      <c r="AH129" s="2">
        <f t="shared" si="12"/>
        <v>0</v>
      </c>
      <c r="AI129" s="2">
        <f t="shared" si="13"/>
        <v>0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0</v>
      </c>
      <c r="AN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" s="2" t="str">
        <f>INDEX(Sheet5!$B$2:$AG$33, MATCH(Table2[[#This Row],[AwayTeam]],Sheet5!$A$2:$A$33, 0), MATCH(Table2[[#This Row],[HomeTeam]],Sheet5!$A$2:$A$33, 0))</f>
        <v>0-0-0</v>
      </c>
      <c r="AP129" s="2" t="str">
        <f>INDEX(Sheet5!$B$2:$AG$33, MATCH(Table2[[#This Row],[HomeTeam]],Sheet5!$A$2:$A$33, 0), MATCH(Table2[[#This Row],[AwayTeam]],Sheet5!$A$2:$A$33, 0))</f>
        <v>0-0-0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1</v>
      </c>
      <c r="AU129" s="2"/>
      <c r="AV129" s="2"/>
    </row>
    <row r="130" spans="1:48" x14ac:dyDescent="0.25">
      <c r="A130" s="3"/>
      <c r="B130" s="3">
        <v>45955</v>
      </c>
      <c r="C130" s="5">
        <v>2025020128</v>
      </c>
      <c r="D130" s="2" t="s">
        <v>25</v>
      </c>
      <c r="E130" s="2" t="s">
        <v>15</v>
      </c>
      <c r="F130" s="2"/>
      <c r="G130" s="2"/>
      <c r="H130" s="2" t="str">
        <f t="shared" si="9"/>
        <v>_</v>
      </c>
      <c r="I130" s="2"/>
      <c r="J130" s="2"/>
      <c r="K130" s="2"/>
      <c r="L130" s="2" t="str">
        <f t="shared" si="10"/>
        <v>_</v>
      </c>
      <c r="M130" s="2"/>
      <c r="N130" s="2">
        <f>IF(ISBLANK(Table2[[#This Row],[ActualResult]]), 0, 1)</f>
        <v>0</v>
      </c>
      <c r="O130" s="2" t="str">
        <f>IF(ISBLANK(Table2[[#This Row],[ActualResult]]), "_", IF(Table2[[#This Row],[ActualWinner]]=Table2[[#This Row],[PredictedWinner]], "Y", "N"))</f>
        <v>_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" s="2"/>
      <c r="S130" s="2" t="str">
        <f t="shared" si="11"/>
        <v>_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45">
        <f>IF(AND(Table2[[#This Row],[GameIsOver]]=1,Table2[[#This Row],[ActualHomeScore]]*Table2[[#This Row],[ActualAwayScore]]=0), 1,0)</f>
        <v>0</v>
      </c>
      <c r="AA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0</v>
      </c>
      <c r="AG130" s="2">
        <f>Table2[[#This Row],[ActualHomeScore]]-Table2[[#This Row],[PredictedHomeScore]]</f>
        <v>0</v>
      </c>
      <c r="AH130" s="2">
        <f t="shared" si="12"/>
        <v>0</v>
      </c>
      <c r="AI130" s="2">
        <f t="shared" si="13"/>
        <v>0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0</v>
      </c>
      <c r="AN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" s="2" t="str">
        <f>INDEX(Sheet5!$B$2:$AG$33, MATCH(Table2[[#This Row],[AwayTeam]],Sheet5!$A$2:$A$33, 0), MATCH(Table2[[#This Row],[HomeTeam]],Sheet5!$A$2:$A$33, 0))</f>
        <v>0-0-0</v>
      </c>
      <c r="AP130" s="2" t="str">
        <f>INDEX(Sheet5!$B$2:$AG$33, MATCH(Table2[[#This Row],[HomeTeam]],Sheet5!$A$2:$A$33, 0), MATCH(Table2[[#This Row],[AwayTeam]],Sheet5!$A$2:$A$33, 0))</f>
        <v>0-0-0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1</v>
      </c>
      <c r="AU130" s="2"/>
      <c r="AV130" s="2"/>
    </row>
    <row r="131" spans="1:48" x14ac:dyDescent="0.25">
      <c r="A131" s="3"/>
      <c r="B131" s="3">
        <v>45955</v>
      </c>
      <c r="C131" s="5">
        <v>2025020129</v>
      </c>
      <c r="D131" s="2" t="s">
        <v>44</v>
      </c>
      <c r="E131" s="2" t="s">
        <v>40</v>
      </c>
      <c r="F131" s="2"/>
      <c r="G131" s="2"/>
      <c r="H131" s="2" t="str">
        <f t="shared" ref="H131:H194" si="14">IF(AND(ISBLANK($F131),ISBLANK($G131)),"_",IF($F131&gt;$G131,$D131,$E131))</f>
        <v>_</v>
      </c>
      <c r="I131" s="2"/>
      <c r="J131" s="2"/>
      <c r="K131" s="2"/>
      <c r="L131" s="2" t="str">
        <f t="shared" ref="L131:L194" si="15">IF(OR($J131=$K131,AND(ISBLANK($J131),ISBLANK($K131))),"_",IF($J131&gt;$K131,$D131,$E131))</f>
        <v>_</v>
      </c>
      <c r="M131" s="2"/>
      <c r="N131" s="2">
        <f>IF(ISBLANK(Table2[[#This Row],[ActualResult]]), 0, 1)</f>
        <v>0</v>
      </c>
      <c r="O131" s="2" t="str">
        <f>IF(ISBLANK(Table2[[#This Row],[ActualResult]]), "_", IF(Table2[[#This Row],[ActualWinner]]=Table2[[#This Row],[PredictedWinner]], "Y", "N"))</f>
        <v>_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" s="2"/>
      <c r="S131" s="2" t="str">
        <f t="shared" ref="S131:S194" si="16">IF($L131="_", "_", IF($L131=$D131,$E131,$D131))</f>
        <v>_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45">
        <f>IF(AND(Table2[[#This Row],[GameIsOver]]=1,Table2[[#This Row],[ActualHomeScore]]*Table2[[#This Row],[ActualAwayScore]]=0), 1,0)</f>
        <v>0</v>
      </c>
      <c r="AA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0</v>
      </c>
      <c r="AH131" s="2">
        <f t="shared" ref="AH131:AH194" si="17">SUMIF($B$3:$B$1315, $B131, $AF$3:$AF$1315)</f>
        <v>0</v>
      </c>
      <c r="AI131" s="2">
        <f t="shared" ref="AI131:AI194" si="18">SUMIF($B$3:$B$1315, $B131, $AG$3:$AG$1315)</f>
        <v>0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0</v>
      </c>
      <c r="AN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" s="2" t="str">
        <f>INDEX(Sheet5!$B$2:$AG$33, MATCH(Table2[[#This Row],[AwayTeam]],Sheet5!$A$2:$A$33, 0), MATCH(Table2[[#This Row],[HomeTeam]],Sheet5!$A$2:$A$33, 0))</f>
        <v>0-0-0</v>
      </c>
      <c r="AP131" s="2" t="str">
        <f>INDEX(Sheet5!$B$2:$AG$33, MATCH(Table2[[#This Row],[HomeTeam]],Sheet5!$A$2:$A$33, 0), MATCH(Table2[[#This Row],[AwayTeam]],Sheet5!$A$2:$A$33, 0))</f>
        <v>0-0-0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1</v>
      </c>
      <c r="AU131" s="2"/>
      <c r="AV131" s="2"/>
    </row>
    <row r="132" spans="1:48" x14ac:dyDescent="0.25">
      <c r="A132" s="3"/>
      <c r="B132" s="3">
        <v>45955</v>
      </c>
      <c r="C132" s="5">
        <v>2025020130</v>
      </c>
      <c r="D132" s="2" t="s">
        <v>26</v>
      </c>
      <c r="E132" s="2" t="s">
        <v>13</v>
      </c>
      <c r="F132" s="2"/>
      <c r="G132" s="2"/>
      <c r="H132" s="2" t="str">
        <f t="shared" si="14"/>
        <v>_</v>
      </c>
      <c r="I132" s="2"/>
      <c r="J132" s="2"/>
      <c r="K132" s="2"/>
      <c r="L132" s="2" t="str">
        <f t="shared" si="15"/>
        <v>_</v>
      </c>
      <c r="M132" s="2"/>
      <c r="N132" s="2">
        <f>IF(ISBLANK(Table2[[#This Row],[ActualResult]]), 0, 1)</f>
        <v>0</v>
      </c>
      <c r="O132" s="2" t="str">
        <f>IF(ISBLANK(Table2[[#This Row],[ActualResult]]), "_", IF(Table2[[#This Row],[ActualWinner]]=Table2[[#This Row],[PredictedWinner]], "Y", "N"))</f>
        <v>_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2" s="2"/>
      <c r="S132" s="2" t="str">
        <f t="shared" si="16"/>
        <v>_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45">
        <f>IF(AND(Table2[[#This Row],[GameIsOver]]=1,Table2[[#This Row],[ActualHomeScore]]*Table2[[#This Row],[ActualAwayScore]]=0), 1,0)</f>
        <v>0</v>
      </c>
      <c r="AA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0</v>
      </c>
      <c r="AG132" s="2">
        <f>Table2[[#This Row],[ActualHomeScore]]-Table2[[#This Row],[PredictedHomeScore]]</f>
        <v>0</v>
      </c>
      <c r="AH132" s="2">
        <f t="shared" si="17"/>
        <v>0</v>
      </c>
      <c r="AI132" s="2">
        <f t="shared" si="18"/>
        <v>0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0</v>
      </c>
      <c r="AN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2" s="2" t="str">
        <f>INDEX(Sheet5!$B$2:$AG$33, MATCH(Table2[[#This Row],[AwayTeam]],Sheet5!$A$2:$A$33, 0), MATCH(Table2[[#This Row],[HomeTeam]],Sheet5!$A$2:$A$33, 0))</f>
        <v>0-0-0</v>
      </c>
      <c r="AP132" s="2" t="str">
        <f>INDEX(Sheet5!$B$2:$AG$33, MATCH(Table2[[#This Row],[HomeTeam]],Sheet5!$A$2:$A$33, 0), MATCH(Table2[[#This Row],[AwayTeam]],Sheet5!$A$2:$A$33, 0))</f>
        <v>0-0-0</v>
      </c>
      <c r="AQ132" s="2">
        <f>IF(Table2[[#This Row],[GameHasShutOut]], 1, 0)</f>
        <v>0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/>
      <c r="AV132" s="2"/>
    </row>
    <row r="133" spans="1:48" x14ac:dyDescent="0.25">
      <c r="A133" s="3"/>
      <c r="B133" s="3">
        <v>45955</v>
      </c>
      <c r="C133" s="5">
        <v>2025020131</v>
      </c>
      <c r="D133" s="2" t="s">
        <v>14</v>
      </c>
      <c r="E133" s="2" t="s">
        <v>36</v>
      </c>
      <c r="F133" s="2"/>
      <c r="G133" s="2"/>
      <c r="H133" s="2" t="str">
        <f t="shared" si="14"/>
        <v>_</v>
      </c>
      <c r="I133" s="2"/>
      <c r="J133" s="2"/>
      <c r="K133" s="2"/>
      <c r="L133" s="2" t="str">
        <f t="shared" si="15"/>
        <v>_</v>
      </c>
      <c r="M133" s="2"/>
      <c r="N133" s="2">
        <f>IF(ISBLANK(Table2[[#This Row],[ActualResult]]), 0, 1)</f>
        <v>0</v>
      </c>
      <c r="O133" s="2" t="str">
        <f>IF(ISBLANK(Table2[[#This Row],[ActualResult]]), "_", IF(Table2[[#This Row],[ActualWinner]]=Table2[[#This Row],[PredictedWinner]], "Y", "N"))</f>
        <v>_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3" s="2"/>
      <c r="S133" s="2" t="str">
        <f t="shared" si="16"/>
        <v>_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45">
        <f>IF(AND(Table2[[#This Row],[GameIsOver]]=1,Table2[[#This Row],[ActualHomeScore]]*Table2[[#This Row],[ActualAwayScore]]=0), 1,0)</f>
        <v>0</v>
      </c>
      <c r="AA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0</v>
      </c>
      <c r="AG133" s="2">
        <f>Table2[[#This Row],[ActualHomeScore]]-Table2[[#This Row],[PredictedHomeScore]]</f>
        <v>0</v>
      </c>
      <c r="AH133" s="2">
        <f t="shared" si="17"/>
        <v>0</v>
      </c>
      <c r="AI133" s="2">
        <f t="shared" si="18"/>
        <v>0</v>
      </c>
      <c r="AJ133" s="2"/>
      <c r="AK133" s="2"/>
      <c r="AL133" s="2">
        <f>IF(Table2[[#This Row],[GameIsOver]]=0,0,IF(Table2[[#This Row],[ActualWinner]]=Table2[[#This Row],[AwayTeam]], 1, 0))</f>
        <v>0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3" s="2" t="str">
        <f>INDEX(Sheet5!$B$2:$AG$33, MATCH(Table2[[#This Row],[AwayTeam]],Sheet5!$A$2:$A$33, 0), MATCH(Table2[[#This Row],[HomeTeam]],Sheet5!$A$2:$A$33, 0))</f>
        <v>0-0-0</v>
      </c>
      <c r="AP133" s="2" t="str">
        <f>INDEX(Sheet5!$B$2:$AG$33, MATCH(Table2[[#This Row],[HomeTeam]],Sheet5!$A$2:$A$33, 0), MATCH(Table2[[#This Row],[AwayTeam]],Sheet5!$A$2:$A$33, 0))</f>
        <v>0-0-0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1</v>
      </c>
      <c r="AU133" s="2"/>
      <c r="AV133" s="2"/>
    </row>
    <row r="134" spans="1:48" x14ac:dyDescent="0.25">
      <c r="A134" s="3"/>
      <c r="B134" s="3">
        <v>45955</v>
      </c>
      <c r="C134" s="5">
        <v>2025020132</v>
      </c>
      <c r="D134" s="2" t="s">
        <v>28</v>
      </c>
      <c r="E134" s="2" t="s">
        <v>17</v>
      </c>
      <c r="F134" s="2"/>
      <c r="G134" s="2"/>
      <c r="H134" s="2" t="str">
        <f t="shared" si="14"/>
        <v>_</v>
      </c>
      <c r="I134" s="2"/>
      <c r="J134" s="2"/>
      <c r="K134" s="2"/>
      <c r="L134" s="2" t="str">
        <f t="shared" si="15"/>
        <v>_</v>
      </c>
      <c r="M134" s="2"/>
      <c r="N134" s="2">
        <f>IF(ISBLANK(Table2[[#This Row],[ActualResult]]), 0, 1)</f>
        <v>0</v>
      </c>
      <c r="O134" s="2" t="str">
        <f>IF(ISBLANK(Table2[[#This Row],[ActualResult]]), "_", IF(Table2[[#This Row],[ActualWinner]]=Table2[[#This Row],[PredictedWinner]], "Y", "N"))</f>
        <v>_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4" s="2"/>
      <c r="S134" s="2" t="str">
        <f t="shared" si="16"/>
        <v>_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45">
        <f>IF(AND(Table2[[#This Row],[GameIsOver]]=1,Table2[[#This Row],[ActualHomeScore]]*Table2[[#This Row],[ActualAwayScore]]=0), 1,0)</f>
        <v>0</v>
      </c>
      <c r="AA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0</v>
      </c>
      <c r="AG134" s="2">
        <f>Table2[[#This Row],[ActualHomeScore]]-Table2[[#This Row],[PredictedHomeScore]]</f>
        <v>0</v>
      </c>
      <c r="AH134" s="2">
        <f t="shared" si="17"/>
        <v>0</v>
      </c>
      <c r="AI134" s="2">
        <f t="shared" si="18"/>
        <v>0</v>
      </c>
      <c r="AJ134" s="2"/>
      <c r="AK134" s="2"/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0</v>
      </c>
      <c r="AN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4" s="2" t="str">
        <f>INDEX(Sheet5!$B$2:$AG$33, MATCH(Table2[[#This Row],[AwayTeam]],Sheet5!$A$2:$A$33, 0), MATCH(Table2[[#This Row],[HomeTeam]],Sheet5!$A$2:$A$33, 0))</f>
        <v>0-0-0</v>
      </c>
      <c r="AP134" s="2" t="str">
        <f>INDEX(Sheet5!$B$2:$AG$33, MATCH(Table2[[#This Row],[HomeTeam]],Sheet5!$A$2:$A$33, 0), MATCH(Table2[[#This Row],[AwayTeam]],Sheet5!$A$2:$A$33, 0))</f>
        <v>0-0-0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1</v>
      </c>
      <c r="AU134" s="2"/>
      <c r="AV134" s="2"/>
    </row>
    <row r="135" spans="1:48" x14ac:dyDescent="0.25">
      <c r="A135" s="3"/>
      <c r="B135" s="3">
        <v>45955</v>
      </c>
      <c r="C135" s="5">
        <v>2025020133</v>
      </c>
      <c r="D135" s="2" t="s">
        <v>12</v>
      </c>
      <c r="E135" s="2" t="s">
        <v>30</v>
      </c>
      <c r="F135" s="2"/>
      <c r="G135" s="2"/>
      <c r="H135" s="2" t="str">
        <f t="shared" si="14"/>
        <v>_</v>
      </c>
      <c r="I135" s="2"/>
      <c r="J135" s="2"/>
      <c r="K135" s="2"/>
      <c r="L135" s="2" t="str">
        <f t="shared" si="15"/>
        <v>_</v>
      </c>
      <c r="M135" s="2"/>
      <c r="N135" s="2">
        <f>IF(ISBLANK(Table2[[#This Row],[ActualResult]]), 0, 1)</f>
        <v>0</v>
      </c>
      <c r="O135" s="2" t="str">
        <f>IF(ISBLANK(Table2[[#This Row],[ActualResult]]), "_", IF(Table2[[#This Row],[ActualWinner]]=Table2[[#This Row],[PredictedWinner]], "Y", "N"))</f>
        <v>_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5" s="2"/>
      <c r="S135" s="2" t="str">
        <f t="shared" si="16"/>
        <v>_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45">
        <f>IF(AND(Table2[[#This Row],[GameIsOver]]=1,Table2[[#This Row],[ActualHomeScore]]*Table2[[#This Row],[ActualAwayScore]]=0), 1,0)</f>
        <v>0</v>
      </c>
      <c r="AA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0</v>
      </c>
      <c r="AG135" s="2">
        <f>Table2[[#This Row],[ActualHomeScore]]-Table2[[#This Row],[PredictedHomeScore]]</f>
        <v>0</v>
      </c>
      <c r="AH135" s="2">
        <f t="shared" si="17"/>
        <v>0</v>
      </c>
      <c r="AI135" s="2">
        <f t="shared" si="18"/>
        <v>0</v>
      </c>
      <c r="AJ135" s="2"/>
      <c r="AK135" s="2"/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0</v>
      </c>
      <c r="AN1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5" s="2" t="str">
        <f>INDEX(Sheet5!$B$2:$AG$33, MATCH(Table2[[#This Row],[AwayTeam]],Sheet5!$A$2:$A$33, 0), MATCH(Table2[[#This Row],[HomeTeam]],Sheet5!$A$2:$A$33, 0))</f>
        <v>0-0-0</v>
      </c>
      <c r="AP135" s="2" t="str">
        <f>INDEX(Sheet5!$B$2:$AG$33, MATCH(Table2[[#This Row],[HomeTeam]],Sheet5!$A$2:$A$33, 0), MATCH(Table2[[#This Row],[AwayTeam]],Sheet5!$A$2:$A$33, 0))</f>
        <v>0-0-0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0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1</v>
      </c>
      <c r="AU135" s="2"/>
      <c r="AV135" s="2"/>
    </row>
    <row r="136" spans="1:48" x14ac:dyDescent="0.25">
      <c r="A136" s="3"/>
      <c r="B136" s="3">
        <v>45955</v>
      </c>
      <c r="C136" s="5">
        <v>2025020134</v>
      </c>
      <c r="D136" s="2" t="s">
        <v>35</v>
      </c>
      <c r="E136" s="2" t="s">
        <v>20</v>
      </c>
      <c r="F136" s="2"/>
      <c r="G136" s="2"/>
      <c r="H136" s="2" t="str">
        <f t="shared" si="14"/>
        <v>_</v>
      </c>
      <c r="I136" s="2"/>
      <c r="J136" s="2"/>
      <c r="K136" s="2"/>
      <c r="L136" s="2" t="str">
        <f t="shared" si="15"/>
        <v>_</v>
      </c>
      <c r="M136" s="2"/>
      <c r="N136" s="2">
        <f>IF(ISBLANK(Table2[[#This Row],[ActualResult]]), 0, 1)</f>
        <v>0</v>
      </c>
      <c r="O136" s="2" t="str">
        <f>IF(ISBLANK(Table2[[#This Row],[ActualResult]]), "_", IF(Table2[[#This Row],[ActualWinner]]=Table2[[#This Row],[PredictedWinner]], "Y", "N"))</f>
        <v>_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6" s="2"/>
      <c r="S136" s="2" t="str">
        <f t="shared" si="16"/>
        <v>_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45">
        <f>IF(AND(Table2[[#This Row],[GameIsOver]]=1,Table2[[#This Row],[ActualHomeScore]]*Table2[[#This Row],[ActualAwayScore]]=0), 1,0)</f>
        <v>0</v>
      </c>
      <c r="AA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0</v>
      </c>
      <c r="AG136" s="2">
        <f>Table2[[#This Row],[ActualHomeScore]]-Table2[[#This Row],[PredictedHomeScore]]</f>
        <v>0</v>
      </c>
      <c r="AH136" s="2">
        <f t="shared" si="17"/>
        <v>0</v>
      </c>
      <c r="AI136" s="2">
        <f t="shared" si="18"/>
        <v>0</v>
      </c>
      <c r="AJ136" s="2"/>
      <c r="AK136" s="2"/>
      <c r="AL136" s="2">
        <f>IF(Table2[[#This Row],[GameIsOver]]=0,0,IF(Table2[[#This Row],[ActualWinner]]=Table2[[#This Row],[AwayTeam]], 1, 0))</f>
        <v>0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6" s="2" t="str">
        <f>INDEX(Sheet5!$B$2:$AG$33, MATCH(Table2[[#This Row],[AwayTeam]],Sheet5!$A$2:$A$33, 0), MATCH(Table2[[#This Row],[HomeTeam]],Sheet5!$A$2:$A$33, 0))</f>
        <v>0-0-0</v>
      </c>
      <c r="AP136" s="2" t="str">
        <f>INDEX(Sheet5!$B$2:$AG$33, MATCH(Table2[[#This Row],[HomeTeam]],Sheet5!$A$2:$A$33, 0), MATCH(Table2[[#This Row],[AwayTeam]],Sheet5!$A$2:$A$33, 0))</f>
        <v>0-0-0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1</v>
      </c>
      <c r="AU136" s="2"/>
      <c r="AV136" s="2"/>
    </row>
    <row r="137" spans="1:48" x14ac:dyDescent="0.25">
      <c r="A137" s="3"/>
      <c r="B137" s="3">
        <v>45955</v>
      </c>
      <c r="C137" s="5">
        <v>2025020135</v>
      </c>
      <c r="D137" s="2" t="s">
        <v>29</v>
      </c>
      <c r="E137" s="2" t="s">
        <v>43</v>
      </c>
      <c r="F137" s="2"/>
      <c r="G137" s="2"/>
      <c r="H137" s="2" t="str">
        <f t="shared" si="14"/>
        <v>_</v>
      </c>
      <c r="I137" s="2"/>
      <c r="J137" s="2"/>
      <c r="K137" s="2"/>
      <c r="L137" s="2" t="str">
        <f t="shared" si="15"/>
        <v>_</v>
      </c>
      <c r="M137" s="2"/>
      <c r="N137" s="2">
        <f>IF(ISBLANK(Table2[[#This Row],[ActualResult]]), 0, 1)</f>
        <v>0</v>
      </c>
      <c r="O137" s="2" t="str">
        <f>IF(ISBLANK(Table2[[#This Row],[ActualResult]]), "_", IF(Table2[[#This Row],[ActualWinner]]=Table2[[#This Row],[PredictedWinner]], "Y", "N"))</f>
        <v>_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7" s="2"/>
      <c r="S137" s="2" t="str">
        <f t="shared" si="16"/>
        <v>_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45">
        <f>IF(AND(Table2[[#This Row],[GameIsOver]]=1,Table2[[#This Row],[ActualHomeScore]]*Table2[[#This Row],[ActualAwayScore]]=0), 1,0)</f>
        <v>0</v>
      </c>
      <c r="AA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0</v>
      </c>
      <c r="AG137" s="2">
        <f>Table2[[#This Row],[ActualHomeScore]]-Table2[[#This Row],[PredictedHomeScore]]</f>
        <v>0</v>
      </c>
      <c r="AH137" s="2">
        <f t="shared" si="17"/>
        <v>0</v>
      </c>
      <c r="AI137" s="2">
        <f t="shared" si="18"/>
        <v>0</v>
      </c>
      <c r="AJ137" s="2"/>
      <c r="AK137" s="2"/>
      <c r="AL137" s="2">
        <f>IF(Table2[[#This Row],[GameIsOver]]=0,0,IF(Table2[[#This Row],[ActualWinner]]=Table2[[#This Row],[AwayTeam]], 1, 0))</f>
        <v>0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7" s="2" t="str">
        <f>INDEX(Sheet5!$B$2:$AG$33, MATCH(Table2[[#This Row],[AwayTeam]],Sheet5!$A$2:$A$33, 0), MATCH(Table2[[#This Row],[HomeTeam]],Sheet5!$A$2:$A$33, 0))</f>
        <v>0-0-0</v>
      </c>
      <c r="AP137" s="2" t="str">
        <f>INDEX(Sheet5!$B$2:$AG$33, MATCH(Table2[[#This Row],[HomeTeam]],Sheet5!$A$2:$A$33, 0), MATCH(Table2[[#This Row],[AwayTeam]],Sheet5!$A$2:$A$33, 0))</f>
        <v>0-0-0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0</v>
      </c>
      <c r="AT137" s="2">
        <f>IF(Table2[[#This Row],[ActualAwayScore]] + Table2[[#This Row],[ActualHomeScore]] &lt;= 3, 1, 0)</f>
        <v>1</v>
      </c>
      <c r="AU137" s="2"/>
      <c r="AV137" s="2"/>
    </row>
    <row r="138" spans="1:48" x14ac:dyDescent="0.25">
      <c r="A138" s="3"/>
      <c r="B138" s="3">
        <v>45955</v>
      </c>
      <c r="C138" s="5">
        <v>2025020136</v>
      </c>
      <c r="D138" s="2" t="s">
        <v>18</v>
      </c>
      <c r="E138" s="2" t="s">
        <v>24</v>
      </c>
      <c r="F138" s="2"/>
      <c r="G138" s="2"/>
      <c r="H138" s="2" t="str">
        <f t="shared" si="14"/>
        <v>_</v>
      </c>
      <c r="I138" s="2"/>
      <c r="J138" s="2"/>
      <c r="K138" s="2"/>
      <c r="L138" s="2" t="str">
        <f t="shared" si="15"/>
        <v>_</v>
      </c>
      <c r="M138" s="2"/>
      <c r="N138" s="2">
        <f>IF(ISBLANK(Table2[[#This Row],[ActualResult]]), 0, 1)</f>
        <v>0</v>
      </c>
      <c r="O138" s="2" t="str">
        <f>IF(ISBLANK(Table2[[#This Row],[ActualResult]]), "_", IF(Table2[[#This Row],[ActualWinner]]=Table2[[#This Row],[PredictedWinner]], "Y", "N"))</f>
        <v>_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8" s="2"/>
      <c r="S138" s="2" t="str">
        <f t="shared" si="16"/>
        <v>_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45">
        <f>IF(AND(Table2[[#This Row],[GameIsOver]]=1,Table2[[#This Row],[ActualHomeScore]]*Table2[[#This Row],[ActualAwayScore]]=0), 1,0)</f>
        <v>0</v>
      </c>
      <c r="AA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0</v>
      </c>
      <c r="AI138" s="2">
        <f t="shared" si="18"/>
        <v>0</v>
      </c>
      <c r="AJ138" s="2"/>
      <c r="AK138" s="2"/>
      <c r="AL138" s="2">
        <f>IF(Table2[[#This Row],[GameIsOver]]=0,0,IF(Table2[[#This Row],[ActualWinner]]=Table2[[#This Row],[AwayTeam]], 1, 0))</f>
        <v>0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8" s="2" t="str">
        <f>INDEX(Sheet5!$B$2:$AG$33, MATCH(Table2[[#This Row],[AwayTeam]],Sheet5!$A$2:$A$33, 0), MATCH(Table2[[#This Row],[HomeTeam]],Sheet5!$A$2:$A$33, 0))</f>
        <v>0-0-0</v>
      </c>
      <c r="AP138" s="2" t="str">
        <f>INDEX(Sheet5!$B$2:$AG$33, MATCH(Table2[[#This Row],[HomeTeam]],Sheet5!$A$2:$A$33, 0), MATCH(Table2[[#This Row],[AwayTeam]],Sheet5!$A$2:$A$33, 0))</f>
        <v>0-0-0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1</v>
      </c>
      <c r="AU138" s="2"/>
      <c r="AV138" s="2"/>
    </row>
    <row r="139" spans="1:48" x14ac:dyDescent="0.25">
      <c r="A139" s="3"/>
      <c r="B139" s="3">
        <v>45956</v>
      </c>
      <c r="C139" s="5">
        <v>2025020137</v>
      </c>
      <c r="D139" s="2" t="s">
        <v>27</v>
      </c>
      <c r="E139" s="2" t="s">
        <v>34</v>
      </c>
      <c r="F139" s="2"/>
      <c r="G139" s="2"/>
      <c r="H139" s="2" t="str">
        <f t="shared" si="14"/>
        <v>_</v>
      </c>
      <c r="I139" s="2"/>
      <c r="J139" s="2"/>
      <c r="K139" s="2"/>
      <c r="L139" s="2" t="str">
        <f t="shared" si="15"/>
        <v>_</v>
      </c>
      <c r="M139" s="2"/>
      <c r="N139" s="2">
        <f>IF(ISBLANK(Table2[[#This Row],[ActualResult]]), 0, 1)</f>
        <v>0</v>
      </c>
      <c r="O139" s="2" t="str">
        <f>IF(ISBLANK(Table2[[#This Row],[ActualResult]]), "_", IF(Table2[[#This Row],[ActualWinner]]=Table2[[#This Row],[PredictedWinner]], "Y", "N"))</f>
        <v>_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9" s="2"/>
      <c r="S139" s="2" t="str">
        <f t="shared" si="16"/>
        <v>_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45">
        <f>IF(AND(Table2[[#This Row],[GameIsOver]]=1,Table2[[#This Row],[ActualHomeScore]]*Table2[[#This Row],[ActualAwayScore]]=0), 1,0)</f>
        <v>0</v>
      </c>
      <c r="AA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0</v>
      </c>
      <c r="AH139" s="2">
        <f t="shared" si="17"/>
        <v>0</v>
      </c>
      <c r="AI139" s="2">
        <f t="shared" si="18"/>
        <v>0</v>
      </c>
      <c r="AJ139" s="2"/>
      <c r="AK139" s="2"/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0</v>
      </c>
      <c r="AN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9" s="2" t="str">
        <f>INDEX(Sheet5!$B$2:$AG$33, MATCH(Table2[[#This Row],[AwayTeam]],Sheet5!$A$2:$A$33, 0), MATCH(Table2[[#This Row],[HomeTeam]],Sheet5!$A$2:$A$33, 0))</f>
        <v>0-0-0</v>
      </c>
      <c r="AP139" s="2" t="str">
        <f>INDEX(Sheet5!$B$2:$AG$33, MATCH(Table2[[#This Row],[HomeTeam]],Sheet5!$A$2:$A$33, 0), MATCH(Table2[[#This Row],[AwayTeam]],Sheet5!$A$2:$A$33, 0))</f>
        <v>0-0-0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1</v>
      </c>
      <c r="AU139" s="2"/>
      <c r="AV139" s="2"/>
    </row>
    <row r="140" spans="1:48" x14ac:dyDescent="0.25">
      <c r="A140" s="3"/>
      <c r="B140" s="3">
        <v>45956</v>
      </c>
      <c r="C140" s="5">
        <v>2025020138</v>
      </c>
      <c r="D140" s="2" t="s">
        <v>41</v>
      </c>
      <c r="E140" s="2" t="s">
        <v>33</v>
      </c>
      <c r="F140" s="2"/>
      <c r="G140" s="2"/>
      <c r="H140" s="2" t="str">
        <f t="shared" si="14"/>
        <v>_</v>
      </c>
      <c r="I140" s="2"/>
      <c r="J140" s="2"/>
      <c r="K140" s="2"/>
      <c r="L140" s="2" t="str">
        <f t="shared" si="15"/>
        <v>_</v>
      </c>
      <c r="M140" s="2"/>
      <c r="N140" s="2">
        <f>IF(ISBLANK(Table2[[#This Row],[ActualResult]]), 0, 1)</f>
        <v>0</v>
      </c>
      <c r="O140" s="2" t="str">
        <f>IF(ISBLANK(Table2[[#This Row],[ActualResult]]), "_", IF(Table2[[#This Row],[ActualWinner]]=Table2[[#This Row],[PredictedWinner]], "Y", "N"))</f>
        <v>_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0" s="2"/>
      <c r="S140" s="2" t="str">
        <f t="shared" si="16"/>
        <v>_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45">
        <f>IF(AND(Table2[[#This Row],[GameIsOver]]=1,Table2[[#This Row],[ActualHomeScore]]*Table2[[#This Row],[ActualAwayScore]]=0), 1,0)</f>
        <v>0</v>
      </c>
      <c r="AA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0" s="2">
        <f>Table2[[#This Row],[ActualAwayScore]]-Table2[[#This Row],[PredictedAwayScore]]</f>
        <v>0</v>
      </c>
      <c r="AG140" s="2">
        <f>Table2[[#This Row],[ActualHomeScore]]-Table2[[#This Row],[PredictedHomeScore]]</f>
        <v>0</v>
      </c>
      <c r="AH140" s="2">
        <f t="shared" si="17"/>
        <v>0</v>
      </c>
      <c r="AI140" s="2">
        <f t="shared" si="18"/>
        <v>0</v>
      </c>
      <c r="AJ140" s="2"/>
      <c r="AK140" s="2"/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0</v>
      </c>
      <c r="AN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0" s="2" t="str">
        <f>INDEX(Sheet5!$B$2:$AG$33, MATCH(Table2[[#This Row],[AwayTeam]],Sheet5!$A$2:$A$33, 0), MATCH(Table2[[#This Row],[HomeTeam]],Sheet5!$A$2:$A$33, 0))</f>
        <v>0-0-0</v>
      </c>
      <c r="AP140" s="2" t="str">
        <f>INDEX(Sheet5!$B$2:$AG$33, MATCH(Table2[[#This Row],[HomeTeam]],Sheet5!$A$2:$A$33, 0), MATCH(Table2[[#This Row],[AwayTeam]],Sheet5!$A$2:$A$33, 0))</f>
        <v>0-0-0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1</v>
      </c>
      <c r="AU140" s="2"/>
      <c r="AV140" s="2"/>
    </row>
    <row r="141" spans="1:48" x14ac:dyDescent="0.25">
      <c r="A141" s="3"/>
      <c r="B141" s="3">
        <v>45956</v>
      </c>
      <c r="C141" s="5">
        <v>2025020139</v>
      </c>
      <c r="D141" s="2" t="s">
        <v>22</v>
      </c>
      <c r="E141" s="2" t="s">
        <v>11</v>
      </c>
      <c r="F141" s="2"/>
      <c r="G141" s="2"/>
      <c r="H141" s="2" t="str">
        <f t="shared" si="14"/>
        <v>_</v>
      </c>
      <c r="I141" s="2"/>
      <c r="J141" s="2"/>
      <c r="K141" s="2"/>
      <c r="L141" s="2" t="str">
        <f t="shared" si="15"/>
        <v>_</v>
      </c>
      <c r="M141" s="2"/>
      <c r="N141" s="2">
        <f>IF(ISBLANK(Table2[[#This Row],[ActualResult]]), 0, 1)</f>
        <v>0</v>
      </c>
      <c r="O141" s="2" t="str">
        <f>IF(ISBLANK(Table2[[#This Row],[ActualResult]]), "_", IF(Table2[[#This Row],[ActualWinner]]=Table2[[#This Row],[PredictedWinner]], "Y", "N"))</f>
        <v>_</v>
      </c>
      <c r="P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1" s="2"/>
      <c r="S141" s="2" t="str">
        <f t="shared" si="16"/>
        <v>_</v>
      </c>
      <c r="T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2">
        <f>IF(Table2[[#This Row],[InterConf]]=1,IF(Table2[[#This Row],[InterDiv]]=0, 1, 0), 0)</f>
        <v>0</v>
      </c>
      <c r="W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2"/>
      <c r="Y141" s="2"/>
      <c r="Z141" s="145">
        <f>IF(AND(Table2[[#This Row],[GameIsOver]]=1,Table2[[#This Row],[ActualHomeScore]]*Table2[[#This Row],[ActualAwayScore]]=0), 1,0)</f>
        <v>0</v>
      </c>
      <c r="AA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1" s="2">
        <f>Table2[[#This Row],[ActualAwayScore]]-Table2[[#This Row],[PredictedAwayScore]]</f>
        <v>0</v>
      </c>
      <c r="AG141" s="2">
        <f>Table2[[#This Row],[ActualHomeScore]]-Table2[[#This Row],[PredictedHomeScore]]</f>
        <v>0</v>
      </c>
      <c r="AH141" s="2">
        <f t="shared" si="17"/>
        <v>0</v>
      </c>
      <c r="AI141" s="2">
        <f t="shared" si="18"/>
        <v>0</v>
      </c>
      <c r="AJ141" s="2"/>
      <c r="AK141" s="2"/>
      <c r="AL141" s="2">
        <f>IF(Table2[[#This Row],[GameIsOver]]=0,0,IF(Table2[[#This Row],[ActualWinner]]=Table2[[#This Row],[AwayTeam]], 1, 0))</f>
        <v>0</v>
      </c>
      <c r="AM141" s="2">
        <f>IF(Table2[[#This Row],[GameIsOver]]=0,0,IF(Table2[[#This Row],[ActualWinner]]=Table2[[#This Row],[HomeTeam]], 1, 0))</f>
        <v>0</v>
      </c>
      <c r="AN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1" s="2" t="str">
        <f>INDEX(Sheet5!$B$2:$AG$33, MATCH(Table2[[#This Row],[AwayTeam]],Sheet5!$A$2:$A$33, 0), MATCH(Table2[[#This Row],[HomeTeam]],Sheet5!$A$2:$A$33, 0))</f>
        <v>0-0-0</v>
      </c>
      <c r="AP141" s="2" t="str">
        <f>INDEX(Sheet5!$B$2:$AG$33, MATCH(Table2[[#This Row],[HomeTeam]],Sheet5!$A$2:$A$33, 0), MATCH(Table2[[#This Row],[AwayTeam]],Sheet5!$A$2:$A$33, 0))</f>
        <v>0-0-0</v>
      </c>
      <c r="AQ141" s="2">
        <f>IF(Table2[[#This Row],[GameHasShutOut]], 1, 0)</f>
        <v>0</v>
      </c>
      <c r="AR141" s="2">
        <f>IF(Table2[[#This Row],[ActualAwayScore]] + Table2[[#This Row],[ActualHomeScore]] &gt;= 10, 1, 0)</f>
        <v>0</v>
      </c>
      <c r="AS141" s="2">
        <f>IF(ABS(Table2[[#This Row],[ActualAwayScore]]-Table2[[#This Row],[ActualHomeScore]])&gt;=5, 1, 0)</f>
        <v>0</v>
      </c>
      <c r="AT141" s="2">
        <f>IF(Table2[[#This Row],[ActualAwayScore]] + Table2[[#This Row],[ActualHomeScore]] &lt;= 3, 1, 0)</f>
        <v>1</v>
      </c>
      <c r="AU141" s="2"/>
      <c r="AV141" s="2"/>
    </row>
    <row r="142" spans="1:48" x14ac:dyDescent="0.25">
      <c r="A142" s="3"/>
      <c r="B142" s="3">
        <v>45956</v>
      </c>
      <c r="C142" s="5">
        <v>2025020140</v>
      </c>
      <c r="D142" s="2" t="s">
        <v>25</v>
      </c>
      <c r="E142" s="2" t="s">
        <v>31</v>
      </c>
      <c r="F142" s="2"/>
      <c r="G142" s="2"/>
      <c r="H142" s="2" t="str">
        <f t="shared" si="14"/>
        <v>_</v>
      </c>
      <c r="I142" s="2"/>
      <c r="J142" s="2"/>
      <c r="K142" s="2"/>
      <c r="L142" s="2" t="str">
        <f t="shared" si="15"/>
        <v>_</v>
      </c>
      <c r="M142" s="2"/>
      <c r="N142" s="2">
        <f>IF(ISBLANK(Table2[[#This Row],[ActualResult]]), 0, 1)</f>
        <v>0</v>
      </c>
      <c r="O142" s="2" t="str">
        <f>IF(ISBLANK(Table2[[#This Row],[ActualResult]]), "_", IF(Table2[[#This Row],[ActualWinner]]=Table2[[#This Row],[PredictedWinner]], "Y", "N"))</f>
        <v>_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2" s="2"/>
      <c r="S142" s="2" t="str">
        <f t="shared" si="16"/>
        <v>_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45">
        <f>IF(AND(Table2[[#This Row],[GameIsOver]]=1,Table2[[#This Row],[ActualHomeScore]]*Table2[[#This Row],[ActualAwayScore]]=0), 1,0)</f>
        <v>0</v>
      </c>
      <c r="AA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0</v>
      </c>
      <c r="AI142" s="2">
        <f t="shared" si="18"/>
        <v>0</v>
      </c>
      <c r="AJ142" s="2"/>
      <c r="AK142" s="2"/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0</v>
      </c>
      <c r="AN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2" s="2" t="str">
        <f>INDEX(Sheet5!$B$2:$AG$33, MATCH(Table2[[#This Row],[AwayTeam]],Sheet5!$A$2:$A$33, 0), MATCH(Table2[[#This Row],[HomeTeam]],Sheet5!$A$2:$A$33, 0))</f>
        <v>0-0-0</v>
      </c>
      <c r="AP142" s="2" t="str">
        <f>INDEX(Sheet5!$B$2:$AG$33, MATCH(Table2[[#This Row],[HomeTeam]],Sheet5!$A$2:$A$33, 0), MATCH(Table2[[#This Row],[AwayTeam]],Sheet5!$A$2:$A$33, 0))</f>
        <v>0-0-0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1</v>
      </c>
      <c r="AU142" s="2"/>
      <c r="AV142" s="2"/>
    </row>
    <row r="143" spans="1:48" x14ac:dyDescent="0.25">
      <c r="A143" s="3"/>
      <c r="B143" s="3">
        <v>45956</v>
      </c>
      <c r="C143" s="5">
        <v>2025020141</v>
      </c>
      <c r="D143" s="2" t="s">
        <v>26</v>
      </c>
      <c r="E143" s="2" t="s">
        <v>40</v>
      </c>
      <c r="F143" s="2"/>
      <c r="G143" s="2"/>
      <c r="H143" s="2" t="str">
        <f t="shared" si="14"/>
        <v>_</v>
      </c>
      <c r="I143" s="2"/>
      <c r="J143" s="2"/>
      <c r="K143" s="2"/>
      <c r="L143" s="2" t="str">
        <f t="shared" si="15"/>
        <v>_</v>
      </c>
      <c r="M143" s="2"/>
      <c r="N143" s="2">
        <f>IF(ISBLANK(Table2[[#This Row],[ActualResult]]), 0, 1)</f>
        <v>0</v>
      </c>
      <c r="O143" s="2" t="str">
        <f>IF(ISBLANK(Table2[[#This Row],[ActualResult]]), "_", IF(Table2[[#This Row],[ActualWinner]]=Table2[[#This Row],[PredictedWinner]], "Y", "N"))</f>
        <v>_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3" s="2"/>
      <c r="S143" s="2" t="str">
        <f t="shared" si="16"/>
        <v>_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45">
        <f>IF(AND(Table2[[#This Row],[GameIsOver]]=1,Table2[[#This Row],[ActualHomeScore]]*Table2[[#This Row],[ActualAwayScore]]=0), 1,0)</f>
        <v>0</v>
      </c>
      <c r="AA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0</v>
      </c>
      <c r="AG143" s="2">
        <f>Table2[[#This Row],[ActualHomeScore]]-Table2[[#This Row],[PredictedHomeScore]]</f>
        <v>0</v>
      </c>
      <c r="AH143" s="2">
        <f t="shared" si="17"/>
        <v>0</v>
      </c>
      <c r="AI143" s="2">
        <f t="shared" si="18"/>
        <v>0</v>
      </c>
      <c r="AJ143" s="2"/>
      <c r="AK143" s="2"/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0</v>
      </c>
      <c r="AN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3" s="2" t="str">
        <f>INDEX(Sheet5!$B$2:$AG$33, MATCH(Table2[[#This Row],[AwayTeam]],Sheet5!$A$2:$A$33, 0), MATCH(Table2[[#This Row],[HomeTeam]],Sheet5!$A$2:$A$33, 0))</f>
        <v>0-0-0</v>
      </c>
      <c r="AP143" s="2" t="str">
        <f>INDEX(Sheet5!$B$2:$AG$33, MATCH(Table2[[#This Row],[HomeTeam]],Sheet5!$A$2:$A$33, 0), MATCH(Table2[[#This Row],[AwayTeam]],Sheet5!$A$2:$A$33, 0))</f>
        <v>0-0-0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/>
      <c r="AV143" s="2"/>
    </row>
    <row r="144" spans="1:48" x14ac:dyDescent="0.25">
      <c r="A144" s="3"/>
      <c r="B144" s="3">
        <v>45956</v>
      </c>
      <c r="C144" s="5">
        <v>2025020142</v>
      </c>
      <c r="D144" s="2" t="s">
        <v>37</v>
      </c>
      <c r="E144" s="2" t="s">
        <v>36</v>
      </c>
      <c r="F144" s="2"/>
      <c r="G144" s="2"/>
      <c r="H144" s="2" t="str">
        <f t="shared" si="14"/>
        <v>_</v>
      </c>
      <c r="I144" s="2"/>
      <c r="J144" s="2"/>
      <c r="K144" s="2"/>
      <c r="L144" s="2" t="str">
        <f t="shared" si="15"/>
        <v>_</v>
      </c>
      <c r="M144" s="2"/>
      <c r="N144" s="2">
        <f>IF(ISBLANK(Table2[[#This Row],[ActualResult]]), 0, 1)</f>
        <v>0</v>
      </c>
      <c r="O144" s="2" t="str">
        <f>IF(ISBLANK(Table2[[#This Row],[ActualResult]]), "_", IF(Table2[[#This Row],[ActualWinner]]=Table2[[#This Row],[PredictedWinner]], "Y", "N"))</f>
        <v>_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4" s="2"/>
      <c r="S144" s="2" t="str">
        <f t="shared" si="16"/>
        <v>_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45">
        <f>IF(AND(Table2[[#This Row],[GameIsOver]]=1,Table2[[#This Row],[ActualHomeScore]]*Table2[[#This Row],[ActualAwayScore]]=0), 1,0)</f>
        <v>0</v>
      </c>
      <c r="AA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0</v>
      </c>
      <c r="AG144" s="2">
        <f>Table2[[#This Row],[ActualHomeScore]]-Table2[[#This Row],[PredictedHomeScore]]</f>
        <v>0</v>
      </c>
      <c r="AH144" s="2">
        <f t="shared" si="17"/>
        <v>0</v>
      </c>
      <c r="AI144" s="2">
        <f t="shared" si="18"/>
        <v>0</v>
      </c>
      <c r="AJ144" s="2"/>
      <c r="AK144" s="2"/>
      <c r="AL144" s="2">
        <f>IF(Table2[[#This Row],[GameIsOver]]=0,0,IF(Table2[[#This Row],[ActualWinner]]=Table2[[#This Row],[AwayTeam]], 1, 0))</f>
        <v>0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4" s="2" t="str">
        <f>INDEX(Sheet5!$B$2:$AG$33, MATCH(Table2[[#This Row],[AwayTeam]],Sheet5!$A$2:$A$33, 0), MATCH(Table2[[#This Row],[HomeTeam]],Sheet5!$A$2:$A$33, 0))</f>
        <v>0-0-0</v>
      </c>
      <c r="AP144" s="2" t="str">
        <f>INDEX(Sheet5!$B$2:$AG$33, MATCH(Table2[[#This Row],[HomeTeam]],Sheet5!$A$2:$A$33, 0), MATCH(Table2[[#This Row],[AwayTeam]],Sheet5!$A$2:$A$33, 0))</f>
        <v>0-0-0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0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1</v>
      </c>
      <c r="AU144" s="2"/>
      <c r="AV144" s="2"/>
    </row>
    <row r="145" spans="1:48" x14ac:dyDescent="0.25">
      <c r="A145" s="3"/>
      <c r="B145" s="3">
        <v>45956</v>
      </c>
      <c r="C145" s="5">
        <v>2025020143</v>
      </c>
      <c r="D145" s="2" t="s">
        <v>14</v>
      </c>
      <c r="E145" s="2" t="s">
        <v>21</v>
      </c>
      <c r="F145" s="2"/>
      <c r="G145" s="2"/>
      <c r="H145" s="2" t="str">
        <f t="shared" si="14"/>
        <v>_</v>
      </c>
      <c r="I145" s="2"/>
      <c r="J145" s="2"/>
      <c r="K145" s="2"/>
      <c r="L145" s="2" t="str">
        <f t="shared" si="15"/>
        <v>_</v>
      </c>
      <c r="M145" s="2"/>
      <c r="N145" s="2">
        <f>IF(ISBLANK(Table2[[#This Row],[ActualResult]]), 0, 1)</f>
        <v>0</v>
      </c>
      <c r="O145" s="2" t="str">
        <f>IF(ISBLANK(Table2[[#This Row],[ActualResult]]), "_", IF(Table2[[#This Row],[ActualWinner]]=Table2[[#This Row],[PredictedWinner]], "Y", "N"))</f>
        <v>_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5" s="2"/>
      <c r="S145" s="2" t="str">
        <f t="shared" si="16"/>
        <v>_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45">
        <f>IF(AND(Table2[[#This Row],[GameIsOver]]=1,Table2[[#This Row],[ActualHomeScore]]*Table2[[#This Row],[ActualAwayScore]]=0), 1,0)</f>
        <v>0</v>
      </c>
      <c r="AA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0</v>
      </c>
      <c r="AG145" s="2">
        <f>Table2[[#This Row],[ActualHomeScore]]-Table2[[#This Row],[PredictedHomeScore]]</f>
        <v>0</v>
      </c>
      <c r="AH145" s="2">
        <f t="shared" si="17"/>
        <v>0</v>
      </c>
      <c r="AI145" s="2">
        <f t="shared" si="18"/>
        <v>0</v>
      </c>
      <c r="AJ145" s="2"/>
      <c r="AK145" s="2"/>
      <c r="AL145" s="2">
        <f>IF(Table2[[#This Row],[GameIsOver]]=0,0,IF(Table2[[#This Row],[ActualWinner]]=Table2[[#This Row],[AwayTeam]], 1, 0))</f>
        <v>0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5" s="2" t="str">
        <f>INDEX(Sheet5!$B$2:$AG$33, MATCH(Table2[[#This Row],[AwayTeam]],Sheet5!$A$2:$A$33, 0), MATCH(Table2[[#This Row],[HomeTeam]],Sheet5!$A$2:$A$33, 0))</f>
        <v>0-0-0</v>
      </c>
      <c r="AP145" s="2" t="str">
        <f>INDEX(Sheet5!$B$2:$AG$33, MATCH(Table2[[#This Row],[HomeTeam]],Sheet5!$A$2:$A$33, 0), MATCH(Table2[[#This Row],[AwayTeam]],Sheet5!$A$2:$A$33, 0))</f>
        <v>0-0-0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1</v>
      </c>
      <c r="AU145" s="2"/>
      <c r="AV145" s="2"/>
    </row>
    <row r="146" spans="1:48" x14ac:dyDescent="0.25">
      <c r="A146" s="3"/>
      <c r="B146" s="3">
        <v>45956</v>
      </c>
      <c r="C146" s="5">
        <v>2025020144</v>
      </c>
      <c r="D146" s="2" t="s">
        <v>27</v>
      </c>
      <c r="E146" s="2" t="s">
        <v>16</v>
      </c>
      <c r="F146" s="2"/>
      <c r="G146" s="2"/>
      <c r="H146" s="2" t="str">
        <f t="shared" si="14"/>
        <v>_</v>
      </c>
      <c r="I146" s="2"/>
      <c r="J146" s="2"/>
      <c r="K146" s="2"/>
      <c r="L146" s="2" t="str">
        <f t="shared" si="15"/>
        <v>_</v>
      </c>
      <c r="M146" s="2"/>
      <c r="N146" s="2">
        <f>IF(ISBLANK(Table2[[#This Row],[ActualResult]]), 0, 1)</f>
        <v>0</v>
      </c>
      <c r="O146" s="2" t="str">
        <f>IF(ISBLANK(Table2[[#This Row],[ActualResult]]), "_", IF(Table2[[#This Row],[ActualWinner]]=Table2[[#This Row],[PredictedWinner]], "Y", "N"))</f>
        <v>_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6" s="2"/>
      <c r="S146" s="2" t="str">
        <f t="shared" si="16"/>
        <v>_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45">
        <f>IF(AND(Table2[[#This Row],[GameIsOver]]=1,Table2[[#This Row],[ActualHomeScore]]*Table2[[#This Row],[ActualAwayScore]]=0), 1,0)</f>
        <v>0</v>
      </c>
      <c r="AA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0</v>
      </c>
      <c r="AG146" s="2">
        <f>Table2[[#This Row],[ActualHomeScore]]-Table2[[#This Row],[PredictedHomeScore]]</f>
        <v>0</v>
      </c>
      <c r="AH146" s="2">
        <f t="shared" si="17"/>
        <v>0</v>
      </c>
      <c r="AI146" s="2">
        <f t="shared" si="18"/>
        <v>0</v>
      </c>
      <c r="AJ146" s="2"/>
      <c r="AK146" s="2"/>
      <c r="AL146" s="2">
        <f>IF(Table2[[#This Row],[GameIsOver]]=0,0,IF(Table2[[#This Row],[ActualWinner]]=Table2[[#This Row],[AwayTeam]], 1, 0))</f>
        <v>0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6" s="2" t="str">
        <f>INDEX(Sheet5!$B$2:$AG$33, MATCH(Table2[[#This Row],[AwayTeam]],Sheet5!$A$2:$A$33, 0), MATCH(Table2[[#This Row],[HomeTeam]],Sheet5!$A$2:$A$33, 0))</f>
        <v>0-0-0</v>
      </c>
      <c r="AP146" s="2" t="str">
        <f>INDEX(Sheet5!$B$2:$AG$33, MATCH(Table2[[#This Row],[HomeTeam]],Sheet5!$A$2:$A$33, 0), MATCH(Table2[[#This Row],[AwayTeam]],Sheet5!$A$2:$A$33, 0))</f>
        <v>0-0-0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1</v>
      </c>
      <c r="AU146" s="2"/>
      <c r="AV146" s="2"/>
    </row>
    <row r="147" spans="1:48" x14ac:dyDescent="0.25">
      <c r="A147" s="3"/>
      <c r="B147" s="3">
        <v>45956</v>
      </c>
      <c r="C147" s="5">
        <v>2025020145</v>
      </c>
      <c r="D147" s="2" t="s">
        <v>33</v>
      </c>
      <c r="E147" s="2" t="s">
        <v>34</v>
      </c>
      <c r="F147" s="2"/>
      <c r="G147" s="2"/>
      <c r="H147" s="2" t="str">
        <f t="shared" si="14"/>
        <v>_</v>
      </c>
      <c r="I147" s="2"/>
      <c r="J147" s="2"/>
      <c r="K147" s="2"/>
      <c r="L147" s="2" t="str">
        <f t="shared" si="15"/>
        <v>_</v>
      </c>
      <c r="M147" s="2"/>
      <c r="N147" s="2">
        <f>IF(ISBLANK(Table2[[#This Row],[ActualResult]]), 0, 1)</f>
        <v>0</v>
      </c>
      <c r="O147" s="2" t="str">
        <f>IF(ISBLANK(Table2[[#This Row],[ActualResult]]), "_", IF(Table2[[#This Row],[ActualWinner]]=Table2[[#This Row],[PredictedWinner]], "Y", "N"))</f>
        <v>_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7" s="2"/>
      <c r="S147" s="2" t="str">
        <f t="shared" si="16"/>
        <v>_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45">
        <f>IF(AND(Table2[[#This Row],[GameIsOver]]=1,Table2[[#This Row],[ActualHomeScore]]*Table2[[#This Row],[ActualAwayScore]]=0), 1,0)</f>
        <v>0</v>
      </c>
      <c r="AA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0</v>
      </c>
      <c r="AG147" s="2">
        <f>Table2[[#This Row],[ActualHomeScore]]-Table2[[#This Row],[PredictedHomeScore]]</f>
        <v>0</v>
      </c>
      <c r="AH147" s="2">
        <f t="shared" si="17"/>
        <v>0</v>
      </c>
      <c r="AI147" s="2">
        <f t="shared" si="18"/>
        <v>0</v>
      </c>
      <c r="AJ147" s="2"/>
      <c r="AK147" s="2"/>
      <c r="AL147" s="2">
        <f>IF(Table2[[#This Row],[GameIsOver]]=0,0,IF(Table2[[#This Row],[ActualWinner]]=Table2[[#This Row],[AwayTeam]], 1, 0))</f>
        <v>0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7" s="2" t="str">
        <f>INDEX(Sheet5!$B$2:$AG$33, MATCH(Table2[[#This Row],[AwayTeam]],Sheet5!$A$2:$A$33, 0), MATCH(Table2[[#This Row],[HomeTeam]],Sheet5!$A$2:$A$33, 0))</f>
        <v>0-0-0</v>
      </c>
      <c r="AP147" s="2" t="str">
        <f>INDEX(Sheet5!$B$2:$AG$33, MATCH(Table2[[#This Row],[HomeTeam]],Sheet5!$A$2:$A$33, 0), MATCH(Table2[[#This Row],[AwayTeam]],Sheet5!$A$2:$A$33, 0))</f>
        <v>0-0-0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1</v>
      </c>
      <c r="AU147" s="2"/>
      <c r="AV147" s="2"/>
    </row>
    <row r="148" spans="1:48" x14ac:dyDescent="0.25">
      <c r="A148" s="3"/>
      <c r="B148" s="3">
        <v>45957</v>
      </c>
      <c r="C148" s="5">
        <v>2025020146</v>
      </c>
      <c r="D148" s="2" t="s">
        <v>19</v>
      </c>
      <c r="E148" s="2" t="s">
        <v>23</v>
      </c>
      <c r="F148" s="2"/>
      <c r="G148" s="2"/>
      <c r="H148" s="2" t="str">
        <f t="shared" si="14"/>
        <v>_</v>
      </c>
      <c r="I148" s="2"/>
      <c r="J148" s="2"/>
      <c r="K148" s="2"/>
      <c r="L148" s="2" t="str">
        <f t="shared" si="15"/>
        <v>_</v>
      </c>
      <c r="M148" s="2"/>
      <c r="N148" s="2">
        <f>IF(ISBLANK(Table2[[#This Row],[ActualResult]]), 0, 1)</f>
        <v>0</v>
      </c>
      <c r="O148" s="2" t="str">
        <f>IF(ISBLANK(Table2[[#This Row],[ActualResult]]), "_", IF(Table2[[#This Row],[ActualWinner]]=Table2[[#This Row],[PredictedWinner]], "Y", "N"))</f>
        <v>_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8" s="2"/>
      <c r="S148" s="2" t="str">
        <f t="shared" si="16"/>
        <v>_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45">
        <f>IF(AND(Table2[[#This Row],[GameIsOver]]=1,Table2[[#This Row],[ActualHomeScore]]*Table2[[#This Row],[ActualAwayScore]]=0), 1,0)</f>
        <v>0</v>
      </c>
      <c r="AA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8" s="2">
        <f>Table2[[#This Row],[ActualAwayScore]]-Table2[[#This Row],[PredictedAwayScore]]</f>
        <v>0</v>
      </c>
      <c r="AG148" s="2">
        <f>Table2[[#This Row],[ActualHomeScore]]-Table2[[#This Row],[PredictedHomeScore]]</f>
        <v>0</v>
      </c>
      <c r="AH148" s="2">
        <f t="shared" si="17"/>
        <v>0</v>
      </c>
      <c r="AI148" s="2">
        <f t="shared" si="18"/>
        <v>0</v>
      </c>
      <c r="AJ148" s="2"/>
      <c r="AK148" s="2"/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0</v>
      </c>
      <c r="AN14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48" s="2" t="str">
        <f>INDEX(Sheet5!$B$2:$AG$33, MATCH(Table2[[#This Row],[AwayTeam]],Sheet5!$A$2:$A$33, 0), MATCH(Table2[[#This Row],[HomeTeam]],Sheet5!$A$2:$A$33, 0))</f>
        <v>0-0-0</v>
      </c>
      <c r="AP148" s="2" t="str">
        <f>INDEX(Sheet5!$B$2:$AG$33, MATCH(Table2[[#This Row],[HomeTeam]],Sheet5!$A$2:$A$33, 0), MATCH(Table2[[#This Row],[AwayTeam]],Sheet5!$A$2:$A$33, 0))</f>
        <v>0-0-0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1</v>
      </c>
      <c r="AU148" s="2"/>
      <c r="AV148" s="2"/>
    </row>
    <row r="149" spans="1:48" x14ac:dyDescent="0.25">
      <c r="A149" s="3"/>
      <c r="B149" s="3">
        <v>45957</v>
      </c>
      <c r="C149" s="5">
        <v>2025020147</v>
      </c>
      <c r="D149" s="2" t="s">
        <v>22</v>
      </c>
      <c r="E149" s="2" t="s">
        <v>24</v>
      </c>
      <c r="F149" s="2"/>
      <c r="G149" s="2"/>
      <c r="H149" s="2" t="str">
        <f t="shared" si="14"/>
        <v>_</v>
      </c>
      <c r="I149" s="2"/>
      <c r="J149" s="2"/>
      <c r="K149" s="2"/>
      <c r="L149" s="2" t="str">
        <f t="shared" si="15"/>
        <v>_</v>
      </c>
      <c r="M149" s="2"/>
      <c r="N149" s="2">
        <f>IF(ISBLANK(Table2[[#This Row],[ActualResult]]), 0, 1)</f>
        <v>0</v>
      </c>
      <c r="O149" s="2" t="str">
        <f>IF(ISBLANK(Table2[[#This Row],[ActualResult]]), "_", IF(Table2[[#This Row],[ActualWinner]]=Table2[[#This Row],[PredictedWinner]], "Y", "N"))</f>
        <v>_</v>
      </c>
      <c r="P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9" s="2"/>
      <c r="S149" s="2" t="str">
        <f t="shared" si="16"/>
        <v>_</v>
      </c>
      <c r="T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2">
        <f>IF(Table2[[#This Row],[InterConf]]=1,IF(Table2[[#This Row],[InterDiv]]=0, 1, 0), 0)</f>
        <v>0</v>
      </c>
      <c r="W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2"/>
      <c r="Y149" s="2"/>
      <c r="Z149" s="145">
        <f>IF(AND(Table2[[#This Row],[GameIsOver]]=1,Table2[[#This Row],[ActualHomeScore]]*Table2[[#This Row],[ActualAwayScore]]=0), 1,0)</f>
        <v>0</v>
      </c>
      <c r="AA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9" s="2">
        <f>Table2[[#This Row],[ActualAwayScore]]-Table2[[#This Row],[PredictedAwayScore]]</f>
        <v>0</v>
      </c>
      <c r="AG149" s="2">
        <f>Table2[[#This Row],[ActualHomeScore]]-Table2[[#This Row],[PredictedHomeScore]]</f>
        <v>0</v>
      </c>
      <c r="AH149" s="2">
        <f t="shared" si="17"/>
        <v>0</v>
      </c>
      <c r="AI149" s="2">
        <f t="shared" si="18"/>
        <v>0</v>
      </c>
      <c r="AJ149" s="2"/>
      <c r="AK149" s="2"/>
      <c r="AL149" s="2">
        <f>IF(Table2[[#This Row],[GameIsOver]]=0,0,IF(Table2[[#This Row],[ActualWinner]]=Table2[[#This Row],[AwayTeam]], 1, 0))</f>
        <v>0</v>
      </c>
      <c r="AM149" s="2">
        <f>IF(Table2[[#This Row],[GameIsOver]]=0,0,IF(Table2[[#This Row],[ActualWinner]]=Table2[[#This Row],[HomeTeam]], 1, 0))</f>
        <v>0</v>
      </c>
      <c r="AN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9" s="2" t="str">
        <f>INDEX(Sheet5!$B$2:$AG$33, MATCH(Table2[[#This Row],[AwayTeam]],Sheet5!$A$2:$A$33, 0), MATCH(Table2[[#This Row],[HomeTeam]],Sheet5!$A$2:$A$33, 0))</f>
        <v>0-0-0</v>
      </c>
      <c r="AP149" s="2" t="str">
        <f>INDEX(Sheet5!$B$2:$AG$33, MATCH(Table2[[#This Row],[HomeTeam]],Sheet5!$A$2:$A$33, 0), MATCH(Table2[[#This Row],[AwayTeam]],Sheet5!$A$2:$A$33, 0))</f>
        <v>0-0-0</v>
      </c>
      <c r="AQ149" s="2">
        <f>IF(Table2[[#This Row],[GameHasShutOut]], 1, 0)</f>
        <v>0</v>
      </c>
      <c r="AR149" s="2">
        <f>IF(Table2[[#This Row],[ActualAwayScore]] + Table2[[#This Row],[ActualHomeScore]] &gt;= 10, 1, 0)</f>
        <v>0</v>
      </c>
      <c r="AS149" s="2">
        <f>IF(ABS(Table2[[#This Row],[ActualAwayScore]]-Table2[[#This Row],[ActualHomeScore]])&gt;=5, 1, 0)</f>
        <v>0</v>
      </c>
      <c r="AT149" s="2">
        <f>IF(Table2[[#This Row],[ActualAwayScore]] + Table2[[#This Row],[ActualHomeScore]] &lt;= 3, 1, 0)</f>
        <v>1</v>
      </c>
      <c r="AU149" s="2"/>
      <c r="AV149" s="2"/>
    </row>
    <row r="150" spans="1:48" x14ac:dyDescent="0.25">
      <c r="A150" s="3"/>
      <c r="B150" s="3">
        <v>45957</v>
      </c>
      <c r="C150" s="5">
        <v>2025020148</v>
      </c>
      <c r="D150" s="2" t="s">
        <v>12</v>
      </c>
      <c r="E150" s="2" t="s">
        <v>20</v>
      </c>
      <c r="F150" s="2"/>
      <c r="G150" s="2"/>
      <c r="H150" s="2" t="str">
        <f t="shared" si="14"/>
        <v>_</v>
      </c>
      <c r="I150" s="2"/>
      <c r="J150" s="2"/>
      <c r="K150" s="2"/>
      <c r="L150" s="2" t="str">
        <f t="shared" si="15"/>
        <v>_</v>
      </c>
      <c r="M150" s="2"/>
      <c r="N150" s="2">
        <f>IF(ISBLANK(Table2[[#This Row],[ActualResult]]), 0, 1)</f>
        <v>0</v>
      </c>
      <c r="O150" s="2" t="str">
        <f>IF(ISBLANK(Table2[[#This Row],[ActualResult]]), "_", IF(Table2[[#This Row],[ActualWinner]]=Table2[[#This Row],[PredictedWinner]], "Y", "N"))</f>
        <v>_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0" s="2"/>
      <c r="S150" s="2" t="str">
        <f t="shared" si="16"/>
        <v>_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45">
        <f>IF(AND(Table2[[#This Row],[GameIsOver]]=1,Table2[[#This Row],[ActualHomeScore]]*Table2[[#This Row],[ActualAwayScore]]=0), 1,0)</f>
        <v>0</v>
      </c>
      <c r="AA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0</v>
      </c>
      <c r="AH150" s="2">
        <f t="shared" si="17"/>
        <v>0</v>
      </c>
      <c r="AI150" s="2">
        <f t="shared" si="18"/>
        <v>0</v>
      </c>
      <c r="AJ150" s="2"/>
      <c r="AK150" s="2"/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0</v>
      </c>
      <c r="AN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0" s="2" t="str">
        <f>INDEX(Sheet5!$B$2:$AG$33, MATCH(Table2[[#This Row],[AwayTeam]],Sheet5!$A$2:$A$33, 0), MATCH(Table2[[#This Row],[HomeTeam]],Sheet5!$A$2:$A$33, 0))</f>
        <v>0-0-0</v>
      </c>
      <c r="AP150" s="2" t="str">
        <f>INDEX(Sheet5!$B$2:$AG$33, MATCH(Table2[[#This Row],[HomeTeam]],Sheet5!$A$2:$A$33, 0), MATCH(Table2[[#This Row],[AwayTeam]],Sheet5!$A$2:$A$33, 0))</f>
        <v>0-0-0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1</v>
      </c>
      <c r="AU150" s="2"/>
      <c r="AV150" s="2"/>
    </row>
    <row r="151" spans="1:48" x14ac:dyDescent="0.25">
      <c r="A151" s="3"/>
      <c r="B151" s="3">
        <v>45957</v>
      </c>
      <c r="C151" s="5">
        <v>2025020149</v>
      </c>
      <c r="D151" s="2" t="s">
        <v>15</v>
      </c>
      <c r="E151" s="2" t="s">
        <v>29</v>
      </c>
      <c r="F151" s="2"/>
      <c r="G151" s="2"/>
      <c r="H151" s="2" t="str">
        <f t="shared" si="14"/>
        <v>_</v>
      </c>
      <c r="I151" s="2"/>
      <c r="J151" s="2"/>
      <c r="K151" s="2"/>
      <c r="L151" s="2" t="str">
        <f t="shared" si="15"/>
        <v>_</v>
      </c>
      <c r="M151" s="2"/>
      <c r="N151" s="2">
        <f>IF(ISBLANK(Table2[[#This Row],[ActualResult]]), 0, 1)</f>
        <v>0</v>
      </c>
      <c r="O151" s="2" t="str">
        <f>IF(ISBLANK(Table2[[#This Row],[ActualResult]]), "_", IF(Table2[[#This Row],[ActualWinner]]=Table2[[#This Row],[PredictedWinner]], "Y", "N"))</f>
        <v>_</v>
      </c>
      <c r="P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1" s="2"/>
      <c r="S151" s="2" t="str">
        <f t="shared" si="16"/>
        <v>_</v>
      </c>
      <c r="T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2">
        <f>IF(Table2[[#This Row],[InterConf]]=1,IF(Table2[[#This Row],[InterDiv]]=0, 1, 0), 0)</f>
        <v>0</v>
      </c>
      <c r="W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2"/>
      <c r="Y151" s="2"/>
      <c r="Z151" s="145">
        <f>IF(AND(Table2[[#This Row],[GameIsOver]]=1,Table2[[#This Row],[ActualHomeScore]]*Table2[[#This Row],[ActualAwayScore]]=0), 1,0)</f>
        <v>0</v>
      </c>
      <c r="AA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2">
        <f>Table2[[#This Row],[ActualAwayScore]]-Table2[[#This Row],[PredictedAwayScore]]</f>
        <v>0</v>
      </c>
      <c r="AG151" s="2">
        <f>Table2[[#This Row],[ActualHomeScore]]-Table2[[#This Row],[PredictedHomeScore]]</f>
        <v>0</v>
      </c>
      <c r="AH151" s="2">
        <f t="shared" si="17"/>
        <v>0</v>
      </c>
      <c r="AI151" s="2">
        <f t="shared" si="18"/>
        <v>0</v>
      </c>
      <c r="AJ151" s="2"/>
      <c r="AK151" s="2"/>
      <c r="AL151" s="2">
        <f>IF(Table2[[#This Row],[GameIsOver]]=0,0,IF(Table2[[#This Row],[ActualWinner]]=Table2[[#This Row],[AwayTeam]], 1, 0))</f>
        <v>0</v>
      </c>
      <c r="AM151" s="2">
        <f>IF(Table2[[#This Row],[GameIsOver]]=0,0,IF(Table2[[#This Row],[ActualWinner]]=Table2[[#This Row],[HomeTeam]], 1, 0))</f>
        <v>0</v>
      </c>
      <c r="AN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1" s="2" t="str">
        <f>INDEX(Sheet5!$B$2:$AG$33, MATCH(Table2[[#This Row],[AwayTeam]],Sheet5!$A$2:$A$33, 0), MATCH(Table2[[#This Row],[HomeTeam]],Sheet5!$A$2:$A$33, 0))</f>
        <v>0-0-0</v>
      </c>
      <c r="AP151" s="2" t="str">
        <f>INDEX(Sheet5!$B$2:$AG$33, MATCH(Table2[[#This Row],[HomeTeam]],Sheet5!$A$2:$A$33, 0), MATCH(Table2[[#This Row],[AwayTeam]],Sheet5!$A$2:$A$33, 0))</f>
        <v>0-0-0</v>
      </c>
      <c r="AQ151" s="2">
        <f>IF(Table2[[#This Row],[GameHasShutOut]], 1, 0)</f>
        <v>0</v>
      </c>
      <c r="AR151" s="2">
        <f>IF(Table2[[#This Row],[ActualAwayScore]] + Table2[[#This Row],[ActualHomeScore]] &gt;= 10, 1, 0)</f>
        <v>0</v>
      </c>
      <c r="AS151" s="2">
        <f>IF(ABS(Table2[[#This Row],[ActualAwayScore]]-Table2[[#This Row],[ActualHomeScore]])&gt;=5, 1, 0)</f>
        <v>0</v>
      </c>
      <c r="AT151" s="2">
        <f>IF(Table2[[#This Row],[ActualAwayScore]] + Table2[[#This Row],[ActualHomeScore]] &lt;= 3, 1, 0)</f>
        <v>1</v>
      </c>
      <c r="AU151" s="2"/>
      <c r="AV151" s="2"/>
    </row>
    <row r="152" spans="1:48" x14ac:dyDescent="0.25">
      <c r="A152" s="3"/>
      <c r="B152" s="3">
        <v>45958</v>
      </c>
      <c r="C152" s="5">
        <v>2025020150</v>
      </c>
      <c r="D152" s="2" t="s">
        <v>20</v>
      </c>
      <c r="E152" s="2" t="s">
        <v>42</v>
      </c>
      <c r="F152" s="2"/>
      <c r="G152" s="2"/>
      <c r="H152" s="2" t="str">
        <f t="shared" si="14"/>
        <v>_</v>
      </c>
      <c r="I152" s="2"/>
      <c r="J152" s="2"/>
      <c r="K152" s="2"/>
      <c r="L152" s="2" t="str">
        <f t="shared" si="15"/>
        <v>_</v>
      </c>
      <c r="M152" s="2"/>
      <c r="N152" s="2">
        <f>IF(ISBLANK(Table2[[#This Row],[ActualResult]]), 0, 1)</f>
        <v>0</v>
      </c>
      <c r="O152" s="2" t="str">
        <f>IF(ISBLANK(Table2[[#This Row],[ActualResult]]), "_", IF(Table2[[#This Row],[ActualWinner]]=Table2[[#This Row],[PredictedWinner]], "Y", "N"))</f>
        <v>_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2" s="2"/>
      <c r="S152" s="2" t="str">
        <f t="shared" si="16"/>
        <v>_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/>
      <c r="Y152" s="2"/>
      <c r="Z152" s="145">
        <f>IF(AND(Table2[[#This Row],[GameIsOver]]=1,Table2[[#This Row],[ActualHomeScore]]*Table2[[#This Row],[ActualAwayScore]]=0), 1,0)</f>
        <v>0</v>
      </c>
      <c r="AA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0</v>
      </c>
      <c r="AG152" s="2">
        <f>Table2[[#This Row],[ActualHomeScore]]-Table2[[#This Row],[PredictedHomeScore]]</f>
        <v>0</v>
      </c>
      <c r="AH152" s="2">
        <f t="shared" si="17"/>
        <v>0</v>
      </c>
      <c r="AI152" s="2">
        <f t="shared" si="18"/>
        <v>0</v>
      </c>
      <c r="AJ152" s="2"/>
      <c r="AK152" s="2"/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0</v>
      </c>
      <c r="AN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2" s="2" t="str">
        <f>INDEX(Sheet5!$B$2:$AG$33, MATCH(Table2[[#This Row],[AwayTeam]],Sheet5!$A$2:$A$33, 0), MATCH(Table2[[#This Row],[HomeTeam]],Sheet5!$A$2:$A$33, 0))</f>
        <v>0-0-0</v>
      </c>
      <c r="AP152" s="2" t="str">
        <f>INDEX(Sheet5!$B$2:$AG$33, MATCH(Table2[[#This Row],[HomeTeam]],Sheet5!$A$2:$A$33, 0), MATCH(Table2[[#This Row],[AwayTeam]],Sheet5!$A$2:$A$33, 0))</f>
        <v>0-0-0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1</v>
      </c>
      <c r="AU152" s="2"/>
      <c r="AV152" s="2"/>
    </row>
    <row r="153" spans="1:48" x14ac:dyDescent="0.25">
      <c r="A153" s="3"/>
      <c r="B153" s="3">
        <v>45958</v>
      </c>
      <c r="C153" s="5">
        <v>2025020151</v>
      </c>
      <c r="D153" s="2" t="s">
        <v>23</v>
      </c>
      <c r="E153" s="2" t="s">
        <v>17</v>
      </c>
      <c r="F153" s="2"/>
      <c r="G153" s="2"/>
      <c r="H153" s="2" t="str">
        <f t="shared" si="14"/>
        <v>_</v>
      </c>
      <c r="I153" s="2"/>
      <c r="J153" s="2"/>
      <c r="K153" s="2"/>
      <c r="L153" s="2" t="str">
        <f t="shared" si="15"/>
        <v>_</v>
      </c>
      <c r="M153" s="2"/>
      <c r="N153" s="2">
        <f>IF(ISBLANK(Table2[[#This Row],[ActualResult]]), 0, 1)</f>
        <v>0</v>
      </c>
      <c r="O153" s="2" t="str">
        <f>IF(ISBLANK(Table2[[#This Row],[ActualResult]]), "_", IF(Table2[[#This Row],[ActualWinner]]=Table2[[#This Row],[PredictedWinner]], "Y", "N"))</f>
        <v>_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3" s="2"/>
      <c r="S153" s="2" t="str">
        <f t="shared" si="16"/>
        <v>_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/>
      <c r="Y153" s="2"/>
      <c r="Z153" s="145">
        <f>IF(AND(Table2[[#This Row],[GameIsOver]]=1,Table2[[#This Row],[ActualHomeScore]]*Table2[[#This Row],[ActualAwayScore]]=0), 1,0)</f>
        <v>0</v>
      </c>
      <c r="AA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0</v>
      </c>
      <c r="AG153" s="2">
        <f>Table2[[#This Row],[ActualHomeScore]]-Table2[[#This Row],[PredictedHomeScore]]</f>
        <v>0</v>
      </c>
      <c r="AH153" s="2">
        <f t="shared" si="17"/>
        <v>0</v>
      </c>
      <c r="AI153" s="2">
        <f t="shared" si="18"/>
        <v>0</v>
      </c>
      <c r="AJ153" s="2"/>
      <c r="AK153" s="2"/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0</v>
      </c>
      <c r="AN15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53" s="2" t="str">
        <f>INDEX(Sheet5!$B$2:$AG$33, MATCH(Table2[[#This Row],[AwayTeam]],Sheet5!$A$2:$A$33, 0), MATCH(Table2[[#This Row],[HomeTeam]],Sheet5!$A$2:$A$33, 0))</f>
        <v>0-0-0</v>
      </c>
      <c r="AP153" s="2" t="str">
        <f>INDEX(Sheet5!$B$2:$AG$33, MATCH(Table2[[#This Row],[HomeTeam]],Sheet5!$A$2:$A$33, 0), MATCH(Table2[[#This Row],[AwayTeam]],Sheet5!$A$2:$A$33, 0))</f>
        <v>0-0-0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1</v>
      </c>
      <c r="AU153" s="2"/>
      <c r="AV153" s="2"/>
    </row>
    <row r="154" spans="1:48" x14ac:dyDescent="0.25">
      <c r="A154" s="3"/>
      <c r="B154" s="3">
        <v>45958</v>
      </c>
      <c r="C154" s="5">
        <v>2025020152</v>
      </c>
      <c r="D154" s="2" t="s">
        <v>35</v>
      </c>
      <c r="E154" s="2" t="s">
        <v>28</v>
      </c>
      <c r="F154" s="2"/>
      <c r="G154" s="2"/>
      <c r="H154" s="2" t="str">
        <f t="shared" si="14"/>
        <v>_</v>
      </c>
      <c r="I154" s="2"/>
      <c r="J154" s="2"/>
      <c r="K154" s="2"/>
      <c r="L154" s="2" t="str">
        <f t="shared" si="15"/>
        <v>_</v>
      </c>
      <c r="M154" s="2"/>
      <c r="N154" s="2">
        <f>IF(ISBLANK(Table2[[#This Row],[ActualResult]]), 0, 1)</f>
        <v>0</v>
      </c>
      <c r="O154" s="2" t="str">
        <f>IF(ISBLANK(Table2[[#This Row],[ActualResult]]), "_", IF(Table2[[#This Row],[ActualWinner]]=Table2[[#This Row],[PredictedWinner]], "Y", "N"))</f>
        <v>_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4" s="2"/>
      <c r="S154" s="2" t="str">
        <f t="shared" si="16"/>
        <v>_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/>
      <c r="Y154" s="2"/>
      <c r="Z154" s="145">
        <f>IF(AND(Table2[[#This Row],[GameIsOver]]=1,Table2[[#This Row],[ActualHomeScore]]*Table2[[#This Row],[ActualAwayScore]]=0), 1,0)</f>
        <v>0</v>
      </c>
      <c r="AA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0</v>
      </c>
      <c r="AG154" s="2">
        <f>Table2[[#This Row],[ActualHomeScore]]-Table2[[#This Row],[PredictedHomeScore]]</f>
        <v>0</v>
      </c>
      <c r="AH154" s="2">
        <f t="shared" si="17"/>
        <v>0</v>
      </c>
      <c r="AI154" s="2">
        <f t="shared" si="18"/>
        <v>0</v>
      </c>
      <c r="AJ154" s="2"/>
      <c r="AK154" s="2"/>
      <c r="AL154" s="2">
        <f>IF(Table2[[#This Row],[GameIsOver]]=0,0,IF(Table2[[#This Row],[ActualWinner]]=Table2[[#This Row],[AwayTeam]], 1, 0))</f>
        <v>0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4" s="2" t="str">
        <f>INDEX(Sheet5!$B$2:$AG$33, MATCH(Table2[[#This Row],[AwayTeam]],Sheet5!$A$2:$A$33, 0), MATCH(Table2[[#This Row],[HomeTeam]],Sheet5!$A$2:$A$33, 0))</f>
        <v>0-0-0</v>
      </c>
      <c r="AP154" s="2" t="str">
        <f>INDEX(Sheet5!$B$2:$AG$33, MATCH(Table2[[#This Row],[HomeTeam]],Sheet5!$A$2:$A$33, 0), MATCH(Table2[[#This Row],[AwayTeam]],Sheet5!$A$2:$A$33, 0))</f>
        <v>0-0-0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1</v>
      </c>
      <c r="AU154" s="2"/>
      <c r="AV154" s="2"/>
    </row>
    <row r="155" spans="1:48" x14ac:dyDescent="0.25">
      <c r="A155" s="3"/>
      <c r="B155" s="3">
        <v>45958</v>
      </c>
      <c r="C155" s="5">
        <v>2025020153</v>
      </c>
      <c r="D155" s="2" t="s">
        <v>44</v>
      </c>
      <c r="E155" s="2" t="s">
        <v>13</v>
      </c>
      <c r="F155" s="2"/>
      <c r="G155" s="2"/>
      <c r="H155" s="2" t="str">
        <f t="shared" si="14"/>
        <v>_</v>
      </c>
      <c r="I155" s="2"/>
      <c r="J155" s="2"/>
      <c r="K155" s="2"/>
      <c r="L155" s="2" t="str">
        <f t="shared" si="15"/>
        <v>_</v>
      </c>
      <c r="M155" s="2"/>
      <c r="N155" s="2">
        <f>IF(ISBLANK(Table2[[#This Row],[ActualResult]]), 0, 1)</f>
        <v>0</v>
      </c>
      <c r="O155" s="2" t="str">
        <f>IF(ISBLANK(Table2[[#This Row],[ActualResult]]), "_", IF(Table2[[#This Row],[ActualWinner]]=Table2[[#This Row],[PredictedWinner]], "Y", "N"))</f>
        <v>_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5" s="2"/>
      <c r="S155" s="2" t="str">
        <f t="shared" si="16"/>
        <v>_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/>
      <c r="Y155" s="2"/>
      <c r="Z155" s="145">
        <f>IF(AND(Table2[[#This Row],[GameIsOver]]=1,Table2[[#This Row],[ActualHomeScore]]*Table2[[#This Row],[ActualAwayScore]]=0), 1,0)</f>
        <v>0</v>
      </c>
      <c r="AA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0</v>
      </c>
      <c r="AG155" s="2">
        <f>Table2[[#This Row],[ActualHomeScore]]-Table2[[#This Row],[PredictedHomeScore]]</f>
        <v>0</v>
      </c>
      <c r="AH155" s="2">
        <f t="shared" si="17"/>
        <v>0</v>
      </c>
      <c r="AI155" s="2">
        <f t="shared" si="18"/>
        <v>0</v>
      </c>
      <c r="AJ155" s="2"/>
      <c r="AK155" s="2"/>
      <c r="AL155" s="2">
        <f>IF(Table2[[#This Row],[GameIsOver]]=0,0,IF(Table2[[#This Row],[ActualWinner]]=Table2[[#This Row],[AwayTeam]], 1, 0))</f>
        <v>0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5" s="2" t="str">
        <f>INDEX(Sheet5!$B$2:$AG$33, MATCH(Table2[[#This Row],[AwayTeam]],Sheet5!$A$2:$A$33, 0), MATCH(Table2[[#This Row],[HomeTeam]],Sheet5!$A$2:$A$33, 0))</f>
        <v>0-0-0</v>
      </c>
      <c r="AP155" s="2" t="str">
        <f>INDEX(Sheet5!$B$2:$AG$33, MATCH(Table2[[#This Row],[HomeTeam]],Sheet5!$A$2:$A$33, 0), MATCH(Table2[[#This Row],[AwayTeam]],Sheet5!$A$2:$A$33, 0))</f>
        <v>0-0-0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1</v>
      </c>
      <c r="AU155" s="2"/>
      <c r="AV155" s="2"/>
    </row>
    <row r="156" spans="1:48" x14ac:dyDescent="0.25">
      <c r="A156" s="3"/>
      <c r="B156" s="3">
        <v>45958</v>
      </c>
      <c r="C156" s="5">
        <v>2025020154</v>
      </c>
      <c r="D156" s="2" t="s">
        <v>32</v>
      </c>
      <c r="E156" s="2" t="s">
        <v>15</v>
      </c>
      <c r="F156" s="2"/>
      <c r="G156" s="2"/>
      <c r="H156" s="2" t="str">
        <f t="shared" si="14"/>
        <v>_</v>
      </c>
      <c r="I156" s="2"/>
      <c r="J156" s="2"/>
      <c r="K156" s="2"/>
      <c r="L156" s="2" t="str">
        <f t="shared" si="15"/>
        <v>_</v>
      </c>
      <c r="M156" s="2"/>
      <c r="N156" s="2">
        <f>IF(ISBLANK(Table2[[#This Row],[ActualResult]]), 0, 1)</f>
        <v>0</v>
      </c>
      <c r="O156" s="2" t="str">
        <f>IF(ISBLANK(Table2[[#This Row],[ActualResult]]), "_", IF(Table2[[#This Row],[ActualWinner]]=Table2[[#This Row],[PredictedWinner]], "Y", "N"))</f>
        <v>_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6" s="2"/>
      <c r="S156" s="2" t="str">
        <f t="shared" si="16"/>
        <v>_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/>
      <c r="Y156" s="2"/>
      <c r="Z156" s="145">
        <f>IF(AND(Table2[[#This Row],[GameIsOver]]=1,Table2[[#This Row],[ActualHomeScore]]*Table2[[#This Row],[ActualAwayScore]]=0), 1,0)</f>
        <v>0</v>
      </c>
      <c r="AA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0</v>
      </c>
      <c r="AG156" s="2">
        <f>Table2[[#This Row],[ActualHomeScore]]-Table2[[#This Row],[PredictedHomeScore]]</f>
        <v>0</v>
      </c>
      <c r="AH156" s="2">
        <f t="shared" si="17"/>
        <v>0</v>
      </c>
      <c r="AI156" s="2">
        <f t="shared" si="18"/>
        <v>0</v>
      </c>
      <c r="AJ156" s="2"/>
      <c r="AK156" s="2"/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0</v>
      </c>
      <c r="AN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6" s="2" t="str">
        <f>INDEX(Sheet5!$B$2:$AG$33, MATCH(Table2[[#This Row],[AwayTeam]],Sheet5!$A$2:$A$33, 0), MATCH(Table2[[#This Row],[HomeTeam]],Sheet5!$A$2:$A$33, 0))</f>
        <v>0-0-0</v>
      </c>
      <c r="AP156" s="2" t="str">
        <f>INDEX(Sheet5!$B$2:$AG$33, MATCH(Table2[[#This Row],[HomeTeam]],Sheet5!$A$2:$A$33, 0), MATCH(Table2[[#This Row],[AwayTeam]],Sheet5!$A$2:$A$33, 0))</f>
        <v>0-0-0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1</v>
      </c>
      <c r="AU156" s="2"/>
      <c r="AV156" s="2"/>
    </row>
    <row r="157" spans="1:48" x14ac:dyDescent="0.25">
      <c r="A157" s="3"/>
      <c r="B157" s="3">
        <v>45958</v>
      </c>
      <c r="C157" s="5">
        <v>2025020155</v>
      </c>
      <c r="D157" s="2" t="s">
        <v>26</v>
      </c>
      <c r="E157" s="2" t="s">
        <v>41</v>
      </c>
      <c r="F157" s="2"/>
      <c r="G157" s="2"/>
      <c r="H157" s="2" t="str">
        <f t="shared" si="14"/>
        <v>_</v>
      </c>
      <c r="I157" s="2"/>
      <c r="J157" s="2"/>
      <c r="K157" s="2"/>
      <c r="L157" s="2" t="str">
        <f t="shared" si="15"/>
        <v>_</v>
      </c>
      <c r="M157" s="2"/>
      <c r="N157" s="2">
        <f>IF(ISBLANK(Table2[[#This Row],[ActualResult]]), 0, 1)</f>
        <v>0</v>
      </c>
      <c r="O157" s="2" t="str">
        <f>IF(ISBLANK(Table2[[#This Row],[ActualResult]]), "_", IF(Table2[[#This Row],[ActualWinner]]=Table2[[#This Row],[PredictedWinner]], "Y", "N"))</f>
        <v>_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7" s="2"/>
      <c r="S157" s="2" t="str">
        <f t="shared" si="16"/>
        <v>_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/>
      <c r="Y157" s="2"/>
      <c r="Z157" s="145">
        <f>IF(AND(Table2[[#This Row],[GameIsOver]]=1,Table2[[#This Row],[ActualHomeScore]]*Table2[[#This Row],[ActualAwayScore]]=0), 1,0)</f>
        <v>0</v>
      </c>
      <c r="AA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0</v>
      </c>
      <c r="AG157" s="2">
        <f>Table2[[#This Row],[ActualHomeScore]]-Table2[[#This Row],[PredictedHomeScore]]</f>
        <v>0</v>
      </c>
      <c r="AH157" s="2">
        <f t="shared" si="17"/>
        <v>0</v>
      </c>
      <c r="AI157" s="2">
        <f t="shared" si="18"/>
        <v>0</v>
      </c>
      <c r="AJ157" s="2"/>
      <c r="AK157" s="2"/>
      <c r="AL157" s="2">
        <f>IF(Table2[[#This Row],[GameIsOver]]=0,0,IF(Table2[[#This Row],[ActualWinner]]=Table2[[#This Row],[AwayTeam]], 1, 0))</f>
        <v>0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7" s="2" t="str">
        <f>INDEX(Sheet5!$B$2:$AG$33, MATCH(Table2[[#This Row],[AwayTeam]],Sheet5!$A$2:$A$33, 0), MATCH(Table2[[#This Row],[HomeTeam]],Sheet5!$A$2:$A$33, 0))</f>
        <v>0-0-0</v>
      </c>
      <c r="AP157" s="2" t="str">
        <f>INDEX(Sheet5!$B$2:$AG$33, MATCH(Table2[[#This Row],[HomeTeam]],Sheet5!$A$2:$A$33, 0), MATCH(Table2[[#This Row],[AwayTeam]],Sheet5!$A$2:$A$33, 0))</f>
        <v>0-0-0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1</v>
      </c>
      <c r="AU157" s="2"/>
      <c r="AV157" s="2"/>
    </row>
    <row r="158" spans="1:48" x14ac:dyDescent="0.25">
      <c r="A158" s="3"/>
      <c r="B158" s="3">
        <v>45958</v>
      </c>
      <c r="C158" s="5">
        <v>2025020156</v>
      </c>
      <c r="D158" s="2" t="s">
        <v>40</v>
      </c>
      <c r="E158" s="2" t="s">
        <v>34</v>
      </c>
      <c r="F158" s="2"/>
      <c r="G158" s="2"/>
      <c r="H158" s="2" t="str">
        <f t="shared" si="14"/>
        <v>_</v>
      </c>
      <c r="I158" s="2"/>
      <c r="J158" s="2"/>
      <c r="K158" s="2"/>
      <c r="L158" s="2" t="str">
        <f t="shared" si="15"/>
        <v>_</v>
      </c>
      <c r="M158" s="2"/>
      <c r="N158" s="2">
        <f>IF(ISBLANK(Table2[[#This Row],[ActualResult]]), 0, 1)</f>
        <v>0</v>
      </c>
      <c r="O158" s="2" t="str">
        <f>IF(ISBLANK(Table2[[#This Row],[ActualResult]]), "_", IF(Table2[[#This Row],[ActualWinner]]=Table2[[#This Row],[PredictedWinner]], "Y", "N"))</f>
        <v>_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8" s="2"/>
      <c r="S158" s="2" t="str">
        <f t="shared" si="16"/>
        <v>_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/>
      <c r="Y158" s="2"/>
      <c r="Z158" s="145">
        <f>IF(AND(Table2[[#This Row],[GameIsOver]]=1,Table2[[#This Row],[ActualHomeScore]]*Table2[[#This Row],[ActualAwayScore]]=0), 1,0)</f>
        <v>0</v>
      </c>
      <c r="AA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0</v>
      </c>
      <c r="AH158" s="2">
        <f t="shared" si="17"/>
        <v>0</v>
      </c>
      <c r="AI158" s="2">
        <f t="shared" si="18"/>
        <v>0</v>
      </c>
      <c r="AJ158" s="2"/>
      <c r="AK158" s="2"/>
      <c r="AL158" s="2">
        <f>IF(Table2[[#This Row],[GameIsOver]]=0,0,IF(Table2[[#This Row],[ActualWinner]]=Table2[[#This Row],[AwayTeam]], 1, 0))</f>
        <v>0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8" s="2" t="str">
        <f>INDEX(Sheet5!$B$2:$AG$33, MATCH(Table2[[#This Row],[AwayTeam]],Sheet5!$A$2:$A$33, 0), MATCH(Table2[[#This Row],[HomeTeam]],Sheet5!$A$2:$A$33, 0))</f>
        <v>0-0-0</v>
      </c>
      <c r="AP158" s="2" t="str">
        <f>INDEX(Sheet5!$B$2:$AG$33, MATCH(Table2[[#This Row],[HomeTeam]],Sheet5!$A$2:$A$33, 0), MATCH(Table2[[#This Row],[AwayTeam]],Sheet5!$A$2:$A$33, 0))</f>
        <v>0-0-0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1</v>
      </c>
      <c r="AU158" s="2"/>
      <c r="AV158" s="2"/>
    </row>
    <row r="159" spans="1:48" x14ac:dyDescent="0.25">
      <c r="A159" s="3"/>
      <c r="B159" s="3">
        <v>45959</v>
      </c>
      <c r="C159" s="5">
        <v>2025020157</v>
      </c>
      <c r="D159" s="2" t="s">
        <v>21</v>
      </c>
      <c r="E159" s="2" t="s">
        <v>36</v>
      </c>
      <c r="F159" s="2"/>
      <c r="G159" s="2"/>
      <c r="H159" s="2" t="str">
        <f t="shared" si="14"/>
        <v>_</v>
      </c>
      <c r="I159" s="2"/>
      <c r="J159" s="2"/>
      <c r="K159" s="2"/>
      <c r="L159" s="2" t="str">
        <f t="shared" si="15"/>
        <v>_</v>
      </c>
      <c r="M159" s="2"/>
      <c r="N159" s="2">
        <f>IF(ISBLANK(Table2[[#This Row],[ActualResult]]), 0, 1)</f>
        <v>0</v>
      </c>
      <c r="O159" s="2" t="str">
        <f>IF(ISBLANK(Table2[[#This Row],[ActualResult]]), "_", IF(Table2[[#This Row],[ActualWinner]]=Table2[[#This Row],[PredictedWinner]], "Y", "N"))</f>
        <v>_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9" s="2"/>
      <c r="S159" s="2" t="str">
        <f t="shared" si="16"/>
        <v>_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/>
      <c r="Y159" s="2"/>
      <c r="Z159" s="145">
        <f>IF(AND(Table2[[#This Row],[GameIsOver]]=1,Table2[[#This Row],[ActualHomeScore]]*Table2[[#This Row],[ActualAwayScore]]=0), 1,0)</f>
        <v>0</v>
      </c>
      <c r="AA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59" s="2">
        <f>Table2[[#This Row],[ActualAwayScore]]-Table2[[#This Row],[PredictedAwayScore]]</f>
        <v>0</v>
      </c>
      <c r="AG159" s="2">
        <f>Table2[[#This Row],[ActualHomeScore]]-Table2[[#This Row],[PredictedHomeScore]]</f>
        <v>0</v>
      </c>
      <c r="AH159" s="2">
        <f t="shared" si="17"/>
        <v>0</v>
      </c>
      <c r="AI159" s="2">
        <f t="shared" si="18"/>
        <v>0</v>
      </c>
      <c r="AJ159" s="2"/>
      <c r="AK159" s="2"/>
      <c r="AL159" s="2">
        <f>IF(Table2[[#This Row],[GameIsOver]]=0,0,IF(Table2[[#This Row],[ActualWinner]]=Table2[[#This Row],[AwayTeam]], 1, 0))</f>
        <v>0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9" s="2" t="str">
        <f>INDEX(Sheet5!$B$2:$AG$33, MATCH(Table2[[#This Row],[AwayTeam]],Sheet5!$A$2:$A$33, 0), MATCH(Table2[[#This Row],[HomeTeam]],Sheet5!$A$2:$A$33, 0))</f>
        <v>0-0-0</v>
      </c>
      <c r="AP159" s="2" t="str">
        <f>INDEX(Sheet5!$B$2:$AG$33, MATCH(Table2[[#This Row],[HomeTeam]],Sheet5!$A$2:$A$33, 0), MATCH(Table2[[#This Row],[AwayTeam]],Sheet5!$A$2:$A$33, 0))</f>
        <v>0-0-0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1</v>
      </c>
      <c r="AU159" s="2"/>
      <c r="AV159" s="2"/>
    </row>
    <row r="160" spans="1:48" x14ac:dyDescent="0.25">
      <c r="A160" s="3"/>
      <c r="B160" s="3">
        <v>45959</v>
      </c>
      <c r="C160" s="5">
        <v>2025020158</v>
      </c>
      <c r="D160" s="2" t="s">
        <v>30</v>
      </c>
      <c r="E160" s="2" t="s">
        <v>12</v>
      </c>
      <c r="F160" s="2"/>
      <c r="G160" s="2"/>
      <c r="H160" s="2" t="str">
        <f t="shared" si="14"/>
        <v>_</v>
      </c>
      <c r="I160" s="2"/>
      <c r="J160" s="2"/>
      <c r="K160" s="2"/>
      <c r="L160" s="2" t="str">
        <f t="shared" si="15"/>
        <v>_</v>
      </c>
      <c r="M160" s="2"/>
      <c r="N160" s="2">
        <f>IF(ISBLANK(Table2[[#This Row],[ActualResult]]), 0, 1)</f>
        <v>0</v>
      </c>
      <c r="O160" s="2" t="str">
        <f>IF(ISBLANK(Table2[[#This Row],[ActualResult]]), "_", IF(Table2[[#This Row],[ActualWinner]]=Table2[[#This Row],[PredictedWinner]], "Y", "N"))</f>
        <v>_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0" s="2"/>
      <c r="S160" s="2" t="str">
        <f t="shared" si="16"/>
        <v>_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/>
      <c r="Y160" s="2"/>
      <c r="Z160" s="145">
        <f>IF(AND(Table2[[#This Row],[GameIsOver]]=1,Table2[[#This Row],[ActualHomeScore]]*Table2[[#This Row],[ActualAwayScore]]=0), 1,0)</f>
        <v>0</v>
      </c>
      <c r="AA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0" s="2">
        <f>Table2[[#This Row],[ActualAwayScore]]-Table2[[#This Row],[PredictedAwayScore]]</f>
        <v>0</v>
      </c>
      <c r="AG160" s="2">
        <f>Table2[[#This Row],[ActualHomeScore]]-Table2[[#This Row],[PredictedHomeScore]]</f>
        <v>0</v>
      </c>
      <c r="AH160" s="2">
        <f t="shared" si="17"/>
        <v>0</v>
      </c>
      <c r="AI160" s="2">
        <f t="shared" si="18"/>
        <v>0</v>
      </c>
      <c r="AJ160" s="2"/>
      <c r="AK160" s="2"/>
      <c r="AL160" s="2">
        <f>IF(Table2[[#This Row],[GameIsOver]]=0,0,IF(Table2[[#This Row],[ActualWinner]]=Table2[[#This Row],[AwayTeam]], 1, 0))</f>
        <v>0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0" s="2" t="str">
        <f>INDEX(Sheet5!$B$2:$AG$33, MATCH(Table2[[#This Row],[AwayTeam]],Sheet5!$A$2:$A$33, 0), MATCH(Table2[[#This Row],[HomeTeam]],Sheet5!$A$2:$A$33, 0))</f>
        <v>0-0-0</v>
      </c>
      <c r="AP160" s="2" t="str">
        <f>INDEX(Sheet5!$B$2:$AG$33, MATCH(Table2[[#This Row],[HomeTeam]],Sheet5!$A$2:$A$33, 0), MATCH(Table2[[#This Row],[AwayTeam]],Sheet5!$A$2:$A$33, 0))</f>
        <v>0-0-0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1</v>
      </c>
      <c r="AU160" s="2"/>
      <c r="AV160" s="2"/>
    </row>
    <row r="161" spans="1:48" x14ac:dyDescent="0.25">
      <c r="A161" s="3"/>
      <c r="B161" s="3">
        <v>45959</v>
      </c>
      <c r="C161" s="5">
        <v>2025020159</v>
      </c>
      <c r="D161" s="2" t="s">
        <v>43</v>
      </c>
      <c r="E161" s="2" t="s">
        <v>33</v>
      </c>
      <c r="F161" s="2"/>
      <c r="G161" s="2"/>
      <c r="H161" s="2" t="str">
        <f t="shared" si="14"/>
        <v>_</v>
      </c>
      <c r="I161" s="2"/>
      <c r="J161" s="2"/>
      <c r="K161" s="2"/>
      <c r="L161" s="2" t="str">
        <f t="shared" si="15"/>
        <v>_</v>
      </c>
      <c r="M161" s="2"/>
      <c r="N161" s="2">
        <f>IF(ISBLANK(Table2[[#This Row],[ActualResult]]), 0, 1)</f>
        <v>0</v>
      </c>
      <c r="O161" s="2" t="str">
        <f>IF(ISBLANK(Table2[[#This Row],[ActualResult]]), "_", IF(Table2[[#This Row],[ActualWinner]]=Table2[[#This Row],[PredictedWinner]], "Y", "N"))</f>
        <v>_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1" s="2"/>
      <c r="S161" s="2" t="str">
        <f t="shared" si="16"/>
        <v>_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/>
      <c r="Y161" s="2"/>
      <c r="Z161" s="145">
        <f>IF(AND(Table2[[#This Row],[GameIsOver]]=1,Table2[[#This Row],[ActualHomeScore]]*Table2[[#This Row],[ActualAwayScore]]=0), 1,0)</f>
        <v>0</v>
      </c>
      <c r="AA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1" s="2">
        <f>Table2[[#This Row],[ActualAwayScore]]-Table2[[#This Row],[PredictedAwayScore]]</f>
        <v>0</v>
      </c>
      <c r="AG161" s="2">
        <f>Table2[[#This Row],[ActualHomeScore]]-Table2[[#This Row],[PredictedHomeScore]]</f>
        <v>0</v>
      </c>
      <c r="AH161" s="2">
        <f t="shared" si="17"/>
        <v>0</v>
      </c>
      <c r="AI161" s="2">
        <f t="shared" si="18"/>
        <v>0</v>
      </c>
      <c r="AJ161" s="2"/>
      <c r="AK161" s="2"/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0</v>
      </c>
      <c r="AN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1" s="2" t="str">
        <f>INDEX(Sheet5!$B$2:$AG$33, MATCH(Table2[[#This Row],[AwayTeam]],Sheet5!$A$2:$A$33, 0), MATCH(Table2[[#This Row],[HomeTeam]],Sheet5!$A$2:$A$33, 0))</f>
        <v>0-0-0</v>
      </c>
      <c r="AP161" s="2" t="str">
        <f>INDEX(Sheet5!$B$2:$AG$33, MATCH(Table2[[#This Row],[HomeTeam]],Sheet5!$A$2:$A$33, 0), MATCH(Table2[[#This Row],[AwayTeam]],Sheet5!$A$2:$A$33, 0))</f>
        <v>0-0-0</v>
      </c>
      <c r="AQ161" s="2">
        <f>IF(Table2[[#This Row],[GameHasShutOut]], 1, 0)</f>
        <v>0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/>
      <c r="AV161" s="2"/>
    </row>
    <row r="162" spans="1:48" x14ac:dyDescent="0.25">
      <c r="A162" s="3"/>
      <c r="B162" s="3">
        <v>45959</v>
      </c>
      <c r="C162" s="5">
        <v>2025020160</v>
      </c>
      <c r="D162" s="2" t="s">
        <v>29</v>
      </c>
      <c r="E162" s="2" t="s">
        <v>16</v>
      </c>
      <c r="F162" s="2"/>
      <c r="G162" s="2"/>
      <c r="H162" s="2" t="str">
        <f t="shared" si="14"/>
        <v>_</v>
      </c>
      <c r="I162" s="2"/>
      <c r="J162" s="2"/>
      <c r="K162" s="2"/>
      <c r="L162" s="2" t="str">
        <f t="shared" si="15"/>
        <v>_</v>
      </c>
      <c r="M162" s="2"/>
      <c r="N162" s="2">
        <f>IF(ISBLANK(Table2[[#This Row],[ActualResult]]), 0, 1)</f>
        <v>0</v>
      </c>
      <c r="O162" s="2" t="str">
        <f>IF(ISBLANK(Table2[[#This Row],[ActualResult]]), "_", IF(Table2[[#This Row],[ActualWinner]]=Table2[[#This Row],[PredictedWinner]], "Y", "N"))</f>
        <v>_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2" s="2"/>
      <c r="S162" s="2" t="str">
        <f t="shared" si="16"/>
        <v>_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/>
      <c r="Y162" s="2"/>
      <c r="Z162" s="145">
        <f>IF(AND(Table2[[#This Row],[GameIsOver]]=1,Table2[[#This Row],[ActualHomeScore]]*Table2[[#This Row],[ActualAwayScore]]=0), 1,0)</f>
        <v>0</v>
      </c>
      <c r="AA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2" s="2">
        <f>Table2[[#This Row],[ActualAwayScore]]-Table2[[#This Row],[PredictedAwayScore]]</f>
        <v>0</v>
      </c>
      <c r="AG162" s="2">
        <f>Table2[[#This Row],[ActualHomeScore]]-Table2[[#This Row],[PredictedHomeScore]]</f>
        <v>0</v>
      </c>
      <c r="AH162" s="2">
        <f t="shared" si="17"/>
        <v>0</v>
      </c>
      <c r="AI162" s="2">
        <f t="shared" si="18"/>
        <v>0</v>
      </c>
      <c r="AJ162" s="2"/>
      <c r="AK162" s="2"/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0</v>
      </c>
      <c r="AN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2" s="2" t="str">
        <f>INDEX(Sheet5!$B$2:$AG$33, MATCH(Table2[[#This Row],[AwayTeam]],Sheet5!$A$2:$A$33, 0), MATCH(Table2[[#This Row],[HomeTeam]],Sheet5!$A$2:$A$33, 0))</f>
        <v>0-0-0</v>
      </c>
      <c r="AP162" s="2" t="str">
        <f>INDEX(Sheet5!$B$2:$AG$33, MATCH(Table2[[#This Row],[HomeTeam]],Sheet5!$A$2:$A$33, 0), MATCH(Table2[[#This Row],[AwayTeam]],Sheet5!$A$2:$A$33, 0))</f>
        <v>0-0-0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0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1</v>
      </c>
      <c r="AU162" s="2"/>
      <c r="AV162" s="2"/>
    </row>
    <row r="163" spans="1:48" x14ac:dyDescent="0.25">
      <c r="A163" s="3"/>
      <c r="B163" s="3">
        <v>45959</v>
      </c>
      <c r="C163" s="5">
        <v>2025020161</v>
      </c>
      <c r="D163" s="2" t="s">
        <v>31</v>
      </c>
      <c r="E163" s="2" t="s">
        <v>25</v>
      </c>
      <c r="F163" s="2"/>
      <c r="G163" s="2"/>
      <c r="H163" s="2" t="str">
        <f t="shared" si="14"/>
        <v>_</v>
      </c>
      <c r="I163" s="2"/>
      <c r="J163" s="2"/>
      <c r="K163" s="2"/>
      <c r="L163" s="2" t="str">
        <f t="shared" si="15"/>
        <v>_</v>
      </c>
      <c r="M163" s="2"/>
      <c r="N163" s="2">
        <f>IF(ISBLANK(Table2[[#This Row],[ActualResult]]), 0, 1)</f>
        <v>0</v>
      </c>
      <c r="O163" s="2" t="str">
        <f>IF(ISBLANK(Table2[[#This Row],[ActualResult]]), "_", IF(Table2[[#This Row],[ActualWinner]]=Table2[[#This Row],[PredictedWinner]], "Y", "N"))</f>
        <v>_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3" s="2"/>
      <c r="S163" s="2" t="str">
        <f t="shared" si="16"/>
        <v>_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/>
      <c r="Y163" s="2"/>
      <c r="Z163" s="145">
        <f>IF(AND(Table2[[#This Row],[GameIsOver]]=1,Table2[[#This Row],[ActualHomeScore]]*Table2[[#This Row],[ActualAwayScore]]=0), 1,0)</f>
        <v>0</v>
      </c>
      <c r="AA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3" s="2">
        <f>Table2[[#This Row],[ActualAwayScore]]-Table2[[#This Row],[PredictedAwayScore]]</f>
        <v>0</v>
      </c>
      <c r="AG163" s="2">
        <f>Table2[[#This Row],[ActualHomeScore]]-Table2[[#This Row],[PredictedHomeScore]]</f>
        <v>0</v>
      </c>
      <c r="AH163" s="2">
        <f t="shared" si="17"/>
        <v>0</v>
      </c>
      <c r="AI163" s="2">
        <f t="shared" si="18"/>
        <v>0</v>
      </c>
      <c r="AJ163" s="2"/>
      <c r="AK163" s="2"/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0</v>
      </c>
      <c r="AN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3" s="2" t="str">
        <f>INDEX(Sheet5!$B$2:$AG$33, MATCH(Table2[[#This Row],[AwayTeam]],Sheet5!$A$2:$A$33, 0), MATCH(Table2[[#This Row],[HomeTeam]],Sheet5!$A$2:$A$33, 0))</f>
        <v>0-0-0</v>
      </c>
      <c r="AP163" s="2" t="str">
        <f>INDEX(Sheet5!$B$2:$AG$33, MATCH(Table2[[#This Row],[HomeTeam]],Sheet5!$A$2:$A$33, 0), MATCH(Table2[[#This Row],[AwayTeam]],Sheet5!$A$2:$A$33, 0))</f>
        <v>0-0-0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0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1</v>
      </c>
      <c r="AU163" s="2"/>
      <c r="AV163" s="2"/>
    </row>
    <row r="164" spans="1:48" x14ac:dyDescent="0.25">
      <c r="A164" s="3"/>
      <c r="B164" s="3">
        <v>45959</v>
      </c>
      <c r="C164" s="5">
        <v>2025020162</v>
      </c>
      <c r="D164" s="2" t="s">
        <v>14</v>
      </c>
      <c r="E164" s="2" t="s">
        <v>22</v>
      </c>
      <c r="F164" s="2"/>
      <c r="G164" s="2"/>
      <c r="H164" s="2" t="str">
        <f t="shared" si="14"/>
        <v>_</v>
      </c>
      <c r="I164" s="2"/>
      <c r="J164" s="2"/>
      <c r="K164" s="2"/>
      <c r="L164" s="2" t="str">
        <f t="shared" si="15"/>
        <v>_</v>
      </c>
      <c r="M164" s="2"/>
      <c r="N164" s="2">
        <f>IF(ISBLANK(Table2[[#This Row],[ActualResult]]), 0, 1)</f>
        <v>0</v>
      </c>
      <c r="O164" s="2" t="str">
        <f>IF(ISBLANK(Table2[[#This Row],[ActualResult]]), "_", IF(Table2[[#This Row],[ActualWinner]]=Table2[[#This Row],[PredictedWinner]], "Y", "N"))</f>
        <v>_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4" s="2"/>
      <c r="S164" s="2" t="str">
        <f t="shared" si="16"/>
        <v>_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/>
      <c r="Y164" s="2"/>
      <c r="Z164" s="145">
        <f>IF(AND(Table2[[#This Row],[GameIsOver]]=1,Table2[[#This Row],[ActualHomeScore]]*Table2[[#This Row],[ActualAwayScore]]=0), 1,0)</f>
        <v>0</v>
      </c>
      <c r="AA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4" s="2">
        <f>Table2[[#This Row],[ActualAwayScore]]-Table2[[#This Row],[PredictedAwayScore]]</f>
        <v>0</v>
      </c>
      <c r="AG164" s="2">
        <f>Table2[[#This Row],[ActualHomeScore]]-Table2[[#This Row],[PredictedHomeScore]]</f>
        <v>0</v>
      </c>
      <c r="AH164" s="2">
        <f t="shared" si="17"/>
        <v>0</v>
      </c>
      <c r="AI164" s="2">
        <f t="shared" si="18"/>
        <v>0</v>
      </c>
      <c r="AJ164" s="2"/>
      <c r="AK164" s="2"/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0</v>
      </c>
      <c r="AN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4" s="2" t="str">
        <f>INDEX(Sheet5!$B$2:$AG$33, MATCH(Table2[[#This Row],[AwayTeam]],Sheet5!$A$2:$A$33, 0), MATCH(Table2[[#This Row],[HomeTeam]],Sheet5!$A$2:$A$33, 0))</f>
        <v>0-0-0</v>
      </c>
      <c r="AP164" s="2" t="str">
        <f>INDEX(Sheet5!$B$2:$AG$33, MATCH(Table2[[#This Row],[HomeTeam]],Sheet5!$A$2:$A$33, 0), MATCH(Table2[[#This Row],[AwayTeam]],Sheet5!$A$2:$A$33, 0))</f>
        <v>0-0-0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1</v>
      </c>
      <c r="AU164" s="2"/>
      <c r="AV164" s="2"/>
    </row>
    <row r="165" spans="1:48" x14ac:dyDescent="0.25">
      <c r="A165" s="3"/>
      <c r="B165" s="3">
        <v>45959</v>
      </c>
      <c r="C165" s="5">
        <v>2025020163</v>
      </c>
      <c r="D165" s="2" t="s">
        <v>19</v>
      </c>
      <c r="E165" s="2" t="s">
        <v>24</v>
      </c>
      <c r="F165" s="2"/>
      <c r="G165" s="2"/>
      <c r="H165" s="2" t="str">
        <f t="shared" si="14"/>
        <v>_</v>
      </c>
      <c r="I165" s="2"/>
      <c r="J165" s="2"/>
      <c r="K165" s="2"/>
      <c r="L165" s="2" t="str">
        <f t="shared" si="15"/>
        <v>_</v>
      </c>
      <c r="M165" s="2"/>
      <c r="N165" s="2">
        <f>IF(ISBLANK(Table2[[#This Row],[ActualResult]]), 0, 1)</f>
        <v>0</v>
      </c>
      <c r="O165" s="2" t="str">
        <f>IF(ISBLANK(Table2[[#This Row],[ActualResult]]), "_", IF(Table2[[#This Row],[ActualWinner]]=Table2[[#This Row],[PredictedWinner]], "Y", "N"))</f>
        <v>_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5" s="2"/>
      <c r="S165" s="2" t="str">
        <f t="shared" si="16"/>
        <v>_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/>
      <c r="Y165" s="2"/>
      <c r="Z165" s="145">
        <f>IF(AND(Table2[[#This Row],[GameIsOver]]=1,Table2[[#This Row],[ActualHomeScore]]*Table2[[#This Row],[ActualAwayScore]]=0), 1,0)</f>
        <v>0</v>
      </c>
      <c r="AA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0</v>
      </c>
      <c r="AH165" s="2">
        <f t="shared" si="17"/>
        <v>0</v>
      </c>
      <c r="AI165" s="2">
        <f t="shared" si="18"/>
        <v>0</v>
      </c>
      <c r="AJ165" s="2"/>
      <c r="AK165" s="2"/>
      <c r="AL165" s="2">
        <f>IF(Table2[[#This Row],[GameIsOver]]=0,0,IF(Table2[[#This Row],[ActualWinner]]=Table2[[#This Row],[AwayTeam]], 1, 0))</f>
        <v>0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5" s="2" t="str">
        <f>INDEX(Sheet5!$B$2:$AG$33, MATCH(Table2[[#This Row],[AwayTeam]],Sheet5!$A$2:$A$33, 0), MATCH(Table2[[#This Row],[HomeTeam]],Sheet5!$A$2:$A$33, 0))</f>
        <v>0-0-0</v>
      </c>
      <c r="AP165" s="2" t="str">
        <f>INDEX(Sheet5!$B$2:$AG$33, MATCH(Table2[[#This Row],[HomeTeam]],Sheet5!$A$2:$A$33, 0), MATCH(Table2[[#This Row],[AwayTeam]],Sheet5!$A$2:$A$33, 0))</f>
        <v>0-0-0</v>
      </c>
      <c r="AQ165" s="2">
        <f>IF(Table2[[#This Row],[GameHasShutOut]], 1, 0)</f>
        <v>0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/>
      <c r="AV165" s="2"/>
    </row>
    <row r="166" spans="1:48" x14ac:dyDescent="0.25">
      <c r="A166" s="3"/>
      <c r="B166" s="3">
        <v>45959</v>
      </c>
      <c r="C166" s="5">
        <v>2025020164</v>
      </c>
      <c r="D166" s="2" t="s">
        <v>18</v>
      </c>
      <c r="E166" s="2" t="s">
        <v>11</v>
      </c>
      <c r="F166" s="2"/>
      <c r="G166" s="2"/>
      <c r="H166" s="2" t="str">
        <f t="shared" si="14"/>
        <v>_</v>
      </c>
      <c r="I166" s="2"/>
      <c r="J166" s="2"/>
      <c r="K166" s="2"/>
      <c r="L166" s="2" t="str">
        <f t="shared" si="15"/>
        <v>_</v>
      </c>
      <c r="M166" s="2"/>
      <c r="N166" s="2">
        <f>IF(ISBLANK(Table2[[#This Row],[ActualResult]]), 0, 1)</f>
        <v>0</v>
      </c>
      <c r="O166" s="2" t="str">
        <f>IF(ISBLANK(Table2[[#This Row],[ActualResult]]), "_", IF(Table2[[#This Row],[ActualWinner]]=Table2[[#This Row],[PredictedWinner]], "Y", "N"))</f>
        <v>_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6" s="2"/>
      <c r="S166" s="2" t="str">
        <f t="shared" si="16"/>
        <v>_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/>
      <c r="Y166" s="2"/>
      <c r="Z166" s="145">
        <f>IF(AND(Table2[[#This Row],[GameIsOver]]=1,Table2[[#This Row],[ActualHomeScore]]*Table2[[#This Row],[ActualAwayScore]]=0), 1,0)</f>
        <v>0</v>
      </c>
      <c r="AA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6" s="2">
        <f>Table2[[#This Row],[ActualAwayScore]]-Table2[[#This Row],[PredictedAwayScore]]</f>
        <v>0</v>
      </c>
      <c r="AG166" s="2">
        <f>Table2[[#This Row],[ActualHomeScore]]-Table2[[#This Row],[PredictedHomeScore]]</f>
        <v>0</v>
      </c>
      <c r="AH166" s="2">
        <f t="shared" si="17"/>
        <v>0</v>
      </c>
      <c r="AI166" s="2">
        <f t="shared" si="18"/>
        <v>0</v>
      </c>
      <c r="AJ166" s="2"/>
      <c r="AK166" s="2"/>
      <c r="AL166" s="2">
        <f>IF(Table2[[#This Row],[GameIsOver]]=0,0,IF(Table2[[#This Row],[ActualWinner]]=Table2[[#This Row],[AwayTeam]], 1, 0))</f>
        <v>0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6" s="2" t="str">
        <f>INDEX(Sheet5!$B$2:$AG$33, MATCH(Table2[[#This Row],[AwayTeam]],Sheet5!$A$2:$A$33, 0), MATCH(Table2[[#This Row],[HomeTeam]],Sheet5!$A$2:$A$33, 0))</f>
        <v>0-0-0</v>
      </c>
      <c r="AP166" s="2" t="str">
        <f>INDEX(Sheet5!$B$2:$AG$33, MATCH(Table2[[#This Row],[HomeTeam]],Sheet5!$A$2:$A$33, 0), MATCH(Table2[[#This Row],[AwayTeam]],Sheet5!$A$2:$A$33, 0))</f>
        <v>0-0-0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1</v>
      </c>
      <c r="AU166" s="2"/>
      <c r="AV166" s="2"/>
    </row>
    <row r="167" spans="1:48" x14ac:dyDescent="0.25">
      <c r="A167" s="3"/>
      <c r="B167" s="3">
        <v>45959</v>
      </c>
      <c r="C167" s="5">
        <v>2025020165</v>
      </c>
      <c r="D167" s="2" t="s">
        <v>27</v>
      </c>
      <c r="E167" s="2" t="s">
        <v>37</v>
      </c>
      <c r="F167" s="2"/>
      <c r="G167" s="2"/>
      <c r="H167" s="2" t="str">
        <f t="shared" si="14"/>
        <v>_</v>
      </c>
      <c r="I167" s="2"/>
      <c r="J167" s="2"/>
      <c r="K167" s="2"/>
      <c r="L167" s="2" t="str">
        <f t="shared" si="15"/>
        <v>_</v>
      </c>
      <c r="M167" s="2"/>
      <c r="N167" s="2">
        <f>IF(ISBLANK(Table2[[#This Row],[ActualResult]]), 0, 1)</f>
        <v>0</v>
      </c>
      <c r="O167" s="2" t="str">
        <f>IF(ISBLANK(Table2[[#This Row],[ActualResult]]), "_", IF(Table2[[#This Row],[ActualWinner]]=Table2[[#This Row],[PredictedWinner]], "Y", "N"))</f>
        <v>_</v>
      </c>
      <c r="P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7" s="2"/>
      <c r="S167" s="2" t="str">
        <f t="shared" si="16"/>
        <v>_</v>
      </c>
      <c r="T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2">
        <f>IF(Table2[[#This Row],[InterConf]]=1,IF(Table2[[#This Row],[InterDiv]]=0, 1, 0), 0)</f>
        <v>0</v>
      </c>
      <c r="W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2"/>
      <c r="Y167" s="2"/>
      <c r="Z167" s="145">
        <f>IF(AND(Table2[[#This Row],[GameIsOver]]=1,Table2[[#This Row],[ActualHomeScore]]*Table2[[#This Row],[ActualAwayScore]]=0), 1,0)</f>
        <v>0</v>
      </c>
      <c r="AA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7" s="2">
        <f>Table2[[#This Row],[ActualAwayScore]]-Table2[[#This Row],[PredictedAwayScore]]</f>
        <v>0</v>
      </c>
      <c r="AG167" s="2">
        <f>Table2[[#This Row],[ActualHomeScore]]-Table2[[#This Row],[PredictedHomeScore]]</f>
        <v>0</v>
      </c>
      <c r="AH167" s="2">
        <f t="shared" si="17"/>
        <v>0</v>
      </c>
      <c r="AI167" s="2">
        <f t="shared" si="18"/>
        <v>0</v>
      </c>
      <c r="AJ167" s="2"/>
      <c r="AK167" s="2"/>
      <c r="AL167" s="2">
        <f>IF(Table2[[#This Row],[GameIsOver]]=0,0,IF(Table2[[#This Row],[ActualWinner]]=Table2[[#This Row],[AwayTeam]], 1, 0))</f>
        <v>0</v>
      </c>
      <c r="AM167" s="2">
        <f>IF(Table2[[#This Row],[GameIsOver]]=0,0,IF(Table2[[#This Row],[ActualWinner]]=Table2[[#This Row],[HomeTeam]], 1, 0))</f>
        <v>0</v>
      </c>
      <c r="AN1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7" s="2" t="str">
        <f>INDEX(Sheet5!$B$2:$AG$33, MATCH(Table2[[#This Row],[AwayTeam]],Sheet5!$A$2:$A$33, 0), MATCH(Table2[[#This Row],[HomeTeam]],Sheet5!$A$2:$A$33, 0))</f>
        <v>0-0-0</v>
      </c>
      <c r="AP167" s="2" t="str">
        <f>INDEX(Sheet5!$B$2:$AG$33, MATCH(Table2[[#This Row],[HomeTeam]],Sheet5!$A$2:$A$33, 0), MATCH(Table2[[#This Row],[AwayTeam]],Sheet5!$A$2:$A$33, 0))</f>
        <v>0-0-0</v>
      </c>
      <c r="AQ167" s="2">
        <f>IF(Table2[[#This Row],[GameHasShutOut]], 1, 0)</f>
        <v>0</v>
      </c>
      <c r="AR167" s="2">
        <f>IF(Table2[[#This Row],[ActualAwayScore]] + Table2[[#This Row],[ActualHomeScore]] &gt;= 10, 1, 0)</f>
        <v>0</v>
      </c>
      <c r="AS167" s="2">
        <f>IF(ABS(Table2[[#This Row],[ActualAwayScore]]-Table2[[#This Row],[ActualHomeScore]])&gt;=5, 1, 0)</f>
        <v>0</v>
      </c>
      <c r="AT167" s="2">
        <f>IF(Table2[[#This Row],[ActualAwayScore]] + Table2[[#This Row],[ActualHomeScore]] &lt;= 3, 1, 0)</f>
        <v>1</v>
      </c>
      <c r="AU167" s="2"/>
      <c r="AV167" s="2"/>
    </row>
    <row r="168" spans="1:48" x14ac:dyDescent="0.25">
      <c r="A168" s="3"/>
      <c r="B168" s="3">
        <v>45959</v>
      </c>
      <c r="C168" s="5">
        <v>2025020166</v>
      </c>
      <c r="D168" s="2" t="s">
        <v>17</v>
      </c>
      <c r="E168" s="2" t="s">
        <v>35</v>
      </c>
      <c r="F168" s="2"/>
      <c r="G168" s="2"/>
      <c r="H168" s="2" t="str">
        <f t="shared" si="14"/>
        <v>_</v>
      </c>
      <c r="I168" s="2"/>
      <c r="J168" s="2"/>
      <c r="K168" s="2"/>
      <c r="L168" s="2" t="str">
        <f t="shared" si="15"/>
        <v>_</v>
      </c>
      <c r="M168" s="2"/>
      <c r="N168" s="2">
        <f>IF(ISBLANK(Table2[[#This Row],[ActualResult]]), 0, 1)</f>
        <v>0</v>
      </c>
      <c r="O168" s="2" t="str">
        <f>IF(ISBLANK(Table2[[#This Row],[ActualResult]]), "_", IF(Table2[[#This Row],[ActualWinner]]=Table2[[#This Row],[PredictedWinner]], "Y", "N"))</f>
        <v>_</v>
      </c>
      <c r="P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2"/>
      <c r="S168" s="2" t="str">
        <f t="shared" si="16"/>
        <v>_</v>
      </c>
      <c r="T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2">
        <f>IF(Table2[[#This Row],[InterConf]]=1,IF(Table2[[#This Row],[InterDiv]]=0, 1, 0), 0)</f>
        <v>1</v>
      </c>
      <c r="W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2"/>
      <c r="Y168" s="2"/>
      <c r="Z168" s="145">
        <f>IF(AND(Table2[[#This Row],[GameIsOver]]=1,Table2[[#This Row],[ActualHomeScore]]*Table2[[#This Row],[ActualAwayScore]]=0), 1,0)</f>
        <v>0</v>
      </c>
      <c r="AA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2">
        <f>Table2[[#This Row],[ActualAwayScore]]-Table2[[#This Row],[PredictedAwayScore]]</f>
        <v>0</v>
      </c>
      <c r="AG168" s="2">
        <f>Table2[[#This Row],[ActualHomeScore]]-Table2[[#This Row],[PredictedHomeScore]]</f>
        <v>0</v>
      </c>
      <c r="AH168" s="2">
        <f t="shared" si="17"/>
        <v>0</v>
      </c>
      <c r="AI168" s="2">
        <f t="shared" si="18"/>
        <v>0</v>
      </c>
      <c r="AJ168" s="2"/>
      <c r="AK168" s="2"/>
      <c r="AL168" s="2">
        <f>IF(Table2[[#This Row],[GameIsOver]]=0,0,IF(Table2[[#This Row],[ActualWinner]]=Table2[[#This Row],[AwayTeam]], 1, 0))</f>
        <v>0</v>
      </c>
      <c r="AM168" s="2">
        <f>IF(Table2[[#This Row],[GameIsOver]]=0,0,IF(Table2[[#This Row],[ActualWinner]]=Table2[[#This Row],[HomeTeam]], 1, 0))</f>
        <v>0</v>
      </c>
      <c r="AN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8" s="2" t="str">
        <f>INDEX(Sheet5!$B$2:$AG$33, MATCH(Table2[[#This Row],[AwayTeam]],Sheet5!$A$2:$A$33, 0), MATCH(Table2[[#This Row],[HomeTeam]],Sheet5!$A$2:$A$33, 0))</f>
        <v>0-0-0</v>
      </c>
      <c r="AP168" s="2" t="str">
        <f>INDEX(Sheet5!$B$2:$AG$33, MATCH(Table2[[#This Row],[HomeTeam]],Sheet5!$A$2:$A$33, 0), MATCH(Table2[[#This Row],[AwayTeam]],Sheet5!$A$2:$A$33, 0))</f>
        <v>0-0-0</v>
      </c>
      <c r="AQ168" s="2">
        <f>IF(Table2[[#This Row],[GameHasShutOut]], 1, 0)</f>
        <v>0</v>
      </c>
      <c r="AR168" s="2">
        <f>IF(Table2[[#This Row],[ActualAwayScore]] + Table2[[#This Row],[ActualHomeScore]] &gt;= 10, 1, 0)</f>
        <v>0</v>
      </c>
      <c r="AS168" s="2">
        <f>IF(ABS(Table2[[#This Row],[ActualAwayScore]]-Table2[[#This Row],[ActualHomeScore]])&gt;=5, 1, 0)</f>
        <v>0</v>
      </c>
      <c r="AT168" s="2">
        <f>IF(Table2[[#This Row],[ActualAwayScore]] + Table2[[#This Row],[ActualHomeScore]] &lt;= 3, 1, 0)</f>
        <v>1</v>
      </c>
      <c r="AU168" s="2"/>
      <c r="AV168" s="2"/>
    </row>
    <row r="169" spans="1:48" x14ac:dyDescent="0.25">
      <c r="A169" s="3"/>
      <c r="B169" s="3">
        <v>45960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4"/>
        <v>_</v>
      </c>
      <c r="I169" s="2"/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45">
        <f>IF(AND(Table2[[#This Row],[GameIsOver]]=1,Table2[[#This Row],[ActualHomeScore]]*Table2[[#This Row],[ActualAwayScore]]=0), 1,0)</f>
        <v>0</v>
      </c>
      <c r="AA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 t="shared" si="17"/>
        <v>0</v>
      </c>
      <c r="AI169" s="2">
        <f t="shared" si="18"/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9" s="2" t="str">
        <f>INDEX(Sheet5!$B$2:$AG$33, MATCH(Table2[[#This Row],[AwayTeam]],Sheet5!$A$2:$A$33, 0), MATCH(Table2[[#This Row],[HomeTeam]],Sheet5!$A$2:$A$33, 0))</f>
        <v>0-0-0</v>
      </c>
      <c r="AP169" s="2" t="str">
        <f>INDEX(Sheet5!$B$2:$AG$33, MATCH(Table2[[#This Row],[HomeTeam]],Sheet5!$A$2:$A$33, 0), MATCH(Table2[[#This Row],[AwayTeam]],Sheet5!$A$2:$A$33, 0))</f>
        <v>0-0-0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/>
      <c r="AV169" s="2"/>
    </row>
    <row r="170" spans="1:48" x14ac:dyDescent="0.25">
      <c r="A170" s="3"/>
      <c r="B170" s="3">
        <v>45960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4"/>
        <v>_</v>
      </c>
      <c r="I170" s="2"/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45">
        <f>IF(AND(Table2[[#This Row],[GameIsOver]]=1,Table2[[#This Row],[ActualHomeScore]]*Table2[[#This Row],[ActualAwayScore]]=0), 1,0)</f>
        <v>0</v>
      </c>
      <c r="AA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 t="shared" si="17"/>
        <v>0</v>
      </c>
      <c r="AI170" s="2">
        <f t="shared" si="18"/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/>
      <c r="AV170" s="2"/>
    </row>
    <row r="171" spans="1:48" x14ac:dyDescent="0.25">
      <c r="A171" s="3"/>
      <c r="B171" s="3">
        <v>45960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4"/>
        <v>_</v>
      </c>
      <c r="I171" s="2"/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45">
        <f>IF(AND(Table2[[#This Row],[GameIsOver]]=1,Table2[[#This Row],[ActualHomeScore]]*Table2[[#This Row],[ActualAwayScore]]=0), 1,0)</f>
        <v>0</v>
      </c>
      <c r="AA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 t="shared" si="17"/>
        <v>0</v>
      </c>
      <c r="AI171" s="2">
        <f t="shared" si="18"/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/>
      <c r="AV171" s="2"/>
    </row>
    <row r="172" spans="1:48" x14ac:dyDescent="0.25">
      <c r="A172" s="3"/>
      <c r="B172" s="3">
        <v>45960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4"/>
        <v>_</v>
      </c>
      <c r="I172" s="2"/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45">
        <f>IF(AND(Table2[[#This Row],[GameIsOver]]=1,Table2[[#This Row],[ActualHomeScore]]*Table2[[#This Row],[ActualAwayScore]]=0), 1,0)</f>
        <v>0</v>
      </c>
      <c r="AA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 t="shared" si="17"/>
        <v>0</v>
      </c>
      <c r="AI172" s="2">
        <f t="shared" si="18"/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/>
      <c r="AV172" s="2"/>
    </row>
    <row r="173" spans="1:48" x14ac:dyDescent="0.25">
      <c r="A173" s="3"/>
      <c r="B173" s="3">
        <v>45960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4"/>
        <v>_</v>
      </c>
      <c r="I173" s="2"/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45">
        <f>IF(AND(Table2[[#This Row],[GameIsOver]]=1,Table2[[#This Row],[ActualHomeScore]]*Table2[[#This Row],[ActualAwayScore]]=0), 1,0)</f>
        <v>0</v>
      </c>
      <c r="AA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 t="shared" si="17"/>
        <v>0</v>
      </c>
      <c r="AI173" s="2">
        <f t="shared" si="18"/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/>
      <c r="AV173" s="2"/>
    </row>
    <row r="174" spans="1:48" x14ac:dyDescent="0.25">
      <c r="A174" s="3"/>
      <c r="B174" s="3">
        <v>45961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4"/>
        <v>_</v>
      </c>
      <c r="I174" s="2"/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45">
        <f>IF(AND(Table2[[#This Row],[GameIsOver]]=1,Table2[[#This Row],[ActualHomeScore]]*Table2[[#This Row],[ActualAwayScore]]=0), 1,0)</f>
        <v>0</v>
      </c>
      <c r="AA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 t="shared" si="17"/>
        <v>0</v>
      </c>
      <c r="AI174" s="2">
        <f t="shared" si="18"/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4" s="2" t="str">
        <f>INDEX(Sheet5!$B$2:$AG$33, MATCH(Table2[[#This Row],[AwayTeam]],Sheet5!$A$2:$A$33, 0), MATCH(Table2[[#This Row],[HomeTeam]],Sheet5!$A$2:$A$33, 0))</f>
        <v>0-0-0</v>
      </c>
      <c r="AP174" s="2" t="str">
        <f>INDEX(Sheet5!$B$2:$AG$33, MATCH(Table2[[#This Row],[HomeTeam]],Sheet5!$A$2:$A$33, 0), MATCH(Table2[[#This Row],[AwayTeam]],Sheet5!$A$2:$A$33, 0))</f>
        <v>0-0-0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/>
      <c r="AV174" s="2"/>
    </row>
    <row r="175" spans="1:48" x14ac:dyDescent="0.25">
      <c r="A175" s="3"/>
      <c r="B175" s="3">
        <v>45961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4"/>
        <v>_</v>
      </c>
      <c r="I175" s="2"/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45">
        <f>IF(AND(Table2[[#This Row],[GameIsOver]]=1,Table2[[#This Row],[ActualHomeScore]]*Table2[[#This Row],[ActualAwayScore]]=0), 1,0)</f>
        <v>0</v>
      </c>
      <c r="AA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 t="shared" si="17"/>
        <v>0</v>
      </c>
      <c r="AI175" s="2">
        <f t="shared" si="18"/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/>
      <c r="AV175" s="2"/>
    </row>
    <row r="176" spans="1:48" x14ac:dyDescent="0.25">
      <c r="A176" s="3"/>
      <c r="B176" s="3">
        <v>45961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4"/>
        <v>_</v>
      </c>
      <c r="I176" s="2"/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45">
        <f>IF(AND(Table2[[#This Row],[GameIsOver]]=1,Table2[[#This Row],[ActualHomeScore]]*Table2[[#This Row],[ActualAwayScore]]=0), 1,0)</f>
        <v>0</v>
      </c>
      <c r="AA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 t="shared" si="17"/>
        <v>0</v>
      </c>
      <c r="AI176" s="2">
        <f t="shared" si="18"/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/>
      <c r="AV176" s="2"/>
    </row>
    <row r="177" spans="1:48" x14ac:dyDescent="0.25">
      <c r="A177" s="3"/>
      <c r="B177" s="3">
        <v>45961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4"/>
        <v>_</v>
      </c>
      <c r="I177" s="2"/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45">
        <f>IF(AND(Table2[[#This Row],[GameIsOver]]=1,Table2[[#This Row],[ActualHomeScore]]*Table2[[#This Row],[ActualAwayScore]]=0), 1,0)</f>
        <v>0</v>
      </c>
      <c r="AA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 t="shared" si="17"/>
        <v>0</v>
      </c>
      <c r="AI177" s="2">
        <f t="shared" si="18"/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7" s="2" t="str">
        <f>INDEX(Sheet5!$B$2:$AG$33, MATCH(Table2[[#This Row],[AwayTeam]],Sheet5!$A$2:$A$33, 0), MATCH(Table2[[#This Row],[HomeTeam]],Sheet5!$A$2:$A$33, 0))</f>
        <v>0-0-0</v>
      </c>
      <c r="AP177" s="2" t="str">
        <f>INDEX(Sheet5!$B$2:$AG$33, MATCH(Table2[[#This Row],[HomeTeam]],Sheet5!$A$2:$A$33, 0), MATCH(Table2[[#This Row],[AwayTeam]],Sheet5!$A$2:$A$33, 0))</f>
        <v>0-0-0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/>
      <c r="AV177" s="2"/>
    </row>
    <row r="178" spans="1:48" x14ac:dyDescent="0.25">
      <c r="A178" s="3"/>
      <c r="B178" s="3">
        <v>45961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4"/>
        <v>_</v>
      </c>
      <c r="I178" s="2"/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45">
        <f>IF(AND(Table2[[#This Row],[GameIsOver]]=1,Table2[[#This Row],[ActualHomeScore]]*Table2[[#This Row],[ActualAwayScore]]=0), 1,0)</f>
        <v>0</v>
      </c>
      <c r="AA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 t="shared" si="17"/>
        <v>0</v>
      </c>
      <c r="AI178" s="2">
        <f t="shared" si="18"/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8" s="2" t="str">
        <f>INDEX(Sheet5!$B$2:$AG$33, MATCH(Table2[[#This Row],[AwayTeam]],Sheet5!$A$2:$A$33, 0), MATCH(Table2[[#This Row],[HomeTeam]],Sheet5!$A$2:$A$33, 0))</f>
        <v>0-0-0</v>
      </c>
      <c r="AP178" s="2" t="str">
        <f>INDEX(Sheet5!$B$2:$AG$33, MATCH(Table2[[#This Row],[HomeTeam]],Sheet5!$A$2:$A$33, 0), MATCH(Table2[[#This Row],[AwayTeam]],Sheet5!$A$2:$A$33, 0))</f>
        <v>0-0-0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/>
      <c r="AV178" s="2"/>
    </row>
    <row r="179" spans="1:48" x14ac:dyDescent="0.25">
      <c r="A179" s="3"/>
      <c r="B179" s="3">
        <v>45961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4"/>
        <v>_</v>
      </c>
      <c r="I179" s="2"/>
      <c r="J179" s="2"/>
      <c r="K179" s="2"/>
      <c r="L179" s="2" t="str">
        <f t="shared" si="15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6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145">
        <f>IF(AND(Table2[[#This Row],[GameIsOver]]=1,Table2[[#This Row],[ActualHomeScore]]*Table2[[#This Row],[ActualAwayScore]]=0), 1,0)</f>
        <v>0</v>
      </c>
      <c r="AA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 t="shared" si="17"/>
        <v>0</v>
      </c>
      <c r="AI179" s="2">
        <f t="shared" si="18"/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2"/>
      <c r="AV179" s="2"/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45">
        <f>IF(AND(Table2[[#This Row],[GameIsOver]]=1,Table2[[#This Row],[ActualHomeScore]]*Table2[[#This Row],[ActualAwayScore]]=0), 1,0)</f>
        <v>0</v>
      </c>
      <c r="AA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/>
      <c r="AV180" s="2"/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45">
        <f>IF(AND(Table2[[#This Row],[GameIsOver]]=1,Table2[[#This Row],[ActualHomeScore]]*Table2[[#This Row],[ActualAwayScore]]=0), 1,0)</f>
        <v>0</v>
      </c>
      <c r="AA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1" s="2" t="str">
        <f>INDEX(Sheet5!$B$2:$AG$33, MATCH(Table2[[#This Row],[AwayTeam]],Sheet5!$A$2:$A$33, 0), MATCH(Table2[[#This Row],[HomeTeam]],Sheet5!$A$2:$A$33, 0))</f>
        <v>0-0-0</v>
      </c>
      <c r="AP181" s="2" t="str">
        <f>INDEX(Sheet5!$B$2:$AG$33, MATCH(Table2[[#This Row],[HomeTeam]],Sheet5!$A$2:$A$33, 0), MATCH(Table2[[#This Row],[AwayTeam]],Sheet5!$A$2:$A$33, 0))</f>
        <v>0-0-0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/>
      <c r="AV181" s="2"/>
    </row>
    <row r="182" spans="1:48" x14ac:dyDescent="0.25">
      <c r="A182" s="3"/>
      <c r="B182" s="3">
        <v>45962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4"/>
        <v>_</v>
      </c>
      <c r="I182" s="2"/>
      <c r="J182" s="2"/>
      <c r="K182" s="2"/>
      <c r="L182" s="2" t="str">
        <f t="shared" si="15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6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145">
        <f>IF(AND(Table2[[#This Row],[GameIsOver]]=1,Table2[[#This Row],[ActualHomeScore]]*Table2[[#This Row],[ActualAwayScore]]=0), 1,0)</f>
        <v>0</v>
      </c>
      <c r="AA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 t="shared" si="17"/>
        <v>0</v>
      </c>
      <c r="AI182" s="2">
        <f t="shared" si="18"/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2"/>
      <c r="AV182" s="2"/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45">
        <f>IF(AND(Table2[[#This Row],[GameIsOver]]=1,Table2[[#This Row],[ActualHomeScore]]*Table2[[#This Row],[ActualAwayScore]]=0), 1,0)</f>
        <v>0</v>
      </c>
      <c r="AA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/>
      <c r="AV183" s="2"/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45">
        <f>IF(AND(Table2[[#This Row],[GameIsOver]]=1,Table2[[#This Row],[ActualHomeScore]]*Table2[[#This Row],[ActualAwayScore]]=0), 1,0)</f>
        <v>0</v>
      </c>
      <c r="AA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/>
      <c r="AV184" s="2"/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45">
        <f>IF(AND(Table2[[#This Row],[GameIsOver]]=1,Table2[[#This Row],[ActualHomeScore]]*Table2[[#This Row],[ActualAwayScore]]=0), 1,0)</f>
        <v>0</v>
      </c>
      <c r="AA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/>
      <c r="AV185" s="2"/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45">
        <f>IF(AND(Table2[[#This Row],[GameIsOver]]=1,Table2[[#This Row],[ActualHomeScore]]*Table2[[#This Row],[ActualAwayScore]]=0), 1,0)</f>
        <v>0</v>
      </c>
      <c r="AA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/>
      <c r="AV186" s="2"/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45">
        <f>IF(AND(Table2[[#This Row],[GameIsOver]]=1,Table2[[#This Row],[ActualHomeScore]]*Table2[[#This Row],[ActualAwayScore]]=0), 1,0)</f>
        <v>0</v>
      </c>
      <c r="AA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/>
      <c r="AV187" s="2"/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45">
        <f>IF(AND(Table2[[#This Row],[GameIsOver]]=1,Table2[[#This Row],[ActualHomeScore]]*Table2[[#This Row],[ActualAwayScore]]=0), 1,0)</f>
        <v>0</v>
      </c>
      <c r="AA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/>
      <c r="AV188" s="2"/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45">
        <f>IF(AND(Table2[[#This Row],[GameIsOver]]=1,Table2[[#This Row],[ActualHomeScore]]*Table2[[#This Row],[ActualAwayScore]]=0), 1,0)</f>
        <v>0</v>
      </c>
      <c r="AA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/>
      <c r="AV189" s="2"/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45">
        <f>IF(AND(Table2[[#This Row],[GameIsOver]]=1,Table2[[#This Row],[ActualHomeScore]]*Table2[[#This Row],[ActualAwayScore]]=0), 1,0)</f>
        <v>0</v>
      </c>
      <c r="AA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/>
      <c r="AV190" s="2"/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45">
        <f>IF(AND(Table2[[#This Row],[GameIsOver]]=1,Table2[[#This Row],[ActualHomeScore]]*Table2[[#This Row],[ActualAwayScore]]=0), 1,0)</f>
        <v>0</v>
      </c>
      <c r="AA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/>
      <c r="AV191" s="2"/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45">
        <f>IF(AND(Table2[[#This Row],[GameIsOver]]=1,Table2[[#This Row],[ActualHomeScore]]*Table2[[#This Row],[ActualAwayScore]]=0), 1,0)</f>
        <v>0</v>
      </c>
      <c r="AA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/>
      <c r="AV192" s="2"/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45">
        <f>IF(AND(Table2[[#This Row],[GameIsOver]]=1,Table2[[#This Row],[ActualHomeScore]]*Table2[[#This Row],[ActualAwayScore]]=0), 1,0)</f>
        <v>0</v>
      </c>
      <c r="AA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/>
      <c r="AV193" s="2"/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45">
        <f>IF(AND(Table2[[#This Row],[GameIsOver]]=1,Table2[[#This Row],[ActualHomeScore]]*Table2[[#This Row],[ActualAwayScore]]=0), 1,0)</f>
        <v>0</v>
      </c>
      <c r="AA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/>
      <c r="AV194" s="2"/>
    </row>
    <row r="195" spans="1:48" x14ac:dyDescent="0.25">
      <c r="A195" s="3"/>
      <c r="B195" s="3">
        <v>45963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9">IF(AND(ISBLANK($F195),ISBLANK($G195)),"_",IF($F195&gt;$G195,$D195,$E195))</f>
        <v>_</v>
      </c>
      <c r="I195" s="2"/>
      <c r="J195" s="2"/>
      <c r="K195" s="2"/>
      <c r="L195" s="2" t="str">
        <f t="shared" ref="L195:L258" si="20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21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145">
        <f>IF(AND(Table2[[#This Row],[GameIsOver]]=1,Table2[[#This Row],[ActualHomeScore]]*Table2[[#This Row],[ActualAwayScore]]=0), 1,0)</f>
        <v>0</v>
      </c>
      <c r="AA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 t="shared" ref="AH195:AH258" si="22">SUMIF($B$3:$B$1315, $B195, $AF$3:$AF$1315)</f>
        <v>0</v>
      </c>
      <c r="AI195" s="2">
        <f t="shared" ref="AI195:AI258" si="23"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2"/>
      <c r="AV195" s="2"/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45">
        <f>IF(AND(Table2[[#This Row],[GameIsOver]]=1,Table2[[#This Row],[ActualHomeScore]]*Table2[[#This Row],[ActualAwayScore]]=0), 1,0)</f>
        <v>0</v>
      </c>
      <c r="AA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/>
      <c r="AV196" s="2"/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45">
        <f>IF(AND(Table2[[#This Row],[GameIsOver]]=1,Table2[[#This Row],[ActualHomeScore]]*Table2[[#This Row],[ActualAwayScore]]=0), 1,0)</f>
        <v>0</v>
      </c>
      <c r="AA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/>
      <c r="AV197" s="2"/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45">
        <f>IF(AND(Table2[[#This Row],[GameIsOver]]=1,Table2[[#This Row],[ActualHomeScore]]*Table2[[#This Row],[ActualAwayScore]]=0), 1,0)</f>
        <v>0</v>
      </c>
      <c r="AA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/>
      <c r="AV198" s="2"/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45">
        <f>IF(AND(Table2[[#This Row],[GameIsOver]]=1,Table2[[#This Row],[ActualHomeScore]]*Table2[[#This Row],[ActualAwayScore]]=0), 1,0)</f>
        <v>0</v>
      </c>
      <c r="AA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/>
      <c r="AV199" s="2"/>
    </row>
    <row r="200" spans="1:48" x14ac:dyDescent="0.25">
      <c r="A200" s="3"/>
      <c r="B200" s="3">
        <v>45964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9"/>
        <v>_</v>
      </c>
      <c r="I200" s="2"/>
      <c r="J200" s="2"/>
      <c r="K200" s="2"/>
      <c r="L200" s="2" t="str">
        <f t="shared" si="20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21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145">
        <f>IF(AND(Table2[[#This Row],[GameIsOver]]=1,Table2[[#This Row],[ActualHomeScore]]*Table2[[#This Row],[ActualAwayScore]]=0), 1,0)</f>
        <v>0</v>
      </c>
      <c r="AA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 t="shared" si="22"/>
        <v>0</v>
      </c>
      <c r="AI200" s="2">
        <f t="shared" si="23"/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2"/>
      <c r="AV200" s="2"/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45">
        <f>IF(AND(Table2[[#This Row],[GameIsOver]]=1,Table2[[#This Row],[ActualHomeScore]]*Table2[[#This Row],[ActualAwayScore]]=0), 1,0)</f>
        <v>0</v>
      </c>
      <c r="AA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/>
      <c r="AV201" s="2"/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45">
        <f>IF(AND(Table2[[#This Row],[GameIsOver]]=1,Table2[[#This Row],[ActualHomeScore]]*Table2[[#This Row],[ActualAwayScore]]=0), 1,0)</f>
        <v>0</v>
      </c>
      <c r="AA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/>
      <c r="AV202" s="2"/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45">
        <f>IF(AND(Table2[[#This Row],[GameIsOver]]=1,Table2[[#This Row],[ActualHomeScore]]*Table2[[#This Row],[ActualAwayScore]]=0), 1,0)</f>
        <v>0</v>
      </c>
      <c r="AA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3" s="2" t="str">
        <f>INDEX(Sheet5!$B$2:$AG$33, MATCH(Table2[[#This Row],[AwayTeam]],Sheet5!$A$2:$A$33, 0), MATCH(Table2[[#This Row],[HomeTeam]],Sheet5!$A$2:$A$33, 0))</f>
        <v>0-0-0</v>
      </c>
      <c r="AP203" s="2" t="str">
        <f>INDEX(Sheet5!$B$2:$AG$33, MATCH(Table2[[#This Row],[HomeTeam]],Sheet5!$A$2:$A$33, 0), MATCH(Table2[[#This Row],[AwayTeam]],Sheet5!$A$2:$A$33, 0))</f>
        <v>0-0-0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/>
      <c r="AV203" s="2"/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45">
        <f>IF(AND(Table2[[#This Row],[GameIsOver]]=1,Table2[[#This Row],[ActualHomeScore]]*Table2[[#This Row],[ActualAwayScore]]=0), 1,0)</f>
        <v>0</v>
      </c>
      <c r="AA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/>
      <c r="AV204" s="2"/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45">
        <f>IF(AND(Table2[[#This Row],[GameIsOver]]=1,Table2[[#This Row],[ActualHomeScore]]*Table2[[#This Row],[ActualAwayScore]]=0), 1,0)</f>
        <v>0</v>
      </c>
      <c r="AA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/>
      <c r="AV205" s="2"/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45">
        <f>IF(AND(Table2[[#This Row],[GameIsOver]]=1,Table2[[#This Row],[ActualHomeScore]]*Table2[[#This Row],[ActualAwayScore]]=0), 1,0)</f>
        <v>0</v>
      </c>
      <c r="AA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/>
      <c r="AV206" s="2"/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45">
        <f>IF(AND(Table2[[#This Row],[GameIsOver]]=1,Table2[[#This Row],[ActualHomeScore]]*Table2[[#This Row],[ActualAwayScore]]=0), 1,0)</f>
        <v>0</v>
      </c>
      <c r="AA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7" s="2" t="str">
        <f>INDEX(Sheet5!$B$2:$AG$33, MATCH(Table2[[#This Row],[AwayTeam]],Sheet5!$A$2:$A$33, 0), MATCH(Table2[[#This Row],[HomeTeam]],Sheet5!$A$2:$A$33, 0))</f>
        <v>0-0-0</v>
      </c>
      <c r="AP207" s="2" t="str">
        <f>INDEX(Sheet5!$B$2:$AG$33, MATCH(Table2[[#This Row],[HomeTeam]],Sheet5!$A$2:$A$33, 0), MATCH(Table2[[#This Row],[AwayTeam]],Sheet5!$A$2:$A$33, 0))</f>
        <v>0-0-0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/>
      <c r="AV207" s="2"/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45">
        <f>IF(AND(Table2[[#This Row],[GameIsOver]]=1,Table2[[#This Row],[ActualHomeScore]]*Table2[[#This Row],[ActualAwayScore]]=0), 1,0)</f>
        <v>0</v>
      </c>
      <c r="AA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/>
      <c r="AV208" s="2"/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45">
        <f>IF(AND(Table2[[#This Row],[GameIsOver]]=1,Table2[[#This Row],[ActualHomeScore]]*Table2[[#This Row],[ActualAwayScore]]=0), 1,0)</f>
        <v>0</v>
      </c>
      <c r="AA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/>
      <c r="AV209" s="2"/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45">
        <f>IF(AND(Table2[[#This Row],[GameIsOver]]=1,Table2[[#This Row],[ActualHomeScore]]*Table2[[#This Row],[ActualAwayScore]]=0), 1,0)</f>
        <v>0</v>
      </c>
      <c r="AA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/>
      <c r="AV210" s="2"/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45">
        <f>IF(AND(Table2[[#This Row],[GameIsOver]]=1,Table2[[#This Row],[ActualHomeScore]]*Table2[[#This Row],[ActualAwayScore]]=0), 1,0)</f>
        <v>0</v>
      </c>
      <c r="AA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/>
      <c r="AV211" s="2"/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45">
        <f>IF(AND(Table2[[#This Row],[GameIsOver]]=1,Table2[[#This Row],[ActualHomeScore]]*Table2[[#This Row],[ActualAwayScore]]=0), 1,0)</f>
        <v>0</v>
      </c>
      <c r="AA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/>
      <c r="AV212" s="2"/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45">
        <f>IF(AND(Table2[[#This Row],[GameIsOver]]=1,Table2[[#This Row],[ActualHomeScore]]*Table2[[#This Row],[ActualAwayScore]]=0), 1,0)</f>
        <v>0</v>
      </c>
      <c r="AA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3" s="2" t="str">
        <f>INDEX(Sheet5!$B$2:$AG$33, MATCH(Table2[[#This Row],[AwayTeam]],Sheet5!$A$2:$A$33, 0), MATCH(Table2[[#This Row],[HomeTeam]],Sheet5!$A$2:$A$33, 0))</f>
        <v>0-0-0</v>
      </c>
      <c r="AP213" s="2" t="str">
        <f>INDEX(Sheet5!$B$2:$AG$33, MATCH(Table2[[#This Row],[HomeTeam]],Sheet5!$A$2:$A$33, 0), MATCH(Table2[[#This Row],[AwayTeam]],Sheet5!$A$2:$A$33, 0))</f>
        <v>0-0-0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/>
      <c r="AV213" s="2"/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45">
        <f>IF(AND(Table2[[#This Row],[GameIsOver]]=1,Table2[[#This Row],[ActualHomeScore]]*Table2[[#This Row],[ActualAwayScore]]=0), 1,0)</f>
        <v>0</v>
      </c>
      <c r="AA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4" s="2" t="str">
        <f>INDEX(Sheet5!$B$2:$AG$33, MATCH(Table2[[#This Row],[AwayTeam]],Sheet5!$A$2:$A$33, 0), MATCH(Table2[[#This Row],[HomeTeam]],Sheet5!$A$2:$A$33, 0))</f>
        <v>0-0-0</v>
      </c>
      <c r="AP214" s="2" t="str">
        <f>INDEX(Sheet5!$B$2:$AG$33, MATCH(Table2[[#This Row],[HomeTeam]],Sheet5!$A$2:$A$33, 0), MATCH(Table2[[#This Row],[AwayTeam]],Sheet5!$A$2:$A$33, 0))</f>
        <v>0-0-0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/>
      <c r="AV214" s="2"/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45">
        <f>IF(AND(Table2[[#This Row],[GameIsOver]]=1,Table2[[#This Row],[ActualHomeScore]]*Table2[[#This Row],[ActualAwayScore]]=0), 1,0)</f>
        <v>0</v>
      </c>
      <c r="AA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/>
      <c r="AV215" s="2"/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45">
        <f>IF(AND(Table2[[#This Row],[GameIsOver]]=1,Table2[[#This Row],[ActualHomeScore]]*Table2[[#This Row],[ActualAwayScore]]=0), 1,0)</f>
        <v>0</v>
      </c>
      <c r="AA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/>
      <c r="AV216" s="2"/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45">
        <f>IF(AND(Table2[[#This Row],[GameIsOver]]=1,Table2[[#This Row],[ActualHomeScore]]*Table2[[#This Row],[ActualAwayScore]]=0), 1,0)</f>
        <v>0</v>
      </c>
      <c r="AA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/>
      <c r="AV217" s="2"/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45">
        <f>IF(AND(Table2[[#This Row],[GameIsOver]]=1,Table2[[#This Row],[ActualHomeScore]]*Table2[[#This Row],[ActualAwayScore]]=0), 1,0)</f>
        <v>0</v>
      </c>
      <c r="AA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8" s="2" t="str">
        <f>INDEX(Sheet5!$B$2:$AG$33, MATCH(Table2[[#This Row],[AwayTeam]],Sheet5!$A$2:$A$33, 0), MATCH(Table2[[#This Row],[HomeTeam]],Sheet5!$A$2:$A$33, 0))</f>
        <v>0-0-0</v>
      </c>
      <c r="AP218" s="2" t="str">
        <f>INDEX(Sheet5!$B$2:$AG$33, MATCH(Table2[[#This Row],[HomeTeam]],Sheet5!$A$2:$A$33, 0), MATCH(Table2[[#This Row],[AwayTeam]],Sheet5!$A$2:$A$33, 0))</f>
        <v>0-0-0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/>
      <c r="AV218" s="2"/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45">
        <f>IF(AND(Table2[[#This Row],[GameIsOver]]=1,Table2[[#This Row],[ActualHomeScore]]*Table2[[#This Row],[ActualAwayScore]]=0), 1,0)</f>
        <v>0</v>
      </c>
      <c r="AA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/>
      <c r="AV219" s="2"/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45">
        <f>IF(AND(Table2[[#This Row],[GameIsOver]]=1,Table2[[#This Row],[ActualHomeScore]]*Table2[[#This Row],[ActualAwayScore]]=0), 1,0)</f>
        <v>0</v>
      </c>
      <c r="AA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0" s="2" t="str">
        <f>INDEX(Sheet5!$B$2:$AG$33, MATCH(Table2[[#This Row],[AwayTeam]],Sheet5!$A$2:$A$33, 0), MATCH(Table2[[#This Row],[HomeTeam]],Sheet5!$A$2:$A$33, 0))</f>
        <v>0-0-0</v>
      </c>
      <c r="AP220" s="2" t="str">
        <f>INDEX(Sheet5!$B$2:$AG$33, MATCH(Table2[[#This Row],[HomeTeam]],Sheet5!$A$2:$A$33, 0), MATCH(Table2[[#This Row],[AwayTeam]],Sheet5!$A$2:$A$33, 0))</f>
        <v>0-0-0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/>
      <c r="AV220" s="2"/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45">
        <f>IF(AND(Table2[[#This Row],[GameIsOver]]=1,Table2[[#This Row],[ActualHomeScore]]*Table2[[#This Row],[ActualAwayScore]]=0), 1,0)</f>
        <v>0</v>
      </c>
      <c r="AA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/>
      <c r="AV221" s="2"/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45">
        <f>IF(AND(Table2[[#This Row],[GameIsOver]]=1,Table2[[#This Row],[ActualHomeScore]]*Table2[[#This Row],[ActualAwayScore]]=0), 1,0)</f>
        <v>0</v>
      </c>
      <c r="AA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/>
      <c r="AV222" s="2"/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45">
        <f>IF(AND(Table2[[#This Row],[GameIsOver]]=1,Table2[[#This Row],[ActualHomeScore]]*Table2[[#This Row],[ActualAwayScore]]=0), 1,0)</f>
        <v>0</v>
      </c>
      <c r="AA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/>
      <c r="AV223" s="2"/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45">
        <f>IF(AND(Table2[[#This Row],[GameIsOver]]=1,Table2[[#This Row],[ActualHomeScore]]*Table2[[#This Row],[ActualAwayScore]]=0), 1,0)</f>
        <v>0</v>
      </c>
      <c r="AA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/>
      <c r="AV224" s="2"/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45">
        <f>IF(AND(Table2[[#This Row],[GameIsOver]]=1,Table2[[#This Row],[ActualHomeScore]]*Table2[[#This Row],[ActualAwayScore]]=0), 1,0)</f>
        <v>0</v>
      </c>
      <c r="AA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/>
      <c r="AV225" s="2"/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45">
        <f>IF(AND(Table2[[#This Row],[GameIsOver]]=1,Table2[[#This Row],[ActualHomeScore]]*Table2[[#This Row],[ActualAwayScore]]=0), 1,0)</f>
        <v>0</v>
      </c>
      <c r="AA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/>
      <c r="AV226" s="2"/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45">
        <f>IF(AND(Table2[[#This Row],[GameIsOver]]=1,Table2[[#This Row],[ActualHomeScore]]*Table2[[#This Row],[ActualAwayScore]]=0), 1,0)</f>
        <v>0</v>
      </c>
      <c r="AA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7" s="2" t="str">
        <f>INDEX(Sheet5!$B$2:$AG$33, MATCH(Table2[[#This Row],[AwayTeam]],Sheet5!$A$2:$A$33, 0), MATCH(Table2[[#This Row],[HomeTeam]],Sheet5!$A$2:$A$33, 0))</f>
        <v>0-0-0</v>
      </c>
      <c r="AP227" s="2" t="str">
        <f>INDEX(Sheet5!$B$2:$AG$33, MATCH(Table2[[#This Row],[HomeTeam]],Sheet5!$A$2:$A$33, 0), MATCH(Table2[[#This Row],[AwayTeam]],Sheet5!$A$2:$A$33, 0))</f>
        <v>0-0-0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/>
      <c r="AV227" s="2"/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45">
        <f>IF(AND(Table2[[#This Row],[GameIsOver]]=1,Table2[[#This Row],[ActualHomeScore]]*Table2[[#This Row],[ActualAwayScore]]=0), 1,0)</f>
        <v>0</v>
      </c>
      <c r="AA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/>
      <c r="AV228" s="2"/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45">
        <f>IF(AND(Table2[[#This Row],[GameIsOver]]=1,Table2[[#This Row],[ActualHomeScore]]*Table2[[#This Row],[ActualAwayScore]]=0), 1,0)</f>
        <v>0</v>
      </c>
      <c r="AA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/>
      <c r="AV229" s="2"/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45">
        <f>IF(AND(Table2[[#This Row],[GameIsOver]]=1,Table2[[#This Row],[ActualHomeScore]]*Table2[[#This Row],[ActualAwayScore]]=0), 1,0)</f>
        <v>0</v>
      </c>
      <c r="AA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/>
      <c r="AV230" s="2"/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45">
        <f>IF(AND(Table2[[#This Row],[GameIsOver]]=1,Table2[[#This Row],[ActualHomeScore]]*Table2[[#This Row],[ActualAwayScore]]=0), 1,0)</f>
        <v>0</v>
      </c>
      <c r="AA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/>
      <c r="AV231" s="2"/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45">
        <f>IF(AND(Table2[[#This Row],[GameIsOver]]=1,Table2[[#This Row],[ActualHomeScore]]*Table2[[#This Row],[ActualAwayScore]]=0), 1,0)</f>
        <v>0</v>
      </c>
      <c r="AA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/>
      <c r="AV232" s="2"/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45">
        <f>IF(AND(Table2[[#This Row],[GameIsOver]]=1,Table2[[#This Row],[ActualHomeScore]]*Table2[[#This Row],[ActualAwayScore]]=0), 1,0)</f>
        <v>0</v>
      </c>
      <c r="AA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/>
      <c r="AV233" s="2"/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45">
        <f>IF(AND(Table2[[#This Row],[GameIsOver]]=1,Table2[[#This Row],[ActualHomeScore]]*Table2[[#This Row],[ActualAwayScore]]=0), 1,0)</f>
        <v>0</v>
      </c>
      <c r="AA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4" s="2" t="str">
        <f>INDEX(Sheet5!$B$2:$AG$33, MATCH(Table2[[#This Row],[AwayTeam]],Sheet5!$A$2:$A$33, 0), MATCH(Table2[[#This Row],[HomeTeam]],Sheet5!$A$2:$A$33, 0))</f>
        <v>0-0-0</v>
      </c>
      <c r="AP234" s="2" t="str">
        <f>INDEX(Sheet5!$B$2:$AG$33, MATCH(Table2[[#This Row],[HomeTeam]],Sheet5!$A$2:$A$33, 0), MATCH(Table2[[#This Row],[AwayTeam]],Sheet5!$A$2:$A$33, 0))</f>
        <v>0-0-0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/>
      <c r="AV234" s="2"/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45">
        <f>IF(AND(Table2[[#This Row],[GameIsOver]]=1,Table2[[#This Row],[ActualHomeScore]]*Table2[[#This Row],[ActualAwayScore]]=0), 1,0)</f>
        <v>0</v>
      </c>
      <c r="AA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5" s="2" t="str">
        <f>INDEX(Sheet5!$B$2:$AG$33, MATCH(Table2[[#This Row],[AwayTeam]],Sheet5!$A$2:$A$33, 0), MATCH(Table2[[#This Row],[HomeTeam]],Sheet5!$A$2:$A$33, 0))</f>
        <v>0-0-0</v>
      </c>
      <c r="AP235" s="2" t="str">
        <f>INDEX(Sheet5!$B$2:$AG$33, MATCH(Table2[[#This Row],[HomeTeam]],Sheet5!$A$2:$A$33, 0), MATCH(Table2[[#This Row],[AwayTeam]],Sheet5!$A$2:$A$33, 0))</f>
        <v>0-0-0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/>
      <c r="AV235" s="2"/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45">
        <f>IF(AND(Table2[[#This Row],[GameIsOver]]=1,Table2[[#This Row],[ActualHomeScore]]*Table2[[#This Row],[ActualAwayScore]]=0), 1,0)</f>
        <v>0</v>
      </c>
      <c r="AA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/>
      <c r="AV236" s="2"/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45">
        <f>IF(AND(Table2[[#This Row],[GameIsOver]]=1,Table2[[#This Row],[ActualHomeScore]]*Table2[[#This Row],[ActualAwayScore]]=0), 1,0)</f>
        <v>0</v>
      </c>
      <c r="AA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/>
      <c r="AV237" s="2"/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45">
        <f>IF(AND(Table2[[#This Row],[GameIsOver]]=1,Table2[[#This Row],[ActualHomeScore]]*Table2[[#This Row],[ActualAwayScore]]=0), 1,0)</f>
        <v>0</v>
      </c>
      <c r="AA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8" s="2" t="str">
        <f>INDEX(Sheet5!$B$2:$AG$33, MATCH(Table2[[#This Row],[AwayTeam]],Sheet5!$A$2:$A$33, 0), MATCH(Table2[[#This Row],[HomeTeam]],Sheet5!$A$2:$A$33, 0))</f>
        <v>0-0-0</v>
      </c>
      <c r="AP238" s="2" t="str">
        <f>INDEX(Sheet5!$B$2:$AG$33, MATCH(Table2[[#This Row],[HomeTeam]],Sheet5!$A$2:$A$33, 0), MATCH(Table2[[#This Row],[AwayTeam]],Sheet5!$A$2:$A$33, 0))</f>
        <v>0-0-0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/>
      <c r="AV238" s="2"/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45">
        <f>IF(AND(Table2[[#This Row],[GameIsOver]]=1,Table2[[#This Row],[ActualHomeScore]]*Table2[[#This Row],[ActualAwayScore]]=0), 1,0)</f>
        <v>0</v>
      </c>
      <c r="AA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/>
      <c r="AV239" s="2"/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45">
        <f>IF(AND(Table2[[#This Row],[GameIsOver]]=1,Table2[[#This Row],[ActualHomeScore]]*Table2[[#This Row],[ActualAwayScore]]=0), 1,0)</f>
        <v>0</v>
      </c>
      <c r="AA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/>
      <c r="AV240" s="2"/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45">
        <f>IF(AND(Table2[[#This Row],[GameIsOver]]=1,Table2[[#This Row],[ActualHomeScore]]*Table2[[#This Row],[ActualAwayScore]]=0), 1,0)</f>
        <v>0</v>
      </c>
      <c r="AA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/>
      <c r="AV241" s="2"/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45">
        <f>IF(AND(Table2[[#This Row],[GameIsOver]]=1,Table2[[#This Row],[ActualHomeScore]]*Table2[[#This Row],[ActualAwayScore]]=0), 1,0)</f>
        <v>0</v>
      </c>
      <c r="AA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/>
      <c r="AV242" s="2"/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45">
        <f>IF(AND(Table2[[#This Row],[GameIsOver]]=1,Table2[[#This Row],[ActualHomeScore]]*Table2[[#This Row],[ActualAwayScore]]=0), 1,0)</f>
        <v>0</v>
      </c>
      <c r="AA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/>
      <c r="AV243" s="2"/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45">
        <f>IF(AND(Table2[[#This Row],[GameIsOver]]=1,Table2[[#This Row],[ActualHomeScore]]*Table2[[#This Row],[ActualAwayScore]]=0), 1,0)</f>
        <v>0</v>
      </c>
      <c r="AA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/>
      <c r="AV244" s="2"/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45">
        <f>IF(AND(Table2[[#This Row],[GameIsOver]]=1,Table2[[#This Row],[ActualHomeScore]]*Table2[[#This Row],[ActualAwayScore]]=0), 1,0)</f>
        <v>0</v>
      </c>
      <c r="AA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/>
      <c r="AV245" s="2"/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45">
        <f>IF(AND(Table2[[#This Row],[GameIsOver]]=1,Table2[[#This Row],[ActualHomeScore]]*Table2[[#This Row],[ActualAwayScore]]=0), 1,0)</f>
        <v>0</v>
      </c>
      <c r="AA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/>
      <c r="AV246" s="2"/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45">
        <f>IF(AND(Table2[[#This Row],[GameIsOver]]=1,Table2[[#This Row],[ActualHomeScore]]*Table2[[#This Row],[ActualAwayScore]]=0), 1,0)</f>
        <v>0</v>
      </c>
      <c r="AA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7" s="2" t="str">
        <f>INDEX(Sheet5!$B$2:$AG$33, MATCH(Table2[[#This Row],[AwayTeam]],Sheet5!$A$2:$A$33, 0), MATCH(Table2[[#This Row],[HomeTeam]],Sheet5!$A$2:$A$33, 0))</f>
        <v>0-0-0</v>
      </c>
      <c r="AP247" s="2" t="str">
        <f>INDEX(Sheet5!$B$2:$AG$33, MATCH(Table2[[#This Row],[HomeTeam]],Sheet5!$A$2:$A$33, 0), MATCH(Table2[[#This Row],[AwayTeam]],Sheet5!$A$2:$A$33, 0))</f>
        <v>0-0-0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/>
      <c r="AV247" s="2"/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45">
        <f>IF(AND(Table2[[#This Row],[GameIsOver]]=1,Table2[[#This Row],[ActualHomeScore]]*Table2[[#This Row],[ActualAwayScore]]=0), 1,0)</f>
        <v>0</v>
      </c>
      <c r="AA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/>
      <c r="AV248" s="2"/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45">
        <f>IF(AND(Table2[[#This Row],[GameIsOver]]=1,Table2[[#This Row],[ActualHomeScore]]*Table2[[#This Row],[ActualAwayScore]]=0), 1,0)</f>
        <v>0</v>
      </c>
      <c r="AA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/>
      <c r="AV249" s="2"/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45">
        <f>IF(AND(Table2[[#This Row],[GameIsOver]]=1,Table2[[#This Row],[ActualHomeScore]]*Table2[[#This Row],[ActualAwayScore]]=0), 1,0)</f>
        <v>0</v>
      </c>
      <c r="AA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/>
      <c r="AV250" s="2"/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45">
        <f>IF(AND(Table2[[#This Row],[GameIsOver]]=1,Table2[[#This Row],[ActualHomeScore]]*Table2[[#This Row],[ActualAwayScore]]=0), 1,0)</f>
        <v>0</v>
      </c>
      <c r="AA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/>
      <c r="AV251" s="2"/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45">
        <f>IF(AND(Table2[[#This Row],[GameIsOver]]=1,Table2[[#This Row],[ActualHomeScore]]*Table2[[#This Row],[ActualAwayScore]]=0), 1,0)</f>
        <v>0</v>
      </c>
      <c r="AA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/>
      <c r="AV252" s="2"/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45">
        <f>IF(AND(Table2[[#This Row],[GameIsOver]]=1,Table2[[#This Row],[ActualHomeScore]]*Table2[[#This Row],[ActualAwayScore]]=0), 1,0)</f>
        <v>0</v>
      </c>
      <c r="AA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/>
      <c r="AV253" s="2"/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45">
        <f>IF(AND(Table2[[#This Row],[GameIsOver]]=1,Table2[[#This Row],[ActualHomeScore]]*Table2[[#This Row],[ActualAwayScore]]=0), 1,0)</f>
        <v>0</v>
      </c>
      <c r="AA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/>
      <c r="AV254" s="2"/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45">
        <f>IF(AND(Table2[[#This Row],[GameIsOver]]=1,Table2[[#This Row],[ActualHomeScore]]*Table2[[#This Row],[ActualAwayScore]]=0), 1,0)</f>
        <v>0</v>
      </c>
      <c r="AA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/>
      <c r="AV255" s="2"/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45">
        <f>IF(AND(Table2[[#This Row],[GameIsOver]]=1,Table2[[#This Row],[ActualHomeScore]]*Table2[[#This Row],[ActualAwayScore]]=0), 1,0)</f>
        <v>0</v>
      </c>
      <c r="AA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/>
      <c r="AV256" s="2"/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45">
        <f>IF(AND(Table2[[#This Row],[GameIsOver]]=1,Table2[[#This Row],[ActualHomeScore]]*Table2[[#This Row],[ActualAwayScore]]=0), 1,0)</f>
        <v>0</v>
      </c>
      <c r="AA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7" s="2" t="str">
        <f>INDEX(Sheet5!$B$2:$AG$33, MATCH(Table2[[#This Row],[AwayTeam]],Sheet5!$A$2:$A$33, 0), MATCH(Table2[[#This Row],[HomeTeam]],Sheet5!$A$2:$A$33, 0))</f>
        <v>0-0-0</v>
      </c>
      <c r="AP257" s="2" t="str">
        <f>INDEX(Sheet5!$B$2:$AG$33, MATCH(Table2[[#This Row],[HomeTeam]],Sheet5!$A$2:$A$33, 0), MATCH(Table2[[#This Row],[AwayTeam]],Sheet5!$A$2:$A$33, 0))</f>
        <v>0-0-0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/>
      <c r="AV257" s="2"/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45">
        <f>IF(AND(Table2[[#This Row],[GameIsOver]]=1,Table2[[#This Row],[ActualHomeScore]]*Table2[[#This Row],[ActualAwayScore]]=0), 1,0)</f>
        <v>0</v>
      </c>
      <c r="AA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/>
      <c r="AV258" s="2"/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45">
        <f>IF(AND(Table2[[#This Row],[GameIsOver]]=1,Table2[[#This Row],[ActualHomeScore]]*Table2[[#This Row],[ActualAwayScore]]=0), 1,0)</f>
        <v>0</v>
      </c>
      <c r="AA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/>
      <c r="AV259" s="2"/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45">
        <f>IF(AND(Table2[[#This Row],[GameIsOver]]=1,Table2[[#This Row],[ActualHomeScore]]*Table2[[#This Row],[ActualAwayScore]]=0), 1,0)</f>
        <v>0</v>
      </c>
      <c r="AA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/>
      <c r="AV260" s="2"/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45">
        <f>IF(AND(Table2[[#This Row],[GameIsOver]]=1,Table2[[#This Row],[ActualHomeScore]]*Table2[[#This Row],[ActualAwayScore]]=0), 1,0)</f>
        <v>0</v>
      </c>
      <c r="AA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/>
      <c r="AV261" s="2"/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45">
        <f>IF(AND(Table2[[#This Row],[GameIsOver]]=1,Table2[[#This Row],[ActualHomeScore]]*Table2[[#This Row],[ActualAwayScore]]=0), 1,0)</f>
        <v>0</v>
      </c>
      <c r="AA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_xlfn.TEXTJOIN(";", 1, $BD$31:$BD$40)), 0) &gt; 0, 1, 0) + IF(IFERROR(FIND(Table2[[#This Row],[HomeTeam]], _xlfn.TEXTJOIN(";", 1, $BD$31:$BD$40)), 0) &gt; 0, 1, 0)</f>
        <v>1</v>
      </c>
      <c r="AO262" s="2" t="str">
        <f>INDEX(Sheet5!$B$2:$AG$33, MATCH(Table2[[#This Row],[AwayTeam]],Sheet5!$A$2:$A$33, 0), MATCH(Table2[[#This Row],[HomeTeam]],Sheet5!$A$2:$A$33, 0))</f>
        <v>0-0-0</v>
      </c>
      <c r="AP262" s="2" t="str">
        <f>INDEX(Sheet5!$B$2:$AG$33, MATCH(Table2[[#This Row],[HomeTeam]],Sheet5!$A$2:$A$33, 0), MATCH(Table2[[#This Row],[AwayTeam]],Sheet5!$A$2:$A$33, 0))</f>
        <v>0-0-0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/>
      <c r="AV262" s="2"/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45">
        <f>IF(AND(Table2[[#This Row],[GameIsOver]]=1,Table2[[#This Row],[ActualHomeScore]]*Table2[[#This Row],[ActualAwayScore]]=0), 1,0)</f>
        <v>0</v>
      </c>
      <c r="AA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3" s="2" t="str">
        <f>INDEX(Sheet5!$B$2:$AG$33, MATCH(Table2[[#This Row],[AwayTeam]],Sheet5!$A$2:$A$33, 0), MATCH(Table2[[#This Row],[HomeTeam]],Sheet5!$A$2:$A$33, 0))</f>
        <v>0-0-0</v>
      </c>
      <c r="AP263" s="2" t="str">
        <f>INDEX(Sheet5!$B$2:$AG$33, MATCH(Table2[[#This Row],[HomeTeam]],Sheet5!$A$2:$A$33, 0), MATCH(Table2[[#This Row],[AwayTeam]],Sheet5!$A$2:$A$33, 0))</f>
        <v>0-0-0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/>
      <c r="AV263" s="2"/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45">
        <f>IF(AND(Table2[[#This Row],[GameIsOver]]=1,Table2[[#This Row],[ActualHomeScore]]*Table2[[#This Row],[ActualAwayScore]]=0), 1,0)</f>
        <v>0</v>
      </c>
      <c r="AA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/>
      <c r="AV264" s="2"/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45">
        <f>IF(AND(Table2[[#This Row],[GameIsOver]]=1,Table2[[#This Row],[ActualHomeScore]]*Table2[[#This Row],[ActualAwayScore]]=0), 1,0)</f>
        <v>0</v>
      </c>
      <c r="AA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/>
      <c r="AV265" s="2"/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45">
        <f>IF(AND(Table2[[#This Row],[GameIsOver]]=1,Table2[[#This Row],[ActualHomeScore]]*Table2[[#This Row],[ActualAwayScore]]=0), 1,0)</f>
        <v>0</v>
      </c>
      <c r="AA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/>
      <c r="AV266" s="2"/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45">
        <f>IF(AND(Table2[[#This Row],[GameIsOver]]=1,Table2[[#This Row],[ActualHomeScore]]*Table2[[#This Row],[ActualAwayScore]]=0), 1,0)</f>
        <v>0</v>
      </c>
      <c r="AA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/>
      <c r="AV267" s="2"/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45">
        <f>IF(AND(Table2[[#This Row],[GameIsOver]]=1,Table2[[#This Row],[ActualHomeScore]]*Table2[[#This Row],[ActualAwayScore]]=0), 1,0)</f>
        <v>0</v>
      </c>
      <c r="AA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/>
      <c r="AV268" s="2"/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45">
        <f>IF(AND(Table2[[#This Row],[GameIsOver]]=1,Table2[[#This Row],[ActualHomeScore]]*Table2[[#This Row],[ActualAwayScore]]=0), 1,0)</f>
        <v>0</v>
      </c>
      <c r="AA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/>
      <c r="AV269" s="2"/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45">
        <f>IF(AND(Table2[[#This Row],[GameIsOver]]=1,Table2[[#This Row],[ActualHomeScore]]*Table2[[#This Row],[ActualAwayScore]]=0), 1,0)</f>
        <v>0</v>
      </c>
      <c r="AA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/>
      <c r="AV270" s="2"/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45">
        <f>IF(AND(Table2[[#This Row],[GameIsOver]]=1,Table2[[#This Row],[ActualHomeScore]]*Table2[[#This Row],[ActualAwayScore]]=0), 1,0)</f>
        <v>0</v>
      </c>
      <c r="AA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/>
      <c r="AV271" s="2"/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45">
        <f>IF(AND(Table2[[#This Row],[GameIsOver]]=1,Table2[[#This Row],[ActualHomeScore]]*Table2[[#This Row],[ActualAwayScore]]=0), 1,0)</f>
        <v>0</v>
      </c>
      <c r="AA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/>
      <c r="AV272" s="2"/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45">
        <f>IF(AND(Table2[[#This Row],[GameIsOver]]=1,Table2[[#This Row],[ActualHomeScore]]*Table2[[#This Row],[ActualAwayScore]]=0), 1,0)</f>
        <v>0</v>
      </c>
      <c r="AA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3" s="2" t="str">
        <f>INDEX(Sheet5!$B$2:$AG$33, MATCH(Table2[[#This Row],[AwayTeam]],Sheet5!$A$2:$A$33, 0), MATCH(Table2[[#This Row],[HomeTeam]],Sheet5!$A$2:$A$33, 0))</f>
        <v>0-0-0</v>
      </c>
      <c r="AP273" s="2" t="str">
        <f>INDEX(Sheet5!$B$2:$AG$33, MATCH(Table2[[#This Row],[HomeTeam]],Sheet5!$A$2:$A$33, 0), MATCH(Table2[[#This Row],[AwayTeam]],Sheet5!$A$2:$A$33, 0))</f>
        <v>0-0-0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/>
      <c r="AV273" s="2"/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45">
        <f>IF(AND(Table2[[#This Row],[GameIsOver]]=1,Table2[[#This Row],[ActualHomeScore]]*Table2[[#This Row],[ActualAwayScore]]=0), 1,0)</f>
        <v>0</v>
      </c>
      <c r="AA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/>
      <c r="AV274" s="2"/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45">
        <f>IF(AND(Table2[[#This Row],[GameIsOver]]=1,Table2[[#This Row],[ActualHomeScore]]*Table2[[#This Row],[ActualAwayScore]]=0), 1,0)</f>
        <v>0</v>
      </c>
      <c r="AA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/>
      <c r="AV275" s="2"/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45">
        <f>IF(AND(Table2[[#This Row],[GameIsOver]]=1,Table2[[#This Row],[ActualHomeScore]]*Table2[[#This Row],[ActualAwayScore]]=0), 1,0)</f>
        <v>0</v>
      </c>
      <c r="AA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/>
      <c r="AV276" s="2"/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45">
        <f>IF(AND(Table2[[#This Row],[GameIsOver]]=1,Table2[[#This Row],[ActualHomeScore]]*Table2[[#This Row],[ActualAwayScore]]=0), 1,0)</f>
        <v>0</v>
      </c>
      <c r="AA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7" s="2" t="str">
        <f>INDEX(Sheet5!$B$2:$AG$33, MATCH(Table2[[#This Row],[AwayTeam]],Sheet5!$A$2:$A$33, 0), MATCH(Table2[[#This Row],[HomeTeam]],Sheet5!$A$2:$A$33, 0))</f>
        <v>0-0-0</v>
      </c>
      <c r="AP277" s="2" t="str">
        <f>INDEX(Sheet5!$B$2:$AG$33, MATCH(Table2[[#This Row],[HomeTeam]],Sheet5!$A$2:$A$33, 0), MATCH(Table2[[#This Row],[AwayTeam]],Sheet5!$A$2:$A$33, 0))</f>
        <v>0-0-0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/>
      <c r="AV277" s="2"/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45">
        <f>IF(AND(Table2[[#This Row],[GameIsOver]]=1,Table2[[#This Row],[ActualHomeScore]]*Table2[[#This Row],[ActualAwayScore]]=0), 1,0)</f>
        <v>0</v>
      </c>
      <c r="AA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/>
      <c r="AV278" s="2"/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45">
        <f>IF(AND(Table2[[#This Row],[GameIsOver]]=1,Table2[[#This Row],[ActualHomeScore]]*Table2[[#This Row],[ActualAwayScore]]=0), 1,0)</f>
        <v>0</v>
      </c>
      <c r="AA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/>
      <c r="AV279" s="2"/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45">
        <f>IF(AND(Table2[[#This Row],[GameIsOver]]=1,Table2[[#This Row],[ActualHomeScore]]*Table2[[#This Row],[ActualAwayScore]]=0), 1,0)</f>
        <v>0</v>
      </c>
      <c r="AA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0" s="2" t="str">
        <f>INDEX(Sheet5!$B$2:$AG$33, MATCH(Table2[[#This Row],[AwayTeam]],Sheet5!$A$2:$A$33, 0), MATCH(Table2[[#This Row],[HomeTeam]],Sheet5!$A$2:$A$33, 0))</f>
        <v>0-0-0</v>
      </c>
      <c r="AP280" s="2" t="str">
        <f>INDEX(Sheet5!$B$2:$AG$33, MATCH(Table2[[#This Row],[HomeTeam]],Sheet5!$A$2:$A$33, 0), MATCH(Table2[[#This Row],[AwayTeam]],Sheet5!$A$2:$A$33, 0))</f>
        <v>0-0-0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/>
      <c r="AV280" s="2"/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45">
        <f>IF(AND(Table2[[#This Row],[GameIsOver]]=1,Table2[[#This Row],[ActualHomeScore]]*Table2[[#This Row],[ActualAwayScore]]=0), 1,0)</f>
        <v>0</v>
      </c>
      <c r="AA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/>
      <c r="AV281" s="2"/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45">
        <f>IF(AND(Table2[[#This Row],[GameIsOver]]=1,Table2[[#This Row],[ActualHomeScore]]*Table2[[#This Row],[ActualAwayScore]]=0), 1,0)</f>
        <v>0</v>
      </c>
      <c r="AA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/>
      <c r="AV282" s="2"/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45">
        <f>IF(AND(Table2[[#This Row],[GameIsOver]]=1,Table2[[#This Row],[ActualHomeScore]]*Table2[[#This Row],[ActualAwayScore]]=0), 1,0)</f>
        <v>0</v>
      </c>
      <c r="AA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/>
      <c r="AV283" s="2"/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45">
        <f>IF(AND(Table2[[#This Row],[GameIsOver]]=1,Table2[[#This Row],[ActualHomeScore]]*Table2[[#This Row],[ActualAwayScore]]=0), 1,0)</f>
        <v>0</v>
      </c>
      <c r="AA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/>
      <c r="AV284" s="2"/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45">
        <f>IF(AND(Table2[[#This Row],[GameIsOver]]=1,Table2[[#This Row],[ActualHomeScore]]*Table2[[#This Row],[ActualAwayScore]]=0), 1,0)</f>
        <v>0</v>
      </c>
      <c r="AA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/>
      <c r="AV285" s="2"/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45">
        <f>IF(AND(Table2[[#This Row],[GameIsOver]]=1,Table2[[#This Row],[ActualHomeScore]]*Table2[[#This Row],[ActualAwayScore]]=0), 1,0)</f>
        <v>0</v>
      </c>
      <c r="AA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/>
      <c r="AV286" s="2"/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45">
        <f>IF(AND(Table2[[#This Row],[GameIsOver]]=1,Table2[[#This Row],[ActualHomeScore]]*Table2[[#This Row],[ActualAwayScore]]=0), 1,0)</f>
        <v>0</v>
      </c>
      <c r="AA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/>
      <c r="AV287" s="2"/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45">
        <f>IF(AND(Table2[[#This Row],[GameIsOver]]=1,Table2[[#This Row],[ActualHomeScore]]*Table2[[#This Row],[ActualAwayScore]]=0), 1,0)</f>
        <v>0</v>
      </c>
      <c r="AA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/>
      <c r="AV288" s="2"/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45">
        <f>IF(AND(Table2[[#This Row],[GameIsOver]]=1,Table2[[#This Row],[ActualHomeScore]]*Table2[[#This Row],[ActualAwayScore]]=0), 1,0)</f>
        <v>0</v>
      </c>
      <c r="AA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9" s="2" t="str">
        <f>INDEX(Sheet5!$B$2:$AG$33, MATCH(Table2[[#This Row],[AwayTeam]],Sheet5!$A$2:$A$33, 0), MATCH(Table2[[#This Row],[HomeTeam]],Sheet5!$A$2:$A$33, 0))</f>
        <v>0-0-0</v>
      </c>
      <c r="AP289" s="2" t="str">
        <f>INDEX(Sheet5!$B$2:$AG$33, MATCH(Table2[[#This Row],[HomeTeam]],Sheet5!$A$2:$A$33, 0), MATCH(Table2[[#This Row],[AwayTeam]],Sheet5!$A$2:$A$33, 0))</f>
        <v>0-0-0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/>
      <c r="AV289" s="2"/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45">
        <f>IF(AND(Table2[[#This Row],[GameIsOver]]=1,Table2[[#This Row],[ActualHomeScore]]*Table2[[#This Row],[ActualAwayScore]]=0), 1,0)</f>
        <v>0</v>
      </c>
      <c r="AA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/>
      <c r="AV290" s="2"/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45">
        <f>IF(AND(Table2[[#This Row],[GameIsOver]]=1,Table2[[#This Row],[ActualHomeScore]]*Table2[[#This Row],[ActualAwayScore]]=0), 1,0)</f>
        <v>0</v>
      </c>
      <c r="AA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/>
      <c r="AV291" s="2"/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45">
        <f>IF(AND(Table2[[#This Row],[GameIsOver]]=1,Table2[[#This Row],[ActualHomeScore]]*Table2[[#This Row],[ActualAwayScore]]=0), 1,0)</f>
        <v>0</v>
      </c>
      <c r="AA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/>
      <c r="AV292" s="2"/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45">
        <f>IF(AND(Table2[[#This Row],[GameIsOver]]=1,Table2[[#This Row],[ActualHomeScore]]*Table2[[#This Row],[ActualAwayScore]]=0), 1,0)</f>
        <v>0</v>
      </c>
      <c r="AA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/>
      <c r="AV293" s="2"/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45">
        <f>IF(AND(Table2[[#This Row],[GameIsOver]]=1,Table2[[#This Row],[ActualHomeScore]]*Table2[[#This Row],[ActualAwayScore]]=0), 1,0)</f>
        <v>0</v>
      </c>
      <c r="AA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/>
      <c r="AV294" s="2"/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45">
        <f>IF(AND(Table2[[#This Row],[GameIsOver]]=1,Table2[[#This Row],[ActualHomeScore]]*Table2[[#This Row],[ActualAwayScore]]=0), 1,0)</f>
        <v>0</v>
      </c>
      <c r="AA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/>
      <c r="AV295" s="2"/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45">
        <f>IF(AND(Table2[[#This Row],[GameIsOver]]=1,Table2[[#This Row],[ActualHomeScore]]*Table2[[#This Row],[ActualAwayScore]]=0), 1,0)</f>
        <v>0</v>
      </c>
      <c r="AA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_xlfn.TEXTJOIN(";", 1, $BD$31:$BD$40)), 0) &gt; 0, 1, 0) + IF(IFERROR(FIND(Table2[[#This Row],[HomeTeam]], _xlfn.TEXTJOIN(";", 1, $BD$31:$BD$40)), 0) &gt; 0, 1, 0)</f>
        <v>1</v>
      </c>
      <c r="AO296" s="2" t="str">
        <f>INDEX(Sheet5!$B$2:$AG$33, MATCH(Table2[[#This Row],[AwayTeam]],Sheet5!$A$2:$A$33, 0), MATCH(Table2[[#This Row],[HomeTeam]],Sheet5!$A$2:$A$33, 0))</f>
        <v>0-0-0</v>
      </c>
      <c r="AP296" s="2" t="str">
        <f>INDEX(Sheet5!$B$2:$AG$33, MATCH(Table2[[#This Row],[HomeTeam]],Sheet5!$A$2:$A$33, 0), MATCH(Table2[[#This Row],[AwayTeam]],Sheet5!$A$2:$A$33, 0))</f>
        <v>0-0-0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/>
      <c r="AV296" s="2"/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45">
        <f>IF(AND(Table2[[#This Row],[GameIsOver]]=1,Table2[[#This Row],[ActualHomeScore]]*Table2[[#This Row],[ActualAwayScore]]=0), 1,0)</f>
        <v>0</v>
      </c>
      <c r="AA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/>
      <c r="AV297" s="2"/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45">
        <f>IF(AND(Table2[[#This Row],[GameIsOver]]=1,Table2[[#This Row],[ActualHomeScore]]*Table2[[#This Row],[ActualAwayScore]]=0), 1,0)</f>
        <v>0</v>
      </c>
      <c r="AA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/>
      <c r="AV298" s="2"/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45">
        <f>IF(AND(Table2[[#This Row],[GameIsOver]]=1,Table2[[#This Row],[ActualHomeScore]]*Table2[[#This Row],[ActualAwayScore]]=0), 1,0)</f>
        <v>0</v>
      </c>
      <c r="AA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/>
      <c r="AV299" s="2"/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45">
        <f>IF(AND(Table2[[#This Row],[GameIsOver]]=1,Table2[[#This Row],[ActualHomeScore]]*Table2[[#This Row],[ActualAwayScore]]=0), 1,0)</f>
        <v>0</v>
      </c>
      <c r="AA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/>
      <c r="AV300" s="2"/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45">
        <f>IF(AND(Table2[[#This Row],[GameIsOver]]=1,Table2[[#This Row],[ActualHomeScore]]*Table2[[#This Row],[ActualAwayScore]]=0), 1,0)</f>
        <v>0</v>
      </c>
      <c r="AA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/>
      <c r="AV301" s="2"/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45">
        <f>IF(AND(Table2[[#This Row],[GameIsOver]]=1,Table2[[#This Row],[ActualHomeScore]]*Table2[[#This Row],[ActualAwayScore]]=0), 1,0)</f>
        <v>0</v>
      </c>
      <c r="AA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/>
      <c r="AV302" s="2"/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45">
        <f>IF(AND(Table2[[#This Row],[GameIsOver]]=1,Table2[[#This Row],[ActualHomeScore]]*Table2[[#This Row],[ActualAwayScore]]=0), 1,0)</f>
        <v>0</v>
      </c>
      <c r="AA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/>
      <c r="AV303" s="2"/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45">
        <f>IF(AND(Table2[[#This Row],[GameIsOver]]=1,Table2[[#This Row],[ActualHomeScore]]*Table2[[#This Row],[ActualAwayScore]]=0), 1,0)</f>
        <v>0</v>
      </c>
      <c r="AA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/>
      <c r="AV304" s="2"/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45">
        <f>IF(AND(Table2[[#This Row],[GameIsOver]]=1,Table2[[#This Row],[ActualHomeScore]]*Table2[[#This Row],[ActualAwayScore]]=0), 1,0)</f>
        <v>0</v>
      </c>
      <c r="AA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/>
      <c r="AV305" s="2"/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45">
        <f>IF(AND(Table2[[#This Row],[GameIsOver]]=1,Table2[[#This Row],[ActualHomeScore]]*Table2[[#This Row],[ActualAwayScore]]=0), 1,0)</f>
        <v>0</v>
      </c>
      <c r="AA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/>
      <c r="AV306" s="2"/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45">
        <f>IF(AND(Table2[[#This Row],[GameIsOver]]=1,Table2[[#This Row],[ActualHomeScore]]*Table2[[#This Row],[ActualAwayScore]]=0), 1,0)</f>
        <v>0</v>
      </c>
      <c r="AA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/>
      <c r="AV307" s="2"/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45">
        <f>IF(AND(Table2[[#This Row],[GameIsOver]]=1,Table2[[#This Row],[ActualHomeScore]]*Table2[[#This Row],[ActualAwayScore]]=0), 1,0)</f>
        <v>0</v>
      </c>
      <c r="AA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/>
      <c r="AV308" s="2"/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45">
        <f>IF(AND(Table2[[#This Row],[GameIsOver]]=1,Table2[[#This Row],[ActualHomeScore]]*Table2[[#This Row],[ActualAwayScore]]=0), 1,0)</f>
        <v>0</v>
      </c>
      <c r="AA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/>
      <c r="AV309" s="2"/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45">
        <f>IF(AND(Table2[[#This Row],[GameIsOver]]=1,Table2[[#This Row],[ActualHomeScore]]*Table2[[#This Row],[ActualAwayScore]]=0), 1,0)</f>
        <v>0</v>
      </c>
      <c r="AA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/>
      <c r="AV310" s="2"/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45">
        <f>IF(AND(Table2[[#This Row],[GameIsOver]]=1,Table2[[#This Row],[ActualHomeScore]]*Table2[[#This Row],[ActualAwayScore]]=0), 1,0)</f>
        <v>0</v>
      </c>
      <c r="AA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1" s="2" t="str">
        <f>INDEX(Sheet5!$B$2:$AG$33, MATCH(Table2[[#This Row],[AwayTeam]],Sheet5!$A$2:$A$33, 0), MATCH(Table2[[#This Row],[HomeTeam]],Sheet5!$A$2:$A$33, 0))</f>
        <v>0-0-0</v>
      </c>
      <c r="AP311" s="2" t="str">
        <f>INDEX(Sheet5!$B$2:$AG$33, MATCH(Table2[[#This Row],[HomeTeam]],Sheet5!$A$2:$A$33, 0), MATCH(Table2[[#This Row],[AwayTeam]],Sheet5!$A$2:$A$33, 0))</f>
        <v>0-0-0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/>
      <c r="AV311" s="2"/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45">
        <f>IF(AND(Table2[[#This Row],[GameIsOver]]=1,Table2[[#This Row],[ActualHomeScore]]*Table2[[#This Row],[ActualAwayScore]]=0), 1,0)</f>
        <v>0</v>
      </c>
      <c r="AA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/>
      <c r="AV312" s="2"/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45">
        <f>IF(AND(Table2[[#This Row],[GameIsOver]]=1,Table2[[#This Row],[ActualHomeScore]]*Table2[[#This Row],[ActualAwayScore]]=0), 1,0)</f>
        <v>0</v>
      </c>
      <c r="AA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/>
      <c r="AV313" s="2"/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45">
        <f>IF(AND(Table2[[#This Row],[GameIsOver]]=1,Table2[[#This Row],[ActualHomeScore]]*Table2[[#This Row],[ActualAwayScore]]=0), 1,0)</f>
        <v>0</v>
      </c>
      <c r="AA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/>
      <c r="AV314" s="2"/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45">
        <f>IF(AND(Table2[[#This Row],[GameIsOver]]=1,Table2[[#This Row],[ActualHomeScore]]*Table2[[#This Row],[ActualAwayScore]]=0), 1,0)</f>
        <v>0</v>
      </c>
      <c r="AA3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/>
      <c r="AV315" s="2"/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45">
        <f>IF(AND(Table2[[#This Row],[GameIsOver]]=1,Table2[[#This Row],[ActualHomeScore]]*Table2[[#This Row],[ActualAwayScore]]=0), 1,0)</f>
        <v>0</v>
      </c>
      <c r="AA3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6" s="2" t="str">
        <f>INDEX(Sheet5!$B$2:$AG$33, MATCH(Table2[[#This Row],[AwayTeam]],Sheet5!$A$2:$A$33, 0), MATCH(Table2[[#This Row],[HomeTeam]],Sheet5!$A$2:$A$33, 0))</f>
        <v>0-0-0</v>
      </c>
      <c r="AP316" s="2" t="str">
        <f>INDEX(Sheet5!$B$2:$AG$33, MATCH(Table2[[#This Row],[HomeTeam]],Sheet5!$A$2:$A$33, 0), MATCH(Table2[[#This Row],[AwayTeam]],Sheet5!$A$2:$A$33, 0))</f>
        <v>0-0-0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/>
      <c r="AV316" s="2"/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45">
        <f>IF(AND(Table2[[#This Row],[GameIsOver]]=1,Table2[[#This Row],[ActualHomeScore]]*Table2[[#This Row],[ActualAwayScore]]=0), 1,0)</f>
        <v>0</v>
      </c>
      <c r="AA3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/>
      <c r="AV317" s="2"/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45">
        <f>IF(AND(Table2[[#This Row],[GameIsOver]]=1,Table2[[#This Row],[ActualHomeScore]]*Table2[[#This Row],[ActualAwayScore]]=0), 1,0)</f>
        <v>0</v>
      </c>
      <c r="AA3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/>
      <c r="AV318" s="2"/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45">
        <f>IF(AND(Table2[[#This Row],[GameIsOver]]=1,Table2[[#This Row],[ActualHomeScore]]*Table2[[#This Row],[ActualAwayScore]]=0), 1,0)</f>
        <v>0</v>
      </c>
      <c r="AA3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/>
      <c r="AV319" s="2"/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45">
        <f>IF(AND(Table2[[#This Row],[GameIsOver]]=1,Table2[[#This Row],[ActualHomeScore]]*Table2[[#This Row],[ActualAwayScore]]=0), 1,0)</f>
        <v>0</v>
      </c>
      <c r="AA3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0" s="2" t="str">
        <f>INDEX(Sheet5!$B$2:$AG$33, MATCH(Table2[[#This Row],[AwayTeam]],Sheet5!$A$2:$A$33, 0), MATCH(Table2[[#This Row],[HomeTeam]],Sheet5!$A$2:$A$33, 0))</f>
        <v>0-0-0</v>
      </c>
      <c r="AP320" s="2" t="str">
        <f>INDEX(Sheet5!$B$2:$AG$33, MATCH(Table2[[#This Row],[HomeTeam]],Sheet5!$A$2:$A$33, 0), MATCH(Table2[[#This Row],[AwayTeam]],Sheet5!$A$2:$A$33, 0))</f>
        <v>0-0-0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/>
      <c r="AV320" s="2"/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45">
        <f>IF(AND(Table2[[#This Row],[GameIsOver]]=1,Table2[[#This Row],[ActualHomeScore]]*Table2[[#This Row],[ActualAwayScore]]=0), 1,0)</f>
        <v>0</v>
      </c>
      <c r="AA3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1" s="2" t="str">
        <f>INDEX(Sheet5!$B$2:$AG$33, MATCH(Table2[[#This Row],[AwayTeam]],Sheet5!$A$2:$A$33, 0), MATCH(Table2[[#This Row],[HomeTeam]],Sheet5!$A$2:$A$33, 0))</f>
        <v>0-0-0</v>
      </c>
      <c r="AP321" s="2" t="str">
        <f>INDEX(Sheet5!$B$2:$AG$33, MATCH(Table2[[#This Row],[HomeTeam]],Sheet5!$A$2:$A$33, 0), MATCH(Table2[[#This Row],[AwayTeam]],Sheet5!$A$2:$A$33, 0))</f>
        <v>0-0-0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/>
      <c r="AV321" s="2"/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45">
        <f>IF(AND(Table2[[#This Row],[GameIsOver]]=1,Table2[[#This Row],[ActualHomeScore]]*Table2[[#This Row],[ActualAwayScore]]=0), 1,0)</f>
        <v>0</v>
      </c>
      <c r="AA3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/>
      <c r="AV322" s="2"/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45">
        <f>IF(AND(Table2[[#This Row],[GameIsOver]]=1,Table2[[#This Row],[ActualHomeScore]]*Table2[[#This Row],[ActualAwayScore]]=0), 1,0)</f>
        <v>0</v>
      </c>
      <c r="AA3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3" s="2" t="str">
        <f>INDEX(Sheet5!$B$2:$AG$33, MATCH(Table2[[#This Row],[AwayTeam]],Sheet5!$A$2:$A$33, 0), MATCH(Table2[[#This Row],[HomeTeam]],Sheet5!$A$2:$A$33, 0))</f>
        <v>0-0-0</v>
      </c>
      <c r="AP323" s="2" t="str">
        <f>INDEX(Sheet5!$B$2:$AG$33, MATCH(Table2[[#This Row],[HomeTeam]],Sheet5!$A$2:$A$33, 0), MATCH(Table2[[#This Row],[AwayTeam]],Sheet5!$A$2:$A$33, 0))</f>
        <v>0-0-0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/>
      <c r="AV323" s="2"/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45">
        <f>IF(AND(Table2[[#This Row],[GameIsOver]]=1,Table2[[#This Row],[ActualHomeScore]]*Table2[[#This Row],[ActualAwayScore]]=0), 1,0)</f>
        <v>0</v>
      </c>
      <c r="AA3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/>
      <c r="AV324" s="2"/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45">
        <f>IF(AND(Table2[[#This Row],[GameIsOver]]=1,Table2[[#This Row],[ActualHomeScore]]*Table2[[#This Row],[ActualAwayScore]]=0), 1,0)</f>
        <v>0</v>
      </c>
      <c r="AA3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5" s="2" t="str">
        <f>INDEX(Sheet5!$B$2:$AG$33, MATCH(Table2[[#This Row],[AwayTeam]],Sheet5!$A$2:$A$33, 0), MATCH(Table2[[#This Row],[HomeTeam]],Sheet5!$A$2:$A$33, 0))</f>
        <v>0-0-0</v>
      </c>
      <c r="AP325" s="2" t="str">
        <f>INDEX(Sheet5!$B$2:$AG$33, MATCH(Table2[[#This Row],[HomeTeam]],Sheet5!$A$2:$A$33, 0), MATCH(Table2[[#This Row],[AwayTeam]],Sheet5!$A$2:$A$33, 0))</f>
        <v>0-0-0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/>
      <c r="AV325" s="2"/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45">
        <f>IF(AND(Table2[[#This Row],[GameIsOver]]=1,Table2[[#This Row],[ActualHomeScore]]*Table2[[#This Row],[ActualAwayScore]]=0), 1,0)</f>
        <v>0</v>
      </c>
      <c r="AA3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/>
      <c r="AV326" s="2"/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45">
        <f>IF(AND(Table2[[#This Row],[GameIsOver]]=1,Table2[[#This Row],[ActualHomeScore]]*Table2[[#This Row],[ActualAwayScore]]=0), 1,0)</f>
        <v>0</v>
      </c>
      <c r="AA3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/>
      <c r="AV327" s="2"/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45">
        <f>IF(AND(Table2[[#This Row],[GameIsOver]]=1,Table2[[#This Row],[ActualHomeScore]]*Table2[[#This Row],[ActualAwayScore]]=0), 1,0)</f>
        <v>0</v>
      </c>
      <c r="AA3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/>
      <c r="AV328" s="2"/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45">
        <f>IF(AND(Table2[[#This Row],[GameIsOver]]=1,Table2[[#This Row],[ActualHomeScore]]*Table2[[#This Row],[ActualAwayScore]]=0), 1,0)</f>
        <v>0</v>
      </c>
      <c r="AA3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/>
      <c r="AV329" s="2"/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45">
        <f>IF(AND(Table2[[#This Row],[GameIsOver]]=1,Table2[[#This Row],[ActualHomeScore]]*Table2[[#This Row],[ActualAwayScore]]=0), 1,0)</f>
        <v>0</v>
      </c>
      <c r="AA3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0" s="2" t="str">
        <f>INDEX(Sheet5!$B$2:$AG$33, MATCH(Table2[[#This Row],[AwayTeam]],Sheet5!$A$2:$A$33, 0), MATCH(Table2[[#This Row],[HomeTeam]],Sheet5!$A$2:$A$33, 0))</f>
        <v>0-0-0</v>
      </c>
      <c r="AP330" s="2" t="str">
        <f>INDEX(Sheet5!$B$2:$AG$33, MATCH(Table2[[#This Row],[HomeTeam]],Sheet5!$A$2:$A$33, 0), MATCH(Table2[[#This Row],[AwayTeam]],Sheet5!$A$2:$A$33, 0))</f>
        <v>0-0-0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/>
      <c r="AV330" s="2"/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45">
        <f>IF(AND(Table2[[#This Row],[GameIsOver]]=1,Table2[[#This Row],[ActualHomeScore]]*Table2[[#This Row],[ActualAwayScore]]=0), 1,0)</f>
        <v>0</v>
      </c>
      <c r="AA3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/>
      <c r="AV331" s="2"/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45">
        <f>IF(AND(Table2[[#This Row],[GameIsOver]]=1,Table2[[#This Row],[ActualHomeScore]]*Table2[[#This Row],[ActualAwayScore]]=0), 1,0)</f>
        <v>0</v>
      </c>
      <c r="AA3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2" s="2" t="str">
        <f>INDEX(Sheet5!$B$2:$AG$33, MATCH(Table2[[#This Row],[AwayTeam]],Sheet5!$A$2:$A$33, 0), MATCH(Table2[[#This Row],[HomeTeam]],Sheet5!$A$2:$A$33, 0))</f>
        <v>0-0-0</v>
      </c>
      <c r="AP332" s="2" t="str">
        <f>INDEX(Sheet5!$B$2:$AG$33, MATCH(Table2[[#This Row],[HomeTeam]],Sheet5!$A$2:$A$33, 0), MATCH(Table2[[#This Row],[AwayTeam]],Sheet5!$A$2:$A$33, 0))</f>
        <v>0-0-0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/>
      <c r="AV332" s="2"/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45">
        <f>IF(AND(Table2[[#This Row],[GameIsOver]]=1,Table2[[#This Row],[ActualHomeScore]]*Table2[[#This Row],[ActualAwayScore]]=0), 1,0)</f>
        <v>0</v>
      </c>
      <c r="AA3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/>
      <c r="AV333" s="2"/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45">
        <f>IF(AND(Table2[[#This Row],[GameIsOver]]=1,Table2[[#This Row],[ActualHomeScore]]*Table2[[#This Row],[ActualAwayScore]]=0), 1,0)</f>
        <v>0</v>
      </c>
      <c r="AA3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/>
      <c r="AV334" s="2"/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45">
        <f>IF(AND(Table2[[#This Row],[GameIsOver]]=1,Table2[[#This Row],[ActualHomeScore]]*Table2[[#This Row],[ActualAwayScore]]=0), 1,0)</f>
        <v>0</v>
      </c>
      <c r="AA3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/>
      <c r="AV335" s="2"/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45">
        <f>IF(AND(Table2[[#This Row],[GameIsOver]]=1,Table2[[#This Row],[ActualHomeScore]]*Table2[[#This Row],[ActualAwayScore]]=0), 1,0)</f>
        <v>0</v>
      </c>
      <c r="AA3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/>
      <c r="AV336" s="2"/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45">
        <f>IF(AND(Table2[[#This Row],[GameIsOver]]=1,Table2[[#This Row],[ActualHomeScore]]*Table2[[#This Row],[ActualAwayScore]]=0), 1,0)</f>
        <v>0</v>
      </c>
      <c r="AA3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/>
      <c r="AV337" s="2"/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45">
        <f>IF(AND(Table2[[#This Row],[GameIsOver]]=1,Table2[[#This Row],[ActualHomeScore]]*Table2[[#This Row],[ActualAwayScore]]=0), 1,0)</f>
        <v>0</v>
      </c>
      <c r="AA3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/>
      <c r="AV338" s="2"/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45">
        <f>IF(AND(Table2[[#This Row],[GameIsOver]]=1,Table2[[#This Row],[ActualHomeScore]]*Table2[[#This Row],[ActualAwayScore]]=0), 1,0)</f>
        <v>0</v>
      </c>
      <c r="AA3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/>
      <c r="AV339" s="2"/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45">
        <f>IF(AND(Table2[[#This Row],[GameIsOver]]=1,Table2[[#This Row],[ActualHomeScore]]*Table2[[#This Row],[ActualAwayScore]]=0), 1,0)</f>
        <v>0</v>
      </c>
      <c r="AA3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/>
      <c r="AV340" s="2"/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45">
        <f>IF(AND(Table2[[#This Row],[GameIsOver]]=1,Table2[[#This Row],[ActualHomeScore]]*Table2[[#This Row],[ActualAwayScore]]=0), 1,0)</f>
        <v>0</v>
      </c>
      <c r="AA3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/>
      <c r="AV341" s="2"/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45">
        <f>IF(AND(Table2[[#This Row],[GameIsOver]]=1,Table2[[#This Row],[ActualHomeScore]]*Table2[[#This Row],[ActualAwayScore]]=0), 1,0)</f>
        <v>0</v>
      </c>
      <c r="AA3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/>
      <c r="AV342" s="2"/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45">
        <f>IF(AND(Table2[[#This Row],[GameIsOver]]=1,Table2[[#This Row],[ActualHomeScore]]*Table2[[#This Row],[ActualAwayScore]]=0), 1,0)</f>
        <v>0</v>
      </c>
      <c r="AA3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3" s="2" t="str">
        <f>INDEX(Sheet5!$B$2:$AG$33, MATCH(Table2[[#This Row],[AwayTeam]],Sheet5!$A$2:$A$33, 0), MATCH(Table2[[#This Row],[HomeTeam]],Sheet5!$A$2:$A$33, 0))</f>
        <v>0-0-0</v>
      </c>
      <c r="AP343" s="2" t="str">
        <f>INDEX(Sheet5!$B$2:$AG$33, MATCH(Table2[[#This Row],[HomeTeam]],Sheet5!$A$2:$A$33, 0), MATCH(Table2[[#This Row],[AwayTeam]],Sheet5!$A$2:$A$33, 0))</f>
        <v>0-0-0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/>
      <c r="AV343" s="2"/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45">
        <f>IF(AND(Table2[[#This Row],[GameIsOver]]=1,Table2[[#This Row],[ActualHomeScore]]*Table2[[#This Row],[ActualAwayScore]]=0), 1,0)</f>
        <v>0</v>
      </c>
      <c r="AA3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/>
      <c r="AV344" s="2"/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45">
        <f>IF(AND(Table2[[#This Row],[GameIsOver]]=1,Table2[[#This Row],[ActualHomeScore]]*Table2[[#This Row],[ActualAwayScore]]=0), 1,0)</f>
        <v>0</v>
      </c>
      <c r="AA3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/>
      <c r="AV345" s="2"/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45">
        <f>IF(AND(Table2[[#This Row],[GameIsOver]]=1,Table2[[#This Row],[ActualHomeScore]]*Table2[[#This Row],[ActualAwayScore]]=0), 1,0)</f>
        <v>0</v>
      </c>
      <c r="AA3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/>
      <c r="AV346" s="2"/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45">
        <f>IF(AND(Table2[[#This Row],[GameIsOver]]=1,Table2[[#This Row],[ActualHomeScore]]*Table2[[#This Row],[ActualAwayScore]]=0), 1,0)</f>
        <v>0</v>
      </c>
      <c r="AA3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/>
      <c r="AV347" s="2"/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45">
        <f>IF(AND(Table2[[#This Row],[GameIsOver]]=1,Table2[[#This Row],[ActualHomeScore]]*Table2[[#This Row],[ActualAwayScore]]=0), 1,0)</f>
        <v>0</v>
      </c>
      <c r="AA3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/>
      <c r="AV348" s="2"/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45">
        <f>IF(AND(Table2[[#This Row],[GameIsOver]]=1,Table2[[#This Row],[ActualHomeScore]]*Table2[[#This Row],[ActualAwayScore]]=0), 1,0)</f>
        <v>0</v>
      </c>
      <c r="AA3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/>
      <c r="AV349" s="2"/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45">
        <f>IF(AND(Table2[[#This Row],[GameIsOver]]=1,Table2[[#This Row],[ActualHomeScore]]*Table2[[#This Row],[ActualAwayScore]]=0), 1,0)</f>
        <v>0</v>
      </c>
      <c r="AA3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0" s="2" t="str">
        <f>INDEX(Sheet5!$B$2:$AG$33, MATCH(Table2[[#This Row],[AwayTeam]],Sheet5!$A$2:$A$33, 0), MATCH(Table2[[#This Row],[HomeTeam]],Sheet5!$A$2:$A$33, 0))</f>
        <v>0-0-0</v>
      </c>
      <c r="AP350" s="2" t="str">
        <f>INDEX(Sheet5!$B$2:$AG$33, MATCH(Table2[[#This Row],[HomeTeam]],Sheet5!$A$2:$A$33, 0), MATCH(Table2[[#This Row],[AwayTeam]],Sheet5!$A$2:$A$33, 0))</f>
        <v>0-0-0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/>
      <c r="AV350" s="2"/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45">
        <f>IF(AND(Table2[[#This Row],[GameIsOver]]=1,Table2[[#This Row],[ActualHomeScore]]*Table2[[#This Row],[ActualAwayScore]]=0), 1,0)</f>
        <v>0</v>
      </c>
      <c r="AA3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/>
      <c r="AV351" s="2"/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45">
        <f>IF(AND(Table2[[#This Row],[GameIsOver]]=1,Table2[[#This Row],[ActualHomeScore]]*Table2[[#This Row],[ActualAwayScore]]=0), 1,0)</f>
        <v>0</v>
      </c>
      <c r="AA3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/>
      <c r="AV352" s="2"/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45">
        <f>IF(AND(Table2[[#This Row],[GameIsOver]]=1,Table2[[#This Row],[ActualHomeScore]]*Table2[[#This Row],[ActualAwayScore]]=0), 1,0)</f>
        <v>0</v>
      </c>
      <c r="AA3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/>
      <c r="AV353" s="2"/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45">
        <f>IF(AND(Table2[[#This Row],[GameIsOver]]=1,Table2[[#This Row],[ActualHomeScore]]*Table2[[#This Row],[ActualAwayScore]]=0), 1,0)</f>
        <v>0</v>
      </c>
      <c r="AA3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54" s="2" t="str">
        <f>INDEX(Sheet5!$B$2:$AG$33, MATCH(Table2[[#This Row],[AwayTeam]],Sheet5!$A$2:$A$33, 0), MATCH(Table2[[#This Row],[HomeTeam]],Sheet5!$A$2:$A$33, 0))</f>
        <v>0-0-0</v>
      </c>
      <c r="AP354" s="2" t="str">
        <f>INDEX(Sheet5!$B$2:$AG$33, MATCH(Table2[[#This Row],[HomeTeam]],Sheet5!$A$2:$A$33, 0), MATCH(Table2[[#This Row],[AwayTeam]],Sheet5!$A$2:$A$33, 0))</f>
        <v>0-0-0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/>
      <c r="AV354" s="2"/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45">
        <f>IF(AND(Table2[[#This Row],[GameIsOver]]=1,Table2[[#This Row],[ActualHomeScore]]*Table2[[#This Row],[ActualAwayScore]]=0), 1,0)</f>
        <v>0</v>
      </c>
      <c r="AA3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/>
      <c r="AV355" s="2"/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45">
        <f>IF(AND(Table2[[#This Row],[GameIsOver]]=1,Table2[[#This Row],[ActualHomeScore]]*Table2[[#This Row],[ActualAwayScore]]=0), 1,0)</f>
        <v>0</v>
      </c>
      <c r="AA3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/>
      <c r="AV356" s="2"/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45">
        <f>IF(AND(Table2[[#This Row],[GameIsOver]]=1,Table2[[#This Row],[ActualHomeScore]]*Table2[[#This Row],[ActualAwayScore]]=0), 1,0)</f>
        <v>0</v>
      </c>
      <c r="AA3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/>
      <c r="AV357" s="2"/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45">
        <f>IF(AND(Table2[[#This Row],[GameIsOver]]=1,Table2[[#This Row],[ActualHomeScore]]*Table2[[#This Row],[ActualAwayScore]]=0), 1,0)</f>
        <v>0</v>
      </c>
      <c r="AA3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8" s="2" t="str">
        <f>INDEX(Sheet5!$B$2:$AG$33, MATCH(Table2[[#This Row],[AwayTeam]],Sheet5!$A$2:$A$33, 0), MATCH(Table2[[#This Row],[HomeTeam]],Sheet5!$A$2:$A$33, 0))</f>
        <v>0-0-0</v>
      </c>
      <c r="AP358" s="2" t="str">
        <f>INDEX(Sheet5!$B$2:$AG$33, MATCH(Table2[[#This Row],[HomeTeam]],Sheet5!$A$2:$A$33, 0), MATCH(Table2[[#This Row],[AwayTeam]],Sheet5!$A$2:$A$33, 0))</f>
        <v>0-0-0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/>
      <c r="AV358" s="2"/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45">
        <f>IF(AND(Table2[[#This Row],[GameIsOver]]=1,Table2[[#This Row],[ActualHomeScore]]*Table2[[#This Row],[ActualAwayScore]]=0), 1,0)</f>
        <v>0</v>
      </c>
      <c r="AA3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/>
      <c r="AV359" s="2"/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45">
        <f>IF(AND(Table2[[#This Row],[GameIsOver]]=1,Table2[[#This Row],[ActualHomeScore]]*Table2[[#This Row],[ActualAwayScore]]=0), 1,0)</f>
        <v>0</v>
      </c>
      <c r="AA3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/>
      <c r="AV360" s="2"/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45">
        <f>IF(AND(Table2[[#This Row],[GameIsOver]]=1,Table2[[#This Row],[ActualHomeScore]]*Table2[[#This Row],[ActualAwayScore]]=0), 1,0)</f>
        <v>0</v>
      </c>
      <c r="AA3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/>
      <c r="AV361" s="2"/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45">
        <f>IF(AND(Table2[[#This Row],[GameIsOver]]=1,Table2[[#This Row],[ActualHomeScore]]*Table2[[#This Row],[ActualAwayScore]]=0), 1,0)</f>
        <v>0</v>
      </c>
      <c r="AA3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/>
      <c r="AV362" s="2"/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45">
        <f>IF(AND(Table2[[#This Row],[GameIsOver]]=1,Table2[[#This Row],[ActualHomeScore]]*Table2[[#This Row],[ActualAwayScore]]=0), 1,0)</f>
        <v>0</v>
      </c>
      <c r="AA3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/>
      <c r="AV363" s="2"/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45">
        <f>IF(AND(Table2[[#This Row],[GameIsOver]]=1,Table2[[#This Row],[ActualHomeScore]]*Table2[[#This Row],[ActualAwayScore]]=0), 1,0)</f>
        <v>0</v>
      </c>
      <c r="AA3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/>
      <c r="AV364" s="2"/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45">
        <f>IF(AND(Table2[[#This Row],[GameIsOver]]=1,Table2[[#This Row],[ActualHomeScore]]*Table2[[#This Row],[ActualAwayScore]]=0), 1,0)</f>
        <v>0</v>
      </c>
      <c r="AA3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5" s="2" t="str">
        <f>INDEX(Sheet5!$B$2:$AG$33, MATCH(Table2[[#This Row],[AwayTeam]],Sheet5!$A$2:$A$33, 0), MATCH(Table2[[#This Row],[HomeTeam]],Sheet5!$A$2:$A$33, 0))</f>
        <v>0-0-0</v>
      </c>
      <c r="AP365" s="2" t="str">
        <f>INDEX(Sheet5!$B$2:$AG$33, MATCH(Table2[[#This Row],[HomeTeam]],Sheet5!$A$2:$A$33, 0), MATCH(Table2[[#This Row],[AwayTeam]],Sheet5!$A$2:$A$33, 0))</f>
        <v>0-0-0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/>
      <c r="AV365" s="2"/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45">
        <f>IF(AND(Table2[[#This Row],[GameIsOver]]=1,Table2[[#This Row],[ActualHomeScore]]*Table2[[#This Row],[ActualAwayScore]]=0), 1,0)</f>
        <v>0</v>
      </c>
      <c r="AA3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/>
      <c r="AV366" s="2"/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45">
        <f>IF(AND(Table2[[#This Row],[GameIsOver]]=1,Table2[[#This Row],[ActualHomeScore]]*Table2[[#This Row],[ActualAwayScore]]=0), 1,0)</f>
        <v>0</v>
      </c>
      <c r="AA3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7" s="2" t="str">
        <f>INDEX(Sheet5!$B$2:$AG$33, MATCH(Table2[[#This Row],[AwayTeam]],Sheet5!$A$2:$A$33, 0), MATCH(Table2[[#This Row],[HomeTeam]],Sheet5!$A$2:$A$33, 0))</f>
        <v>0-0-0</v>
      </c>
      <c r="AP367" s="2" t="str">
        <f>INDEX(Sheet5!$B$2:$AG$33, MATCH(Table2[[#This Row],[HomeTeam]],Sheet5!$A$2:$A$33, 0), MATCH(Table2[[#This Row],[AwayTeam]],Sheet5!$A$2:$A$33, 0))</f>
        <v>0-0-0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/>
      <c r="AV367" s="2"/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45">
        <f>IF(AND(Table2[[#This Row],[GameIsOver]]=1,Table2[[#This Row],[ActualHomeScore]]*Table2[[#This Row],[ActualAwayScore]]=0), 1,0)</f>
        <v>0</v>
      </c>
      <c r="AA3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/>
      <c r="AV368" s="2"/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45">
        <f>IF(AND(Table2[[#This Row],[GameIsOver]]=1,Table2[[#This Row],[ActualHomeScore]]*Table2[[#This Row],[ActualAwayScore]]=0), 1,0)</f>
        <v>0</v>
      </c>
      <c r="AA3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/>
      <c r="AV369" s="2"/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45">
        <f>IF(AND(Table2[[#This Row],[GameIsOver]]=1,Table2[[#This Row],[ActualHomeScore]]*Table2[[#This Row],[ActualAwayScore]]=0), 1,0)</f>
        <v>0</v>
      </c>
      <c r="AA3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/>
      <c r="AV370" s="2"/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45">
        <f>IF(AND(Table2[[#This Row],[GameIsOver]]=1,Table2[[#This Row],[ActualHomeScore]]*Table2[[#This Row],[ActualAwayScore]]=0), 1,0)</f>
        <v>0</v>
      </c>
      <c r="AA3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1" s="2" t="str">
        <f>INDEX(Sheet5!$B$2:$AG$33, MATCH(Table2[[#This Row],[AwayTeam]],Sheet5!$A$2:$A$33, 0), MATCH(Table2[[#This Row],[HomeTeam]],Sheet5!$A$2:$A$33, 0))</f>
        <v>0-0-0</v>
      </c>
      <c r="AP371" s="2" t="str">
        <f>INDEX(Sheet5!$B$2:$AG$33, MATCH(Table2[[#This Row],[HomeTeam]],Sheet5!$A$2:$A$33, 0), MATCH(Table2[[#This Row],[AwayTeam]],Sheet5!$A$2:$A$33, 0))</f>
        <v>0-0-0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/>
      <c r="AV371" s="2"/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45">
        <f>IF(AND(Table2[[#This Row],[GameIsOver]]=1,Table2[[#This Row],[ActualHomeScore]]*Table2[[#This Row],[ActualAwayScore]]=0), 1,0)</f>
        <v>0</v>
      </c>
      <c r="AA3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/>
      <c r="AV372" s="2"/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45">
        <f>IF(AND(Table2[[#This Row],[GameIsOver]]=1,Table2[[#This Row],[ActualHomeScore]]*Table2[[#This Row],[ActualAwayScore]]=0), 1,0)</f>
        <v>0</v>
      </c>
      <c r="AA3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/>
      <c r="AV373" s="2"/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45">
        <f>IF(AND(Table2[[#This Row],[GameIsOver]]=1,Table2[[#This Row],[ActualHomeScore]]*Table2[[#This Row],[ActualAwayScore]]=0), 1,0)</f>
        <v>0</v>
      </c>
      <c r="AA3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/>
      <c r="AV374" s="2"/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45">
        <f>IF(AND(Table2[[#This Row],[GameIsOver]]=1,Table2[[#This Row],[ActualHomeScore]]*Table2[[#This Row],[ActualAwayScore]]=0), 1,0)</f>
        <v>0</v>
      </c>
      <c r="AA3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/>
      <c r="AV375" s="2"/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45">
        <f>IF(AND(Table2[[#This Row],[GameIsOver]]=1,Table2[[#This Row],[ActualHomeScore]]*Table2[[#This Row],[ActualAwayScore]]=0), 1,0)</f>
        <v>0</v>
      </c>
      <c r="AA3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/>
      <c r="AV376" s="2"/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45">
        <f>IF(AND(Table2[[#This Row],[GameIsOver]]=1,Table2[[#This Row],[ActualHomeScore]]*Table2[[#This Row],[ActualAwayScore]]=0), 1,0)</f>
        <v>0</v>
      </c>
      <c r="AA3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/>
      <c r="AV377" s="2"/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45">
        <f>IF(AND(Table2[[#This Row],[GameIsOver]]=1,Table2[[#This Row],[ActualHomeScore]]*Table2[[#This Row],[ActualAwayScore]]=0), 1,0)</f>
        <v>0</v>
      </c>
      <c r="AA3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/>
      <c r="AV378" s="2"/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45">
        <f>IF(AND(Table2[[#This Row],[GameIsOver]]=1,Table2[[#This Row],[ActualHomeScore]]*Table2[[#This Row],[ActualAwayScore]]=0), 1,0)</f>
        <v>0</v>
      </c>
      <c r="AA3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9" s="2" t="str">
        <f>INDEX(Sheet5!$B$2:$AG$33, MATCH(Table2[[#This Row],[AwayTeam]],Sheet5!$A$2:$A$33, 0), MATCH(Table2[[#This Row],[HomeTeam]],Sheet5!$A$2:$A$33, 0))</f>
        <v>0-0-0</v>
      </c>
      <c r="AP379" s="2" t="str">
        <f>INDEX(Sheet5!$B$2:$AG$33, MATCH(Table2[[#This Row],[HomeTeam]],Sheet5!$A$2:$A$33, 0), MATCH(Table2[[#This Row],[AwayTeam]],Sheet5!$A$2:$A$33, 0))</f>
        <v>0-0-0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/>
      <c r="AV379" s="2"/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45">
        <f>IF(AND(Table2[[#This Row],[GameIsOver]]=1,Table2[[#This Row],[ActualHomeScore]]*Table2[[#This Row],[ActualAwayScore]]=0), 1,0)</f>
        <v>0</v>
      </c>
      <c r="AA3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/>
      <c r="AV380" s="2"/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45">
        <f>IF(AND(Table2[[#This Row],[GameIsOver]]=1,Table2[[#This Row],[ActualHomeScore]]*Table2[[#This Row],[ActualAwayScore]]=0), 1,0)</f>
        <v>0</v>
      </c>
      <c r="AA3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/>
      <c r="AV381" s="2"/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45">
        <f>IF(AND(Table2[[#This Row],[GameIsOver]]=1,Table2[[#This Row],[ActualHomeScore]]*Table2[[#This Row],[ActualAwayScore]]=0), 1,0)</f>
        <v>0</v>
      </c>
      <c r="AA3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_xlfn.TEXTJOIN(";", 1, $BD$31:$BD$40)), 0) &gt; 0, 1, 0) + IF(IFERROR(FIND(Table2[[#This Row],[HomeTeam]], _xlfn.TEXTJOIN(";", 1, $BD$31:$BD$40)), 0) &gt; 0, 1, 0)</f>
        <v>1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/>
      <c r="AV382" s="2"/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45">
        <f>IF(AND(Table2[[#This Row],[GameIsOver]]=1,Table2[[#This Row],[ActualHomeScore]]*Table2[[#This Row],[ActualAwayScore]]=0), 1,0)</f>
        <v>0</v>
      </c>
      <c r="AA3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3" s="2" t="str">
        <f>INDEX(Sheet5!$B$2:$AG$33, MATCH(Table2[[#This Row],[AwayTeam]],Sheet5!$A$2:$A$33, 0), MATCH(Table2[[#This Row],[HomeTeam]],Sheet5!$A$2:$A$33, 0))</f>
        <v>0-0-0</v>
      </c>
      <c r="AP383" s="2" t="str">
        <f>INDEX(Sheet5!$B$2:$AG$33, MATCH(Table2[[#This Row],[HomeTeam]],Sheet5!$A$2:$A$33, 0), MATCH(Table2[[#This Row],[AwayTeam]],Sheet5!$A$2:$A$33, 0))</f>
        <v>0-0-0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/>
      <c r="AV383" s="2"/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45">
        <f>IF(AND(Table2[[#This Row],[GameIsOver]]=1,Table2[[#This Row],[ActualHomeScore]]*Table2[[#This Row],[ActualAwayScore]]=0), 1,0)</f>
        <v>0</v>
      </c>
      <c r="AA3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/>
      <c r="AV384" s="2"/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45">
        <f>IF(AND(Table2[[#This Row],[GameIsOver]]=1,Table2[[#This Row],[ActualHomeScore]]*Table2[[#This Row],[ActualAwayScore]]=0), 1,0)</f>
        <v>0</v>
      </c>
      <c r="AA3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/>
      <c r="AV385" s="2"/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45">
        <f>IF(AND(Table2[[#This Row],[GameIsOver]]=1,Table2[[#This Row],[ActualHomeScore]]*Table2[[#This Row],[ActualAwayScore]]=0), 1,0)</f>
        <v>0</v>
      </c>
      <c r="AA3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/>
      <c r="AV386" s="2"/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45">
        <f>IF(AND(Table2[[#This Row],[GameIsOver]]=1,Table2[[#This Row],[ActualHomeScore]]*Table2[[#This Row],[ActualAwayScore]]=0), 1,0)</f>
        <v>0</v>
      </c>
      <c r="AA3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/>
      <c r="AV387" s="2"/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45">
        <f>IF(AND(Table2[[#This Row],[GameIsOver]]=1,Table2[[#This Row],[ActualHomeScore]]*Table2[[#This Row],[ActualAwayScore]]=0), 1,0)</f>
        <v>0</v>
      </c>
      <c r="AA3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/>
      <c r="AV388" s="2"/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45">
        <f>IF(AND(Table2[[#This Row],[GameIsOver]]=1,Table2[[#This Row],[ActualHomeScore]]*Table2[[#This Row],[ActualAwayScore]]=0), 1,0)</f>
        <v>0</v>
      </c>
      <c r="AA3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/>
      <c r="AV389" s="2"/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45">
        <f>IF(AND(Table2[[#This Row],[GameIsOver]]=1,Table2[[#This Row],[ActualHomeScore]]*Table2[[#This Row],[ActualAwayScore]]=0), 1,0)</f>
        <v>0</v>
      </c>
      <c r="AA3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0" s="2" t="str">
        <f>INDEX(Sheet5!$B$2:$AG$33, MATCH(Table2[[#This Row],[AwayTeam]],Sheet5!$A$2:$A$33, 0), MATCH(Table2[[#This Row],[HomeTeam]],Sheet5!$A$2:$A$33, 0))</f>
        <v>0-0-0</v>
      </c>
      <c r="AP390" s="2" t="str">
        <f>INDEX(Sheet5!$B$2:$AG$33, MATCH(Table2[[#This Row],[HomeTeam]],Sheet5!$A$2:$A$33, 0), MATCH(Table2[[#This Row],[AwayTeam]],Sheet5!$A$2:$A$33, 0))</f>
        <v>0-0-0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/>
      <c r="AV390" s="2"/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45">
        <f>IF(AND(Table2[[#This Row],[GameIsOver]]=1,Table2[[#This Row],[ActualHomeScore]]*Table2[[#This Row],[ActualAwayScore]]=0), 1,0)</f>
        <v>0</v>
      </c>
      <c r="AA3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/>
      <c r="AV391" s="2"/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45">
        <f>IF(AND(Table2[[#This Row],[GameIsOver]]=1,Table2[[#This Row],[ActualHomeScore]]*Table2[[#This Row],[ActualAwayScore]]=0), 1,0)</f>
        <v>0</v>
      </c>
      <c r="AA3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/>
      <c r="AV392" s="2"/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45">
        <f>IF(AND(Table2[[#This Row],[GameIsOver]]=1,Table2[[#This Row],[ActualHomeScore]]*Table2[[#This Row],[ActualAwayScore]]=0), 1,0)</f>
        <v>0</v>
      </c>
      <c r="AA3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/>
      <c r="AV393" s="2"/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45">
        <f>IF(AND(Table2[[#This Row],[GameIsOver]]=1,Table2[[#This Row],[ActualHomeScore]]*Table2[[#This Row],[ActualAwayScore]]=0), 1,0)</f>
        <v>0</v>
      </c>
      <c r="AA3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/>
      <c r="AV394" s="2"/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45">
        <f>IF(AND(Table2[[#This Row],[GameIsOver]]=1,Table2[[#This Row],[ActualHomeScore]]*Table2[[#This Row],[ActualAwayScore]]=0), 1,0)</f>
        <v>0</v>
      </c>
      <c r="AA3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5" s="2" t="str">
        <f>INDEX(Sheet5!$B$2:$AG$33, MATCH(Table2[[#This Row],[AwayTeam]],Sheet5!$A$2:$A$33, 0), MATCH(Table2[[#This Row],[HomeTeam]],Sheet5!$A$2:$A$33, 0))</f>
        <v>0-0-0</v>
      </c>
      <c r="AP395" s="2" t="str">
        <f>INDEX(Sheet5!$B$2:$AG$33, MATCH(Table2[[#This Row],[HomeTeam]],Sheet5!$A$2:$A$33, 0), MATCH(Table2[[#This Row],[AwayTeam]],Sheet5!$A$2:$A$33, 0))</f>
        <v>0-0-0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/>
      <c r="AV395" s="2"/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45">
        <f>IF(AND(Table2[[#This Row],[GameIsOver]]=1,Table2[[#This Row],[ActualHomeScore]]*Table2[[#This Row],[ActualAwayScore]]=0), 1,0)</f>
        <v>0</v>
      </c>
      <c r="AA3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/>
      <c r="AV396" s="2"/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45">
        <f>IF(AND(Table2[[#This Row],[GameIsOver]]=1,Table2[[#This Row],[ActualHomeScore]]*Table2[[#This Row],[ActualAwayScore]]=0), 1,0)</f>
        <v>0</v>
      </c>
      <c r="AA3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/>
      <c r="AV397" s="2"/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45">
        <f>IF(AND(Table2[[#This Row],[GameIsOver]]=1,Table2[[#This Row],[ActualHomeScore]]*Table2[[#This Row],[ActualAwayScore]]=0), 1,0)</f>
        <v>0</v>
      </c>
      <c r="AA3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/>
      <c r="AV398" s="2"/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45">
        <f>IF(AND(Table2[[#This Row],[GameIsOver]]=1,Table2[[#This Row],[ActualHomeScore]]*Table2[[#This Row],[ActualAwayScore]]=0), 1,0)</f>
        <v>0</v>
      </c>
      <c r="AA3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9" s="2" t="str">
        <f>INDEX(Sheet5!$B$2:$AG$33, MATCH(Table2[[#This Row],[AwayTeam]],Sheet5!$A$2:$A$33, 0), MATCH(Table2[[#This Row],[HomeTeam]],Sheet5!$A$2:$A$33, 0))</f>
        <v>0-0-0</v>
      </c>
      <c r="AP399" s="2" t="str">
        <f>INDEX(Sheet5!$B$2:$AG$33, MATCH(Table2[[#This Row],[HomeTeam]],Sheet5!$A$2:$A$33, 0), MATCH(Table2[[#This Row],[AwayTeam]],Sheet5!$A$2:$A$33, 0))</f>
        <v>0-0-0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/>
      <c r="AV399" s="2"/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45">
        <f>IF(AND(Table2[[#This Row],[GameIsOver]]=1,Table2[[#This Row],[ActualHomeScore]]*Table2[[#This Row],[ActualAwayScore]]=0), 1,0)</f>
        <v>0</v>
      </c>
      <c r="AA4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0" s="2" t="str">
        <f>INDEX(Sheet5!$B$2:$AG$33, MATCH(Table2[[#This Row],[AwayTeam]],Sheet5!$A$2:$A$33, 0), MATCH(Table2[[#This Row],[HomeTeam]],Sheet5!$A$2:$A$33, 0))</f>
        <v>0-0-0</v>
      </c>
      <c r="AP400" s="2" t="str">
        <f>INDEX(Sheet5!$B$2:$AG$33, MATCH(Table2[[#This Row],[HomeTeam]],Sheet5!$A$2:$A$33, 0), MATCH(Table2[[#This Row],[AwayTeam]],Sheet5!$A$2:$A$33, 0))</f>
        <v>0-0-0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/>
      <c r="AV400" s="2"/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45">
        <f>IF(AND(Table2[[#This Row],[GameIsOver]]=1,Table2[[#This Row],[ActualHomeScore]]*Table2[[#This Row],[ActualAwayScore]]=0), 1,0)</f>
        <v>0</v>
      </c>
      <c r="AA4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/>
      <c r="AV401" s="2"/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45">
        <f>IF(AND(Table2[[#This Row],[GameIsOver]]=1,Table2[[#This Row],[ActualHomeScore]]*Table2[[#This Row],[ActualAwayScore]]=0), 1,0)</f>
        <v>0</v>
      </c>
      <c r="AA4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2" s="2" t="str">
        <f>INDEX(Sheet5!$B$2:$AG$33, MATCH(Table2[[#This Row],[AwayTeam]],Sheet5!$A$2:$A$33, 0), MATCH(Table2[[#This Row],[HomeTeam]],Sheet5!$A$2:$A$33, 0))</f>
        <v>0-0-0</v>
      </c>
      <c r="AP402" s="2" t="str">
        <f>INDEX(Sheet5!$B$2:$AG$33, MATCH(Table2[[#This Row],[HomeTeam]],Sheet5!$A$2:$A$33, 0), MATCH(Table2[[#This Row],[AwayTeam]],Sheet5!$A$2:$A$33, 0))</f>
        <v>0-0-0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/>
      <c r="AV402" s="2"/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45">
        <f>IF(AND(Table2[[#This Row],[GameIsOver]]=1,Table2[[#This Row],[ActualHomeScore]]*Table2[[#This Row],[ActualAwayScore]]=0), 1,0)</f>
        <v>0</v>
      </c>
      <c r="AA4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/>
      <c r="AV403" s="2"/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45">
        <f>IF(AND(Table2[[#This Row],[GameIsOver]]=1,Table2[[#This Row],[ActualHomeScore]]*Table2[[#This Row],[ActualAwayScore]]=0), 1,0)</f>
        <v>0</v>
      </c>
      <c r="AA4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4" s="2" t="str">
        <f>INDEX(Sheet5!$B$2:$AG$33, MATCH(Table2[[#This Row],[AwayTeam]],Sheet5!$A$2:$A$33, 0), MATCH(Table2[[#This Row],[HomeTeam]],Sheet5!$A$2:$A$33, 0))</f>
        <v>0-0-0</v>
      </c>
      <c r="AP404" s="2" t="str">
        <f>INDEX(Sheet5!$B$2:$AG$33, MATCH(Table2[[#This Row],[HomeTeam]],Sheet5!$A$2:$A$33, 0), MATCH(Table2[[#This Row],[AwayTeam]],Sheet5!$A$2:$A$33, 0))</f>
        <v>0-0-0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/>
      <c r="AV404" s="2"/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45">
        <f>IF(AND(Table2[[#This Row],[GameIsOver]]=1,Table2[[#This Row],[ActualHomeScore]]*Table2[[#This Row],[ActualAwayScore]]=0), 1,0)</f>
        <v>0</v>
      </c>
      <c r="AA4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5" s="2" t="str">
        <f>INDEX(Sheet5!$B$2:$AG$33, MATCH(Table2[[#This Row],[AwayTeam]],Sheet5!$A$2:$A$33, 0), MATCH(Table2[[#This Row],[HomeTeam]],Sheet5!$A$2:$A$33, 0))</f>
        <v>0-0-0</v>
      </c>
      <c r="AP405" s="2" t="str">
        <f>INDEX(Sheet5!$B$2:$AG$33, MATCH(Table2[[#This Row],[HomeTeam]],Sheet5!$A$2:$A$33, 0), MATCH(Table2[[#This Row],[AwayTeam]],Sheet5!$A$2:$A$33, 0))</f>
        <v>0-0-0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/>
      <c r="AV405" s="2"/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45">
        <f>IF(AND(Table2[[#This Row],[GameIsOver]]=1,Table2[[#This Row],[ActualHomeScore]]*Table2[[#This Row],[ActualAwayScore]]=0), 1,0)</f>
        <v>0</v>
      </c>
      <c r="AA4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/>
      <c r="AV406" s="2"/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45">
        <f>IF(AND(Table2[[#This Row],[GameIsOver]]=1,Table2[[#This Row],[ActualHomeScore]]*Table2[[#This Row],[ActualAwayScore]]=0), 1,0)</f>
        <v>0</v>
      </c>
      <c r="AA4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/>
      <c r="AV407" s="2"/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45">
        <f>IF(AND(Table2[[#This Row],[GameIsOver]]=1,Table2[[#This Row],[ActualHomeScore]]*Table2[[#This Row],[ActualAwayScore]]=0), 1,0)</f>
        <v>0</v>
      </c>
      <c r="AA4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8" s="2" t="str">
        <f>INDEX(Sheet5!$B$2:$AG$33, MATCH(Table2[[#This Row],[AwayTeam]],Sheet5!$A$2:$A$33, 0), MATCH(Table2[[#This Row],[HomeTeam]],Sheet5!$A$2:$A$33, 0))</f>
        <v>0-0-0</v>
      </c>
      <c r="AP408" s="2" t="str">
        <f>INDEX(Sheet5!$B$2:$AG$33, MATCH(Table2[[#This Row],[HomeTeam]],Sheet5!$A$2:$A$33, 0), MATCH(Table2[[#This Row],[AwayTeam]],Sheet5!$A$2:$A$33, 0))</f>
        <v>0-0-0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/>
      <c r="AV408" s="2"/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45">
        <f>IF(AND(Table2[[#This Row],[GameIsOver]]=1,Table2[[#This Row],[ActualHomeScore]]*Table2[[#This Row],[ActualAwayScore]]=0), 1,0)</f>
        <v>0</v>
      </c>
      <c r="AA4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9" s="2" t="str">
        <f>INDEX(Sheet5!$B$2:$AG$33, MATCH(Table2[[#This Row],[AwayTeam]],Sheet5!$A$2:$A$33, 0), MATCH(Table2[[#This Row],[HomeTeam]],Sheet5!$A$2:$A$33, 0))</f>
        <v>0-0-0</v>
      </c>
      <c r="AP409" s="2" t="str">
        <f>INDEX(Sheet5!$B$2:$AG$33, MATCH(Table2[[#This Row],[HomeTeam]],Sheet5!$A$2:$A$33, 0), MATCH(Table2[[#This Row],[AwayTeam]],Sheet5!$A$2:$A$33, 0))</f>
        <v>0-0-0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/>
      <c r="AV409" s="2"/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45">
        <f>IF(AND(Table2[[#This Row],[GameIsOver]]=1,Table2[[#This Row],[ActualHomeScore]]*Table2[[#This Row],[ActualAwayScore]]=0), 1,0)</f>
        <v>0</v>
      </c>
      <c r="AA4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/>
      <c r="AV410" s="2"/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45">
        <f>IF(AND(Table2[[#This Row],[GameIsOver]]=1,Table2[[#This Row],[ActualHomeScore]]*Table2[[#This Row],[ActualAwayScore]]=0), 1,0)</f>
        <v>0</v>
      </c>
      <c r="AA4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/>
      <c r="AV411" s="2"/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45">
        <f>IF(AND(Table2[[#This Row],[GameIsOver]]=1,Table2[[#This Row],[ActualHomeScore]]*Table2[[#This Row],[ActualAwayScore]]=0), 1,0)</f>
        <v>0</v>
      </c>
      <c r="AA4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2" s="2" t="str">
        <f>INDEX(Sheet5!$B$2:$AG$33, MATCH(Table2[[#This Row],[AwayTeam]],Sheet5!$A$2:$A$33, 0), MATCH(Table2[[#This Row],[HomeTeam]],Sheet5!$A$2:$A$33, 0))</f>
        <v>0-0-0</v>
      </c>
      <c r="AP412" s="2" t="str">
        <f>INDEX(Sheet5!$B$2:$AG$33, MATCH(Table2[[#This Row],[HomeTeam]],Sheet5!$A$2:$A$33, 0), MATCH(Table2[[#This Row],[AwayTeam]],Sheet5!$A$2:$A$33, 0))</f>
        <v>0-0-0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/>
      <c r="AV412" s="2"/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45">
        <f>IF(AND(Table2[[#This Row],[GameIsOver]]=1,Table2[[#This Row],[ActualHomeScore]]*Table2[[#This Row],[ActualAwayScore]]=0), 1,0)</f>
        <v>0</v>
      </c>
      <c r="AA4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/>
      <c r="AV413" s="2"/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45">
        <f>IF(AND(Table2[[#This Row],[GameIsOver]]=1,Table2[[#This Row],[ActualHomeScore]]*Table2[[#This Row],[ActualAwayScore]]=0), 1,0)</f>
        <v>0</v>
      </c>
      <c r="AA4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/>
      <c r="AV414" s="2"/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45">
        <f>IF(AND(Table2[[#This Row],[GameIsOver]]=1,Table2[[#This Row],[ActualHomeScore]]*Table2[[#This Row],[ActualAwayScore]]=0), 1,0)</f>
        <v>0</v>
      </c>
      <c r="AA4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/>
      <c r="AV415" s="2"/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45">
        <f>IF(AND(Table2[[#This Row],[GameIsOver]]=1,Table2[[#This Row],[ActualHomeScore]]*Table2[[#This Row],[ActualAwayScore]]=0), 1,0)</f>
        <v>0</v>
      </c>
      <c r="AA4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/>
      <c r="AV416" s="2"/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45">
        <f>IF(AND(Table2[[#This Row],[GameIsOver]]=1,Table2[[#This Row],[ActualHomeScore]]*Table2[[#This Row],[ActualAwayScore]]=0), 1,0)</f>
        <v>0</v>
      </c>
      <c r="AA4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/>
      <c r="AV417" s="2"/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45">
        <f>IF(AND(Table2[[#This Row],[GameIsOver]]=1,Table2[[#This Row],[ActualHomeScore]]*Table2[[#This Row],[ActualAwayScore]]=0), 1,0)</f>
        <v>0</v>
      </c>
      <c r="AA4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/>
      <c r="AV418" s="2"/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45">
        <f>IF(AND(Table2[[#This Row],[GameIsOver]]=1,Table2[[#This Row],[ActualHomeScore]]*Table2[[#This Row],[ActualAwayScore]]=0), 1,0)</f>
        <v>0</v>
      </c>
      <c r="AA4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/>
      <c r="AV419" s="2"/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45">
        <f>IF(AND(Table2[[#This Row],[GameIsOver]]=1,Table2[[#This Row],[ActualHomeScore]]*Table2[[#This Row],[ActualAwayScore]]=0), 1,0)</f>
        <v>0</v>
      </c>
      <c r="AA4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/>
      <c r="AV420" s="2"/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45">
        <f>IF(AND(Table2[[#This Row],[GameIsOver]]=1,Table2[[#This Row],[ActualHomeScore]]*Table2[[#This Row],[ActualAwayScore]]=0), 1,0)</f>
        <v>0</v>
      </c>
      <c r="AA4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/>
      <c r="AV421" s="2"/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45">
        <f>IF(AND(Table2[[#This Row],[GameIsOver]]=1,Table2[[#This Row],[ActualHomeScore]]*Table2[[#This Row],[ActualAwayScore]]=0), 1,0)</f>
        <v>0</v>
      </c>
      <c r="AA4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/>
      <c r="AV422" s="2"/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45">
        <f>IF(AND(Table2[[#This Row],[GameIsOver]]=1,Table2[[#This Row],[ActualHomeScore]]*Table2[[#This Row],[ActualAwayScore]]=0), 1,0)</f>
        <v>0</v>
      </c>
      <c r="AA4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/>
      <c r="AV423" s="2"/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45">
        <f>IF(AND(Table2[[#This Row],[GameIsOver]]=1,Table2[[#This Row],[ActualHomeScore]]*Table2[[#This Row],[ActualAwayScore]]=0), 1,0)</f>
        <v>0</v>
      </c>
      <c r="AA4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/>
      <c r="AV424" s="2"/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45">
        <f>IF(AND(Table2[[#This Row],[GameIsOver]]=1,Table2[[#This Row],[ActualHomeScore]]*Table2[[#This Row],[ActualAwayScore]]=0), 1,0)</f>
        <v>0</v>
      </c>
      <c r="AA4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/>
      <c r="AV425" s="2"/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45">
        <f>IF(AND(Table2[[#This Row],[GameIsOver]]=1,Table2[[#This Row],[ActualHomeScore]]*Table2[[#This Row],[ActualAwayScore]]=0), 1,0)</f>
        <v>0</v>
      </c>
      <c r="AA4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/>
      <c r="AV426" s="2"/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45">
        <f>IF(AND(Table2[[#This Row],[GameIsOver]]=1,Table2[[#This Row],[ActualHomeScore]]*Table2[[#This Row],[ActualAwayScore]]=0), 1,0)</f>
        <v>0</v>
      </c>
      <c r="AA4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/>
      <c r="AV427" s="2"/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45">
        <f>IF(AND(Table2[[#This Row],[GameIsOver]]=1,Table2[[#This Row],[ActualHomeScore]]*Table2[[#This Row],[ActualAwayScore]]=0), 1,0)</f>
        <v>0</v>
      </c>
      <c r="AA4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/>
      <c r="AV428" s="2"/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45">
        <f>IF(AND(Table2[[#This Row],[GameIsOver]]=1,Table2[[#This Row],[ActualHomeScore]]*Table2[[#This Row],[ActualAwayScore]]=0), 1,0)</f>
        <v>0</v>
      </c>
      <c r="AA4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/>
      <c r="AV429" s="2"/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45">
        <f>IF(AND(Table2[[#This Row],[GameIsOver]]=1,Table2[[#This Row],[ActualHomeScore]]*Table2[[#This Row],[ActualAwayScore]]=0), 1,0)</f>
        <v>0</v>
      </c>
      <c r="AA4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/>
      <c r="AV430" s="2"/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45">
        <f>IF(AND(Table2[[#This Row],[GameIsOver]]=1,Table2[[#This Row],[ActualHomeScore]]*Table2[[#This Row],[ActualAwayScore]]=0), 1,0)</f>
        <v>0</v>
      </c>
      <c r="AA4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/>
      <c r="AV431" s="2"/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45">
        <f>IF(AND(Table2[[#This Row],[GameIsOver]]=1,Table2[[#This Row],[ActualHomeScore]]*Table2[[#This Row],[ActualAwayScore]]=0), 1,0)</f>
        <v>0</v>
      </c>
      <c r="AA4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/>
      <c r="AV432" s="2"/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45">
        <f>IF(AND(Table2[[#This Row],[GameIsOver]]=1,Table2[[#This Row],[ActualHomeScore]]*Table2[[#This Row],[ActualAwayScore]]=0), 1,0)</f>
        <v>0</v>
      </c>
      <c r="AA4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/>
      <c r="AV433" s="2"/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/>
      <c r="AV434" s="2"/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45">
        <f>IF(AND(Table2[[#This Row],[GameIsOver]]=1,Table2[[#This Row],[ActualHomeScore]]*Table2[[#This Row],[ActualAwayScore]]=0), 1,0)</f>
        <v>0</v>
      </c>
      <c r="AA4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/>
      <c r="AV435" s="2"/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45">
        <f>IF(AND(Table2[[#This Row],[GameIsOver]]=1,Table2[[#This Row],[ActualHomeScore]]*Table2[[#This Row],[ActualAwayScore]]=0), 1,0)</f>
        <v>0</v>
      </c>
      <c r="AA4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6" s="2" t="str">
        <f>INDEX(Sheet5!$B$2:$AG$33, MATCH(Table2[[#This Row],[AwayTeam]],Sheet5!$A$2:$A$33, 0), MATCH(Table2[[#This Row],[HomeTeam]],Sheet5!$A$2:$A$33, 0))</f>
        <v>0-0-0</v>
      </c>
      <c r="AP436" s="2" t="str">
        <f>INDEX(Sheet5!$B$2:$AG$33, MATCH(Table2[[#This Row],[HomeTeam]],Sheet5!$A$2:$A$33, 0), MATCH(Table2[[#This Row],[AwayTeam]],Sheet5!$A$2:$A$33, 0))</f>
        <v>0-0-0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/>
      <c r="AV436" s="2"/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45">
        <f>IF(AND(Table2[[#This Row],[GameIsOver]]=1,Table2[[#This Row],[ActualHomeScore]]*Table2[[#This Row],[ActualAwayScore]]=0), 1,0)</f>
        <v>0</v>
      </c>
      <c r="AA4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7" s="2" t="str">
        <f>INDEX(Sheet5!$B$2:$AG$33, MATCH(Table2[[#This Row],[AwayTeam]],Sheet5!$A$2:$A$33, 0), MATCH(Table2[[#This Row],[HomeTeam]],Sheet5!$A$2:$A$33, 0))</f>
        <v>0-0-0</v>
      </c>
      <c r="AP437" s="2" t="str">
        <f>INDEX(Sheet5!$B$2:$AG$33, MATCH(Table2[[#This Row],[HomeTeam]],Sheet5!$A$2:$A$33, 0), MATCH(Table2[[#This Row],[AwayTeam]],Sheet5!$A$2:$A$33, 0))</f>
        <v>0-0-0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/>
      <c r="AV437" s="2"/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45">
        <f>IF(AND(Table2[[#This Row],[GameIsOver]]=1,Table2[[#This Row],[ActualHomeScore]]*Table2[[#This Row],[ActualAwayScore]]=0), 1,0)</f>
        <v>0</v>
      </c>
      <c r="AA4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/>
      <c r="AV438" s="2"/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45">
        <f>IF(AND(Table2[[#This Row],[GameIsOver]]=1,Table2[[#This Row],[ActualHomeScore]]*Table2[[#This Row],[ActualAwayScore]]=0), 1,0)</f>
        <v>0</v>
      </c>
      <c r="AA4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/>
      <c r="AV439" s="2"/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45">
        <f>IF(AND(Table2[[#This Row],[GameIsOver]]=1,Table2[[#This Row],[ActualHomeScore]]*Table2[[#This Row],[ActualAwayScore]]=0), 1,0)</f>
        <v>0</v>
      </c>
      <c r="AA4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/>
      <c r="AV440" s="2"/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45">
        <f>IF(AND(Table2[[#This Row],[GameIsOver]]=1,Table2[[#This Row],[ActualHomeScore]]*Table2[[#This Row],[ActualAwayScore]]=0), 1,0)</f>
        <v>0</v>
      </c>
      <c r="AA4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/>
      <c r="AV441" s="2"/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45">
        <f>IF(AND(Table2[[#This Row],[GameIsOver]]=1,Table2[[#This Row],[ActualHomeScore]]*Table2[[#This Row],[ActualAwayScore]]=0), 1,0)</f>
        <v>0</v>
      </c>
      <c r="AA4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/>
      <c r="AV442" s="2"/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45">
        <f>IF(AND(Table2[[#This Row],[GameIsOver]]=1,Table2[[#This Row],[ActualHomeScore]]*Table2[[#This Row],[ActualAwayScore]]=0), 1,0)</f>
        <v>0</v>
      </c>
      <c r="AA4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/>
      <c r="AV443" s="2"/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45">
        <f>IF(AND(Table2[[#This Row],[GameIsOver]]=1,Table2[[#This Row],[ActualHomeScore]]*Table2[[#This Row],[ActualAwayScore]]=0), 1,0)</f>
        <v>0</v>
      </c>
      <c r="AA4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/>
      <c r="AV444" s="2"/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45">
        <f>IF(AND(Table2[[#This Row],[GameIsOver]]=1,Table2[[#This Row],[ActualHomeScore]]*Table2[[#This Row],[ActualAwayScore]]=0), 1,0)</f>
        <v>0</v>
      </c>
      <c r="AA4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/>
      <c r="AV445" s="2"/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45">
        <f>IF(AND(Table2[[#This Row],[GameIsOver]]=1,Table2[[#This Row],[ActualHomeScore]]*Table2[[#This Row],[ActualAwayScore]]=0), 1,0)</f>
        <v>0</v>
      </c>
      <c r="AA4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/>
      <c r="AV446" s="2"/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45">
        <f>IF(AND(Table2[[#This Row],[GameIsOver]]=1,Table2[[#This Row],[ActualHomeScore]]*Table2[[#This Row],[ActualAwayScore]]=0), 1,0)</f>
        <v>0</v>
      </c>
      <c r="AA4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/>
      <c r="AV447" s="2"/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45">
        <f>IF(AND(Table2[[#This Row],[GameIsOver]]=1,Table2[[#This Row],[ActualHomeScore]]*Table2[[#This Row],[ActualAwayScore]]=0), 1,0)</f>
        <v>0</v>
      </c>
      <c r="AA4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/>
      <c r="AV448" s="2"/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45">
        <f>IF(AND(Table2[[#This Row],[GameIsOver]]=1,Table2[[#This Row],[ActualHomeScore]]*Table2[[#This Row],[ActualAwayScore]]=0), 1,0)</f>
        <v>0</v>
      </c>
      <c r="AA4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/>
      <c r="AV449" s="2"/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45">
        <f>IF(AND(Table2[[#This Row],[GameIsOver]]=1,Table2[[#This Row],[ActualHomeScore]]*Table2[[#This Row],[ActualAwayScore]]=0), 1,0)</f>
        <v>0</v>
      </c>
      <c r="AA4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_xlfn.TEXTJOIN(";", 1, $BD$31:$BD$40)), 0) &gt; 0, 1, 0) + IF(IFERROR(FIND(Table2[[#This Row],[HomeTeam]], _xlfn.TEXTJOIN(";", 1, $BD$31:$BD$40)), 0) &gt; 0, 1, 0)</f>
        <v>1</v>
      </c>
      <c r="AO450" s="2" t="str">
        <f>INDEX(Sheet5!$B$2:$AG$33, MATCH(Table2[[#This Row],[AwayTeam]],Sheet5!$A$2:$A$33, 0), MATCH(Table2[[#This Row],[HomeTeam]],Sheet5!$A$2:$A$33, 0))</f>
        <v>0-0-0</v>
      </c>
      <c r="AP450" s="2" t="str">
        <f>INDEX(Sheet5!$B$2:$AG$33, MATCH(Table2[[#This Row],[HomeTeam]],Sheet5!$A$2:$A$33, 0), MATCH(Table2[[#This Row],[AwayTeam]],Sheet5!$A$2:$A$33, 0))</f>
        <v>0-0-0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/>
      <c r="AV450" s="2"/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45">
        <f>IF(AND(Table2[[#This Row],[GameIsOver]]=1,Table2[[#This Row],[ActualHomeScore]]*Table2[[#This Row],[ActualAwayScore]]=0), 1,0)</f>
        <v>0</v>
      </c>
      <c r="AA4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1" s="2" t="str">
        <f>INDEX(Sheet5!$B$2:$AG$33, MATCH(Table2[[#This Row],[AwayTeam]],Sheet5!$A$2:$A$33, 0), MATCH(Table2[[#This Row],[HomeTeam]],Sheet5!$A$2:$A$33, 0))</f>
        <v>0-0-0</v>
      </c>
      <c r="AP451" s="2" t="str">
        <f>INDEX(Sheet5!$B$2:$AG$33, MATCH(Table2[[#This Row],[HomeTeam]],Sheet5!$A$2:$A$33, 0), MATCH(Table2[[#This Row],[AwayTeam]],Sheet5!$A$2:$A$33, 0))</f>
        <v>0-0-0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/>
      <c r="AV451" s="2"/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45">
        <f>IF(AND(Table2[[#This Row],[GameIsOver]]=1,Table2[[#This Row],[ActualHomeScore]]*Table2[[#This Row],[ActualAwayScore]]=0), 1,0)</f>
        <v>0</v>
      </c>
      <c r="AA4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/>
      <c r="AV452" s="2"/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45">
        <f>IF(AND(Table2[[#This Row],[GameIsOver]]=1,Table2[[#This Row],[ActualHomeScore]]*Table2[[#This Row],[ActualAwayScore]]=0), 1,0)</f>
        <v>0</v>
      </c>
      <c r="AA4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/>
      <c r="AV453" s="2"/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45">
        <f>IF(AND(Table2[[#This Row],[GameIsOver]]=1,Table2[[#This Row],[ActualHomeScore]]*Table2[[#This Row],[ActualAwayScore]]=0), 1,0)</f>
        <v>0</v>
      </c>
      <c r="AA4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/>
      <c r="AV454" s="2"/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45">
        <f>IF(AND(Table2[[#This Row],[GameIsOver]]=1,Table2[[#This Row],[ActualHomeScore]]*Table2[[#This Row],[ActualAwayScore]]=0), 1,0)</f>
        <v>0</v>
      </c>
      <c r="AA4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/>
      <c r="AV455" s="2"/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45">
        <f>IF(AND(Table2[[#This Row],[GameIsOver]]=1,Table2[[#This Row],[ActualHomeScore]]*Table2[[#This Row],[ActualAwayScore]]=0), 1,0)</f>
        <v>0</v>
      </c>
      <c r="AA4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/>
      <c r="AV456" s="2"/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45">
        <f>IF(AND(Table2[[#This Row],[GameIsOver]]=1,Table2[[#This Row],[ActualHomeScore]]*Table2[[#This Row],[ActualAwayScore]]=0), 1,0)</f>
        <v>0</v>
      </c>
      <c r="AA4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7" s="2" t="str">
        <f>INDEX(Sheet5!$B$2:$AG$33, MATCH(Table2[[#This Row],[AwayTeam]],Sheet5!$A$2:$A$33, 0), MATCH(Table2[[#This Row],[HomeTeam]],Sheet5!$A$2:$A$33, 0))</f>
        <v>0-0-0</v>
      </c>
      <c r="AP457" s="2" t="str">
        <f>INDEX(Sheet5!$B$2:$AG$33, MATCH(Table2[[#This Row],[HomeTeam]],Sheet5!$A$2:$A$33, 0), MATCH(Table2[[#This Row],[AwayTeam]],Sheet5!$A$2:$A$33, 0))</f>
        <v>0-0-0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/>
      <c r="AV457" s="2"/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45">
        <f>IF(AND(Table2[[#This Row],[GameIsOver]]=1,Table2[[#This Row],[ActualHomeScore]]*Table2[[#This Row],[ActualAwayScore]]=0), 1,0)</f>
        <v>0</v>
      </c>
      <c r="AA4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/>
      <c r="AV458" s="2"/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45">
        <f>IF(AND(Table2[[#This Row],[GameIsOver]]=1,Table2[[#This Row],[ActualHomeScore]]*Table2[[#This Row],[ActualAwayScore]]=0), 1,0)</f>
        <v>0</v>
      </c>
      <c r="AA4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/>
      <c r="AV459" s="2"/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45">
        <f>IF(AND(Table2[[#This Row],[GameIsOver]]=1,Table2[[#This Row],[ActualHomeScore]]*Table2[[#This Row],[ActualAwayScore]]=0), 1,0)</f>
        <v>0</v>
      </c>
      <c r="AA4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/>
      <c r="AV460" s="2"/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45">
        <f>IF(AND(Table2[[#This Row],[GameIsOver]]=1,Table2[[#This Row],[ActualHomeScore]]*Table2[[#This Row],[ActualAwayScore]]=0), 1,0)</f>
        <v>0</v>
      </c>
      <c r="AA4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1" s="2" t="str">
        <f>INDEX(Sheet5!$B$2:$AG$33, MATCH(Table2[[#This Row],[AwayTeam]],Sheet5!$A$2:$A$33, 0), MATCH(Table2[[#This Row],[HomeTeam]],Sheet5!$A$2:$A$33, 0))</f>
        <v>0-0-0</v>
      </c>
      <c r="AP461" s="2" t="str">
        <f>INDEX(Sheet5!$B$2:$AG$33, MATCH(Table2[[#This Row],[HomeTeam]],Sheet5!$A$2:$A$33, 0), MATCH(Table2[[#This Row],[AwayTeam]],Sheet5!$A$2:$A$33, 0))</f>
        <v>0-0-0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/>
      <c r="AV461" s="2"/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45">
        <f>IF(AND(Table2[[#This Row],[GameIsOver]]=1,Table2[[#This Row],[ActualHomeScore]]*Table2[[#This Row],[ActualAwayScore]]=0), 1,0)</f>
        <v>0</v>
      </c>
      <c r="AA4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2" s="2" t="str">
        <f>INDEX(Sheet5!$B$2:$AG$33, MATCH(Table2[[#This Row],[AwayTeam]],Sheet5!$A$2:$A$33, 0), MATCH(Table2[[#This Row],[HomeTeam]],Sheet5!$A$2:$A$33, 0))</f>
        <v>0-0-0</v>
      </c>
      <c r="AP462" s="2" t="str">
        <f>INDEX(Sheet5!$B$2:$AG$33, MATCH(Table2[[#This Row],[HomeTeam]],Sheet5!$A$2:$A$33, 0), MATCH(Table2[[#This Row],[AwayTeam]],Sheet5!$A$2:$A$33, 0))</f>
        <v>0-0-0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/>
      <c r="AV462" s="2"/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45">
        <f>IF(AND(Table2[[#This Row],[GameIsOver]]=1,Table2[[#This Row],[ActualHomeScore]]*Table2[[#This Row],[ActualAwayScore]]=0), 1,0)</f>
        <v>0</v>
      </c>
      <c r="AA4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/>
      <c r="AV463" s="2"/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45">
        <f>IF(AND(Table2[[#This Row],[GameIsOver]]=1,Table2[[#This Row],[ActualHomeScore]]*Table2[[#This Row],[ActualAwayScore]]=0), 1,0)</f>
        <v>0</v>
      </c>
      <c r="AA4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/>
      <c r="AV464" s="2"/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45">
        <f>IF(AND(Table2[[#This Row],[GameIsOver]]=1,Table2[[#This Row],[ActualHomeScore]]*Table2[[#This Row],[ActualAwayScore]]=0), 1,0)</f>
        <v>0</v>
      </c>
      <c r="AA4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/>
      <c r="AV465" s="2"/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45">
        <f>IF(AND(Table2[[#This Row],[GameIsOver]]=1,Table2[[#This Row],[ActualHomeScore]]*Table2[[#This Row],[ActualAwayScore]]=0), 1,0)</f>
        <v>0</v>
      </c>
      <c r="AA4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/>
      <c r="AV466" s="2"/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45">
        <f>IF(AND(Table2[[#This Row],[GameIsOver]]=1,Table2[[#This Row],[ActualHomeScore]]*Table2[[#This Row],[ActualAwayScore]]=0), 1,0)</f>
        <v>0</v>
      </c>
      <c r="AA4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/>
      <c r="AV467" s="2"/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45">
        <f>IF(AND(Table2[[#This Row],[GameIsOver]]=1,Table2[[#This Row],[ActualHomeScore]]*Table2[[#This Row],[ActualAwayScore]]=0), 1,0)</f>
        <v>0</v>
      </c>
      <c r="AA4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/>
      <c r="AV468" s="2"/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45">
        <f>IF(AND(Table2[[#This Row],[GameIsOver]]=1,Table2[[#This Row],[ActualHomeScore]]*Table2[[#This Row],[ActualAwayScore]]=0), 1,0)</f>
        <v>0</v>
      </c>
      <c r="AA4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/>
      <c r="AV469" s="2"/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45">
        <f>IF(AND(Table2[[#This Row],[GameIsOver]]=1,Table2[[#This Row],[ActualHomeScore]]*Table2[[#This Row],[ActualAwayScore]]=0), 1,0)</f>
        <v>0</v>
      </c>
      <c r="AA4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/>
      <c r="AV470" s="2"/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45">
        <f>IF(AND(Table2[[#This Row],[GameIsOver]]=1,Table2[[#This Row],[ActualHomeScore]]*Table2[[#This Row],[ActualAwayScore]]=0), 1,0)</f>
        <v>0</v>
      </c>
      <c r="AA4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/>
      <c r="AV471" s="2"/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45">
        <f>IF(AND(Table2[[#This Row],[GameIsOver]]=1,Table2[[#This Row],[ActualHomeScore]]*Table2[[#This Row],[ActualAwayScore]]=0), 1,0)</f>
        <v>0</v>
      </c>
      <c r="AA4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2" s="2" t="str">
        <f>INDEX(Sheet5!$B$2:$AG$33, MATCH(Table2[[#This Row],[AwayTeam]],Sheet5!$A$2:$A$33, 0), MATCH(Table2[[#This Row],[HomeTeam]],Sheet5!$A$2:$A$33, 0))</f>
        <v>0-0-0</v>
      </c>
      <c r="AP472" s="2" t="str">
        <f>INDEX(Sheet5!$B$2:$AG$33, MATCH(Table2[[#This Row],[HomeTeam]],Sheet5!$A$2:$A$33, 0), MATCH(Table2[[#This Row],[AwayTeam]],Sheet5!$A$2:$A$33, 0))</f>
        <v>0-0-0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/>
      <c r="AV472" s="2"/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45">
        <f>IF(AND(Table2[[#This Row],[GameIsOver]]=1,Table2[[#This Row],[ActualHomeScore]]*Table2[[#This Row],[ActualAwayScore]]=0), 1,0)</f>
        <v>0</v>
      </c>
      <c r="AA4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/>
      <c r="AV473" s="2"/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45">
        <f>IF(AND(Table2[[#This Row],[GameIsOver]]=1,Table2[[#This Row],[ActualHomeScore]]*Table2[[#This Row],[ActualAwayScore]]=0), 1,0)</f>
        <v>0</v>
      </c>
      <c r="AA4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/>
      <c r="AV474" s="2"/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45">
        <f>IF(AND(Table2[[#This Row],[GameIsOver]]=1,Table2[[#This Row],[ActualHomeScore]]*Table2[[#This Row],[ActualAwayScore]]=0), 1,0)</f>
        <v>0</v>
      </c>
      <c r="AA4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5" s="2" t="str">
        <f>INDEX(Sheet5!$B$2:$AG$33, MATCH(Table2[[#This Row],[AwayTeam]],Sheet5!$A$2:$A$33, 0), MATCH(Table2[[#This Row],[HomeTeam]],Sheet5!$A$2:$A$33, 0))</f>
        <v>0-0-0</v>
      </c>
      <c r="AP475" s="2" t="str">
        <f>INDEX(Sheet5!$B$2:$AG$33, MATCH(Table2[[#This Row],[HomeTeam]],Sheet5!$A$2:$A$33, 0), MATCH(Table2[[#This Row],[AwayTeam]],Sheet5!$A$2:$A$33, 0))</f>
        <v>0-0-0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/>
      <c r="AV475" s="2"/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45">
        <f>IF(AND(Table2[[#This Row],[GameIsOver]]=1,Table2[[#This Row],[ActualHomeScore]]*Table2[[#This Row],[ActualAwayScore]]=0), 1,0)</f>
        <v>0</v>
      </c>
      <c r="AA4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/>
      <c r="AV476" s="2"/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45">
        <f>IF(AND(Table2[[#This Row],[GameIsOver]]=1,Table2[[#This Row],[ActualHomeScore]]*Table2[[#This Row],[ActualAwayScore]]=0), 1,0)</f>
        <v>0</v>
      </c>
      <c r="AA4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/>
      <c r="AV477" s="2"/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45">
        <f>IF(AND(Table2[[#This Row],[GameIsOver]]=1,Table2[[#This Row],[ActualHomeScore]]*Table2[[#This Row],[ActualAwayScore]]=0), 1,0)</f>
        <v>0</v>
      </c>
      <c r="AA4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/>
      <c r="AV478" s="2"/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45">
        <f>IF(AND(Table2[[#This Row],[GameIsOver]]=1,Table2[[#This Row],[ActualHomeScore]]*Table2[[#This Row],[ActualAwayScore]]=0), 1,0)</f>
        <v>0</v>
      </c>
      <c r="AA4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/>
      <c r="AV479" s="2"/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45">
        <f>IF(AND(Table2[[#This Row],[GameIsOver]]=1,Table2[[#This Row],[ActualHomeScore]]*Table2[[#This Row],[ActualAwayScore]]=0), 1,0)</f>
        <v>0</v>
      </c>
      <c r="AA4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/>
      <c r="AV480" s="2"/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45">
        <f>IF(AND(Table2[[#This Row],[GameIsOver]]=1,Table2[[#This Row],[ActualHomeScore]]*Table2[[#This Row],[ActualAwayScore]]=0), 1,0)</f>
        <v>0</v>
      </c>
      <c r="AA4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/>
      <c r="AV481" s="2"/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45">
        <f>IF(AND(Table2[[#This Row],[GameIsOver]]=1,Table2[[#This Row],[ActualHomeScore]]*Table2[[#This Row],[ActualAwayScore]]=0), 1,0)</f>
        <v>0</v>
      </c>
      <c r="AA4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/>
      <c r="AV482" s="2"/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45">
        <f>IF(AND(Table2[[#This Row],[GameIsOver]]=1,Table2[[#This Row],[ActualHomeScore]]*Table2[[#This Row],[ActualAwayScore]]=0), 1,0)</f>
        <v>0</v>
      </c>
      <c r="AA4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3" s="2" t="str">
        <f>INDEX(Sheet5!$B$2:$AG$33, MATCH(Table2[[#This Row],[AwayTeam]],Sheet5!$A$2:$A$33, 0), MATCH(Table2[[#This Row],[HomeTeam]],Sheet5!$A$2:$A$33, 0))</f>
        <v>0-0-0</v>
      </c>
      <c r="AP483" s="2" t="str">
        <f>INDEX(Sheet5!$B$2:$AG$33, MATCH(Table2[[#This Row],[HomeTeam]],Sheet5!$A$2:$A$33, 0), MATCH(Table2[[#This Row],[AwayTeam]],Sheet5!$A$2:$A$33, 0))</f>
        <v>0-0-0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/>
      <c r="AV483" s="2"/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45">
        <f>IF(AND(Table2[[#This Row],[GameIsOver]]=1,Table2[[#This Row],[ActualHomeScore]]*Table2[[#This Row],[ActualAwayScore]]=0), 1,0)</f>
        <v>0</v>
      </c>
      <c r="AA4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/>
      <c r="AV484" s="2"/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45">
        <f>IF(AND(Table2[[#This Row],[GameIsOver]]=1,Table2[[#This Row],[ActualHomeScore]]*Table2[[#This Row],[ActualAwayScore]]=0), 1,0)</f>
        <v>0</v>
      </c>
      <c r="AA4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/>
      <c r="AV485" s="2"/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45">
        <f>IF(AND(Table2[[#This Row],[GameIsOver]]=1,Table2[[#This Row],[ActualHomeScore]]*Table2[[#This Row],[ActualAwayScore]]=0), 1,0)</f>
        <v>0</v>
      </c>
      <c r="AA4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/>
      <c r="AV486" s="2"/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45">
        <f>IF(AND(Table2[[#This Row],[GameIsOver]]=1,Table2[[#This Row],[ActualHomeScore]]*Table2[[#This Row],[ActualAwayScore]]=0), 1,0)</f>
        <v>0</v>
      </c>
      <c r="AA4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/>
      <c r="AV487" s="2"/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45">
        <f>IF(AND(Table2[[#This Row],[GameIsOver]]=1,Table2[[#This Row],[ActualHomeScore]]*Table2[[#This Row],[ActualAwayScore]]=0), 1,0)</f>
        <v>0</v>
      </c>
      <c r="AA4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/>
      <c r="AV488" s="2"/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45">
        <f>IF(AND(Table2[[#This Row],[GameIsOver]]=1,Table2[[#This Row],[ActualHomeScore]]*Table2[[#This Row],[ActualAwayScore]]=0), 1,0)</f>
        <v>0</v>
      </c>
      <c r="AA4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/>
      <c r="AV489" s="2"/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45">
        <f>IF(AND(Table2[[#This Row],[GameIsOver]]=1,Table2[[#This Row],[ActualHomeScore]]*Table2[[#This Row],[ActualAwayScore]]=0), 1,0)</f>
        <v>0</v>
      </c>
      <c r="AA4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0" s="2" t="str">
        <f>INDEX(Sheet5!$B$2:$AG$33, MATCH(Table2[[#This Row],[AwayTeam]],Sheet5!$A$2:$A$33, 0), MATCH(Table2[[#This Row],[HomeTeam]],Sheet5!$A$2:$A$33, 0))</f>
        <v>0-0-0</v>
      </c>
      <c r="AP490" s="2" t="str">
        <f>INDEX(Sheet5!$B$2:$AG$33, MATCH(Table2[[#This Row],[HomeTeam]],Sheet5!$A$2:$A$33, 0), MATCH(Table2[[#This Row],[AwayTeam]],Sheet5!$A$2:$A$33, 0))</f>
        <v>0-0-0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/>
      <c r="AV490" s="2"/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45">
        <f>IF(AND(Table2[[#This Row],[GameIsOver]]=1,Table2[[#This Row],[ActualHomeScore]]*Table2[[#This Row],[ActualAwayScore]]=0), 1,0)</f>
        <v>0</v>
      </c>
      <c r="AA4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/>
      <c r="AV491" s="2"/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45">
        <f>IF(AND(Table2[[#This Row],[GameIsOver]]=1,Table2[[#This Row],[ActualHomeScore]]*Table2[[#This Row],[ActualAwayScore]]=0), 1,0)</f>
        <v>0</v>
      </c>
      <c r="AA4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/>
      <c r="AV492" s="2"/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45">
        <f>IF(AND(Table2[[#This Row],[GameIsOver]]=1,Table2[[#This Row],[ActualHomeScore]]*Table2[[#This Row],[ActualAwayScore]]=0), 1,0)</f>
        <v>0</v>
      </c>
      <c r="AA4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3" s="2" t="str">
        <f>INDEX(Sheet5!$B$2:$AG$33, MATCH(Table2[[#This Row],[AwayTeam]],Sheet5!$A$2:$A$33, 0), MATCH(Table2[[#This Row],[HomeTeam]],Sheet5!$A$2:$A$33, 0))</f>
        <v>0-0-0</v>
      </c>
      <c r="AP493" s="2" t="str">
        <f>INDEX(Sheet5!$B$2:$AG$33, MATCH(Table2[[#This Row],[HomeTeam]],Sheet5!$A$2:$A$33, 0), MATCH(Table2[[#This Row],[AwayTeam]],Sheet5!$A$2:$A$33, 0))</f>
        <v>0-0-0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/>
      <c r="AV493" s="2"/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45">
        <f>IF(AND(Table2[[#This Row],[GameIsOver]]=1,Table2[[#This Row],[ActualHomeScore]]*Table2[[#This Row],[ActualAwayScore]]=0), 1,0)</f>
        <v>0</v>
      </c>
      <c r="AA4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/>
      <c r="AV494" s="2"/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45">
        <f>IF(AND(Table2[[#This Row],[GameIsOver]]=1,Table2[[#This Row],[ActualHomeScore]]*Table2[[#This Row],[ActualAwayScore]]=0), 1,0)</f>
        <v>0</v>
      </c>
      <c r="AA4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5" s="2" t="str">
        <f>INDEX(Sheet5!$B$2:$AG$33, MATCH(Table2[[#This Row],[AwayTeam]],Sheet5!$A$2:$A$33, 0), MATCH(Table2[[#This Row],[HomeTeam]],Sheet5!$A$2:$A$33, 0))</f>
        <v>0-0-0</v>
      </c>
      <c r="AP495" s="2" t="str">
        <f>INDEX(Sheet5!$B$2:$AG$33, MATCH(Table2[[#This Row],[HomeTeam]],Sheet5!$A$2:$A$33, 0), MATCH(Table2[[#This Row],[AwayTeam]],Sheet5!$A$2:$A$33, 0))</f>
        <v>0-0-0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/>
      <c r="AV495" s="2"/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45">
        <f>IF(AND(Table2[[#This Row],[GameIsOver]]=1,Table2[[#This Row],[ActualHomeScore]]*Table2[[#This Row],[ActualAwayScore]]=0), 1,0)</f>
        <v>0</v>
      </c>
      <c r="AA4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/>
      <c r="AV496" s="2"/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45">
        <f>IF(AND(Table2[[#This Row],[GameIsOver]]=1,Table2[[#This Row],[ActualHomeScore]]*Table2[[#This Row],[ActualAwayScore]]=0), 1,0)</f>
        <v>0</v>
      </c>
      <c r="AA4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/>
      <c r="AV497" s="2"/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45">
        <f>IF(AND(Table2[[#This Row],[GameIsOver]]=1,Table2[[#This Row],[ActualHomeScore]]*Table2[[#This Row],[ActualAwayScore]]=0), 1,0)</f>
        <v>0</v>
      </c>
      <c r="AA4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/>
      <c r="AV498" s="2"/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45">
        <f>IF(AND(Table2[[#This Row],[GameIsOver]]=1,Table2[[#This Row],[ActualHomeScore]]*Table2[[#This Row],[ActualAwayScore]]=0), 1,0)</f>
        <v>0</v>
      </c>
      <c r="AA4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9" s="2" t="str">
        <f>INDEX(Sheet5!$B$2:$AG$33, MATCH(Table2[[#This Row],[AwayTeam]],Sheet5!$A$2:$A$33, 0), MATCH(Table2[[#This Row],[HomeTeam]],Sheet5!$A$2:$A$33, 0))</f>
        <v>0-0-0</v>
      </c>
      <c r="AP499" s="2" t="str">
        <f>INDEX(Sheet5!$B$2:$AG$33, MATCH(Table2[[#This Row],[HomeTeam]],Sheet5!$A$2:$A$33, 0), MATCH(Table2[[#This Row],[AwayTeam]],Sheet5!$A$2:$A$33, 0))</f>
        <v>0-0-0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/>
      <c r="AV499" s="2"/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45">
        <f>IF(AND(Table2[[#This Row],[GameIsOver]]=1,Table2[[#This Row],[ActualHomeScore]]*Table2[[#This Row],[ActualAwayScore]]=0), 1,0)</f>
        <v>0</v>
      </c>
      <c r="AA5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/>
      <c r="AV500" s="2"/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45">
        <f>IF(AND(Table2[[#This Row],[GameIsOver]]=1,Table2[[#This Row],[ActualHomeScore]]*Table2[[#This Row],[ActualAwayScore]]=0), 1,0)</f>
        <v>0</v>
      </c>
      <c r="AA5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/>
      <c r="AV501" s="2"/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45">
        <f>IF(AND(Table2[[#This Row],[GameIsOver]]=1,Table2[[#This Row],[ActualHomeScore]]*Table2[[#This Row],[ActualAwayScore]]=0), 1,0)</f>
        <v>0</v>
      </c>
      <c r="AA5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2" s="2" t="str">
        <f>INDEX(Sheet5!$B$2:$AG$33, MATCH(Table2[[#This Row],[AwayTeam]],Sheet5!$A$2:$A$33, 0), MATCH(Table2[[#This Row],[HomeTeam]],Sheet5!$A$2:$A$33, 0))</f>
        <v>0-0-0</v>
      </c>
      <c r="AP502" s="2" t="str">
        <f>INDEX(Sheet5!$B$2:$AG$33, MATCH(Table2[[#This Row],[HomeTeam]],Sheet5!$A$2:$A$33, 0), MATCH(Table2[[#This Row],[AwayTeam]],Sheet5!$A$2:$A$33, 0))</f>
        <v>0-0-0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/>
      <c r="AV502" s="2"/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45">
        <f>IF(AND(Table2[[#This Row],[GameIsOver]]=1,Table2[[#This Row],[ActualHomeScore]]*Table2[[#This Row],[ActualAwayScore]]=0), 1,0)</f>
        <v>0</v>
      </c>
      <c r="AA5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3" s="2" t="str">
        <f>INDEX(Sheet5!$B$2:$AG$33, MATCH(Table2[[#This Row],[AwayTeam]],Sheet5!$A$2:$A$33, 0), MATCH(Table2[[#This Row],[HomeTeam]],Sheet5!$A$2:$A$33, 0))</f>
        <v>0-0-0</v>
      </c>
      <c r="AP503" s="2" t="str">
        <f>INDEX(Sheet5!$B$2:$AG$33, MATCH(Table2[[#This Row],[HomeTeam]],Sheet5!$A$2:$A$33, 0), MATCH(Table2[[#This Row],[AwayTeam]],Sheet5!$A$2:$A$33, 0))</f>
        <v>0-0-0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/>
      <c r="AV503" s="2"/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45">
        <f>IF(AND(Table2[[#This Row],[GameIsOver]]=1,Table2[[#This Row],[ActualHomeScore]]*Table2[[#This Row],[ActualAwayScore]]=0), 1,0)</f>
        <v>0</v>
      </c>
      <c r="AA5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/>
      <c r="AV504" s="2"/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45">
        <f>IF(AND(Table2[[#This Row],[GameIsOver]]=1,Table2[[#This Row],[ActualHomeScore]]*Table2[[#This Row],[ActualAwayScore]]=0), 1,0)</f>
        <v>0</v>
      </c>
      <c r="AA5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/>
      <c r="AV505" s="2"/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45">
        <f>IF(AND(Table2[[#This Row],[GameIsOver]]=1,Table2[[#This Row],[ActualHomeScore]]*Table2[[#This Row],[ActualAwayScore]]=0), 1,0)</f>
        <v>0</v>
      </c>
      <c r="AA5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/>
      <c r="AV506" s="2"/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45">
        <f>IF(AND(Table2[[#This Row],[GameIsOver]]=1,Table2[[#This Row],[ActualHomeScore]]*Table2[[#This Row],[ActualAwayScore]]=0), 1,0)</f>
        <v>0</v>
      </c>
      <c r="AA5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/>
      <c r="AV507" s="2"/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45">
        <f>IF(AND(Table2[[#This Row],[GameIsOver]]=1,Table2[[#This Row],[ActualHomeScore]]*Table2[[#This Row],[ActualAwayScore]]=0), 1,0)</f>
        <v>0</v>
      </c>
      <c r="AA5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/>
      <c r="AV508" s="2"/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45">
        <f>IF(AND(Table2[[#This Row],[GameIsOver]]=1,Table2[[#This Row],[ActualHomeScore]]*Table2[[#This Row],[ActualAwayScore]]=0), 1,0)</f>
        <v>0</v>
      </c>
      <c r="AA5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/>
      <c r="AV509" s="2"/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45">
        <f>IF(AND(Table2[[#This Row],[GameIsOver]]=1,Table2[[#This Row],[ActualHomeScore]]*Table2[[#This Row],[ActualAwayScore]]=0), 1,0)</f>
        <v>0</v>
      </c>
      <c r="AA5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/>
      <c r="AV510" s="2"/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45">
        <f>IF(AND(Table2[[#This Row],[GameIsOver]]=1,Table2[[#This Row],[ActualHomeScore]]*Table2[[#This Row],[ActualAwayScore]]=0), 1,0)</f>
        <v>0</v>
      </c>
      <c r="AA5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/>
      <c r="AV511" s="2"/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45">
        <f>IF(AND(Table2[[#This Row],[GameIsOver]]=1,Table2[[#This Row],[ActualHomeScore]]*Table2[[#This Row],[ActualAwayScore]]=0), 1,0)</f>
        <v>0</v>
      </c>
      <c r="AA5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2" s="2" t="str">
        <f>INDEX(Sheet5!$B$2:$AG$33, MATCH(Table2[[#This Row],[AwayTeam]],Sheet5!$A$2:$A$33, 0), MATCH(Table2[[#This Row],[HomeTeam]],Sheet5!$A$2:$A$33, 0))</f>
        <v>0-0-0</v>
      </c>
      <c r="AP512" s="2" t="str">
        <f>INDEX(Sheet5!$B$2:$AG$33, MATCH(Table2[[#This Row],[HomeTeam]],Sheet5!$A$2:$A$33, 0), MATCH(Table2[[#This Row],[AwayTeam]],Sheet5!$A$2:$A$33, 0))</f>
        <v>0-0-0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/>
      <c r="AV512" s="2"/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45">
        <f>IF(AND(Table2[[#This Row],[GameIsOver]]=1,Table2[[#This Row],[ActualHomeScore]]*Table2[[#This Row],[ActualAwayScore]]=0), 1,0)</f>
        <v>0</v>
      </c>
      <c r="AA5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/>
      <c r="AV513" s="2"/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45">
        <f>IF(AND(Table2[[#This Row],[GameIsOver]]=1,Table2[[#This Row],[ActualHomeScore]]*Table2[[#This Row],[ActualAwayScore]]=0), 1,0)</f>
        <v>0</v>
      </c>
      <c r="AA5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4" s="2" t="str">
        <f>INDEX(Sheet5!$B$2:$AG$33, MATCH(Table2[[#This Row],[AwayTeam]],Sheet5!$A$2:$A$33, 0), MATCH(Table2[[#This Row],[HomeTeam]],Sheet5!$A$2:$A$33, 0))</f>
        <v>0-0-0</v>
      </c>
      <c r="AP514" s="2" t="str">
        <f>INDEX(Sheet5!$B$2:$AG$33, MATCH(Table2[[#This Row],[HomeTeam]],Sheet5!$A$2:$A$33, 0), MATCH(Table2[[#This Row],[AwayTeam]],Sheet5!$A$2:$A$33, 0))</f>
        <v>0-0-0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/>
      <c r="AV514" s="2"/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45">
        <f>IF(AND(Table2[[#This Row],[GameIsOver]]=1,Table2[[#This Row],[ActualHomeScore]]*Table2[[#This Row],[ActualAwayScore]]=0), 1,0)</f>
        <v>0</v>
      </c>
      <c r="AA5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/>
      <c r="AV515" s="2"/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45">
        <f>IF(AND(Table2[[#This Row],[GameIsOver]]=1,Table2[[#This Row],[ActualHomeScore]]*Table2[[#This Row],[ActualAwayScore]]=0), 1,0)</f>
        <v>0</v>
      </c>
      <c r="AA5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/>
      <c r="AV516" s="2"/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45">
        <f>IF(AND(Table2[[#This Row],[GameIsOver]]=1,Table2[[#This Row],[ActualHomeScore]]*Table2[[#This Row],[ActualAwayScore]]=0), 1,0)</f>
        <v>0</v>
      </c>
      <c r="AA5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/>
      <c r="AV517" s="2"/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45">
        <f>IF(AND(Table2[[#This Row],[GameIsOver]]=1,Table2[[#This Row],[ActualHomeScore]]*Table2[[#This Row],[ActualAwayScore]]=0), 1,0)</f>
        <v>0</v>
      </c>
      <c r="AA5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/>
      <c r="AV518" s="2"/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45">
        <f>IF(AND(Table2[[#This Row],[GameIsOver]]=1,Table2[[#This Row],[ActualHomeScore]]*Table2[[#This Row],[ActualAwayScore]]=0), 1,0)</f>
        <v>0</v>
      </c>
      <c r="AA5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/>
      <c r="AV519" s="2"/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45">
        <f>IF(AND(Table2[[#This Row],[GameIsOver]]=1,Table2[[#This Row],[ActualHomeScore]]*Table2[[#This Row],[ActualAwayScore]]=0), 1,0)</f>
        <v>0</v>
      </c>
      <c r="AA5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0" s="2" t="str">
        <f>INDEX(Sheet5!$B$2:$AG$33, MATCH(Table2[[#This Row],[AwayTeam]],Sheet5!$A$2:$A$33, 0), MATCH(Table2[[#This Row],[HomeTeam]],Sheet5!$A$2:$A$33, 0))</f>
        <v>0-0-0</v>
      </c>
      <c r="AP520" s="2" t="str">
        <f>INDEX(Sheet5!$B$2:$AG$33, MATCH(Table2[[#This Row],[HomeTeam]],Sheet5!$A$2:$A$33, 0), MATCH(Table2[[#This Row],[AwayTeam]],Sheet5!$A$2:$A$33, 0))</f>
        <v>0-0-0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/>
      <c r="AV520" s="2"/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45">
        <f>IF(AND(Table2[[#This Row],[GameIsOver]]=1,Table2[[#This Row],[ActualHomeScore]]*Table2[[#This Row],[ActualAwayScore]]=0), 1,0)</f>
        <v>0</v>
      </c>
      <c r="AA5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1" s="2" t="str">
        <f>INDEX(Sheet5!$B$2:$AG$33, MATCH(Table2[[#This Row],[AwayTeam]],Sheet5!$A$2:$A$33, 0), MATCH(Table2[[#This Row],[HomeTeam]],Sheet5!$A$2:$A$33, 0))</f>
        <v>0-0-0</v>
      </c>
      <c r="AP521" s="2" t="str">
        <f>INDEX(Sheet5!$B$2:$AG$33, MATCH(Table2[[#This Row],[HomeTeam]],Sheet5!$A$2:$A$33, 0), MATCH(Table2[[#This Row],[AwayTeam]],Sheet5!$A$2:$A$33, 0))</f>
        <v>0-0-0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/>
      <c r="AV521" s="2"/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45">
        <f>IF(AND(Table2[[#This Row],[GameIsOver]]=1,Table2[[#This Row],[ActualHomeScore]]*Table2[[#This Row],[ActualAwayScore]]=0), 1,0)</f>
        <v>0</v>
      </c>
      <c r="AA5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/>
      <c r="AV522" s="2"/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45">
        <f>IF(AND(Table2[[#This Row],[GameIsOver]]=1,Table2[[#This Row],[ActualHomeScore]]*Table2[[#This Row],[ActualAwayScore]]=0), 1,0)</f>
        <v>0</v>
      </c>
      <c r="AA5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/>
      <c r="AV523" s="2"/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45">
        <f>IF(AND(Table2[[#This Row],[GameIsOver]]=1,Table2[[#This Row],[ActualHomeScore]]*Table2[[#This Row],[ActualAwayScore]]=0), 1,0)</f>
        <v>0</v>
      </c>
      <c r="AA5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4" s="2" t="str">
        <f>INDEX(Sheet5!$B$2:$AG$33, MATCH(Table2[[#This Row],[AwayTeam]],Sheet5!$A$2:$A$33, 0), MATCH(Table2[[#This Row],[HomeTeam]],Sheet5!$A$2:$A$33, 0))</f>
        <v>0-0-0</v>
      </c>
      <c r="AP524" s="2" t="str">
        <f>INDEX(Sheet5!$B$2:$AG$33, MATCH(Table2[[#This Row],[HomeTeam]],Sheet5!$A$2:$A$33, 0), MATCH(Table2[[#This Row],[AwayTeam]],Sheet5!$A$2:$A$33, 0))</f>
        <v>0-0-0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/>
      <c r="AV524" s="2"/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45">
        <f>IF(AND(Table2[[#This Row],[GameIsOver]]=1,Table2[[#This Row],[ActualHomeScore]]*Table2[[#This Row],[ActualAwayScore]]=0), 1,0)</f>
        <v>0</v>
      </c>
      <c r="AA5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5" s="2" t="str">
        <f>INDEX(Sheet5!$B$2:$AG$33, MATCH(Table2[[#This Row],[AwayTeam]],Sheet5!$A$2:$A$33, 0), MATCH(Table2[[#This Row],[HomeTeam]],Sheet5!$A$2:$A$33, 0))</f>
        <v>0-0-0</v>
      </c>
      <c r="AP525" s="2" t="str">
        <f>INDEX(Sheet5!$B$2:$AG$33, MATCH(Table2[[#This Row],[HomeTeam]],Sheet5!$A$2:$A$33, 0), MATCH(Table2[[#This Row],[AwayTeam]],Sheet5!$A$2:$A$33, 0))</f>
        <v>0-0-0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/>
      <c r="AV525" s="2"/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45">
        <f>IF(AND(Table2[[#This Row],[GameIsOver]]=1,Table2[[#This Row],[ActualHomeScore]]*Table2[[#This Row],[ActualAwayScore]]=0), 1,0)</f>
        <v>0</v>
      </c>
      <c r="AA5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/>
      <c r="AV526" s="2"/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45">
        <f>IF(AND(Table2[[#This Row],[GameIsOver]]=1,Table2[[#This Row],[ActualHomeScore]]*Table2[[#This Row],[ActualAwayScore]]=0), 1,0)</f>
        <v>0</v>
      </c>
      <c r="AA5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/>
      <c r="AV527" s="2"/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45">
        <f>IF(AND(Table2[[#This Row],[GameIsOver]]=1,Table2[[#This Row],[ActualHomeScore]]*Table2[[#This Row],[ActualAwayScore]]=0), 1,0)</f>
        <v>0</v>
      </c>
      <c r="AA5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8" s="2" t="str">
        <f>INDEX(Sheet5!$B$2:$AG$33, MATCH(Table2[[#This Row],[AwayTeam]],Sheet5!$A$2:$A$33, 0), MATCH(Table2[[#This Row],[HomeTeam]],Sheet5!$A$2:$A$33, 0))</f>
        <v>0-0-0</v>
      </c>
      <c r="AP528" s="2" t="str">
        <f>INDEX(Sheet5!$B$2:$AG$33, MATCH(Table2[[#This Row],[HomeTeam]],Sheet5!$A$2:$A$33, 0), MATCH(Table2[[#This Row],[AwayTeam]],Sheet5!$A$2:$A$33, 0))</f>
        <v>0-0-0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/>
      <c r="AV528" s="2"/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45">
        <f>IF(AND(Table2[[#This Row],[GameIsOver]]=1,Table2[[#This Row],[ActualHomeScore]]*Table2[[#This Row],[ActualAwayScore]]=0), 1,0)</f>
        <v>0</v>
      </c>
      <c r="AA5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/>
      <c r="AV529" s="2"/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45">
        <f>IF(AND(Table2[[#This Row],[GameIsOver]]=1,Table2[[#This Row],[ActualHomeScore]]*Table2[[#This Row],[ActualAwayScore]]=0), 1,0)</f>
        <v>0</v>
      </c>
      <c r="AA5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/>
      <c r="AV530" s="2"/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45">
        <f>IF(AND(Table2[[#This Row],[GameIsOver]]=1,Table2[[#This Row],[ActualHomeScore]]*Table2[[#This Row],[ActualAwayScore]]=0), 1,0)</f>
        <v>0</v>
      </c>
      <c r="AA5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/>
      <c r="AV531" s="2"/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45">
        <f>IF(AND(Table2[[#This Row],[GameIsOver]]=1,Table2[[#This Row],[ActualHomeScore]]*Table2[[#This Row],[ActualAwayScore]]=0), 1,0)</f>
        <v>0</v>
      </c>
      <c r="AA5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/>
      <c r="AV532" s="2"/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45">
        <f>IF(AND(Table2[[#This Row],[GameIsOver]]=1,Table2[[#This Row],[ActualHomeScore]]*Table2[[#This Row],[ActualAwayScore]]=0), 1,0)</f>
        <v>0</v>
      </c>
      <c r="AA5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/>
      <c r="AV533" s="2"/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45">
        <f>IF(AND(Table2[[#This Row],[GameIsOver]]=1,Table2[[#This Row],[ActualHomeScore]]*Table2[[#This Row],[ActualAwayScore]]=0), 1,0)</f>
        <v>0</v>
      </c>
      <c r="AA5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/>
      <c r="AV534" s="2"/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45">
        <f>IF(AND(Table2[[#This Row],[GameIsOver]]=1,Table2[[#This Row],[ActualHomeScore]]*Table2[[#This Row],[ActualAwayScore]]=0), 1,0)</f>
        <v>0</v>
      </c>
      <c r="AA5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/>
      <c r="AV535" s="2"/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45">
        <f>IF(AND(Table2[[#This Row],[GameIsOver]]=1,Table2[[#This Row],[ActualHomeScore]]*Table2[[#This Row],[ActualAwayScore]]=0), 1,0)</f>
        <v>0</v>
      </c>
      <c r="AA5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/>
      <c r="AV536" s="2"/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45">
        <f>IF(AND(Table2[[#This Row],[GameIsOver]]=1,Table2[[#This Row],[ActualHomeScore]]*Table2[[#This Row],[ActualAwayScore]]=0), 1,0)</f>
        <v>0</v>
      </c>
      <c r="AA5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/>
      <c r="AV537" s="2"/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45">
        <f>IF(AND(Table2[[#This Row],[GameIsOver]]=1,Table2[[#This Row],[ActualHomeScore]]*Table2[[#This Row],[ActualAwayScore]]=0), 1,0)</f>
        <v>0</v>
      </c>
      <c r="AA5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8" s="2" t="str">
        <f>INDEX(Sheet5!$B$2:$AG$33, MATCH(Table2[[#This Row],[AwayTeam]],Sheet5!$A$2:$A$33, 0), MATCH(Table2[[#This Row],[HomeTeam]],Sheet5!$A$2:$A$33, 0))</f>
        <v>0-0-0</v>
      </c>
      <c r="AP538" s="2" t="str">
        <f>INDEX(Sheet5!$B$2:$AG$33, MATCH(Table2[[#This Row],[HomeTeam]],Sheet5!$A$2:$A$33, 0), MATCH(Table2[[#This Row],[AwayTeam]],Sheet5!$A$2:$A$33, 0))</f>
        <v>0-0-0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/>
      <c r="AV538" s="2"/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45">
        <f>IF(AND(Table2[[#This Row],[GameIsOver]]=1,Table2[[#This Row],[ActualHomeScore]]*Table2[[#This Row],[ActualAwayScore]]=0), 1,0)</f>
        <v>0</v>
      </c>
      <c r="AA5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/>
      <c r="AV539" s="2"/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45">
        <f>IF(AND(Table2[[#This Row],[GameIsOver]]=1,Table2[[#This Row],[ActualHomeScore]]*Table2[[#This Row],[ActualAwayScore]]=0), 1,0)</f>
        <v>0</v>
      </c>
      <c r="AA5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/>
      <c r="AV540" s="2"/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45">
        <f>IF(AND(Table2[[#This Row],[GameIsOver]]=1,Table2[[#This Row],[ActualHomeScore]]*Table2[[#This Row],[ActualAwayScore]]=0), 1,0)</f>
        <v>0</v>
      </c>
      <c r="AA5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/>
      <c r="AV541" s="2"/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45">
        <f>IF(AND(Table2[[#This Row],[GameIsOver]]=1,Table2[[#This Row],[ActualHomeScore]]*Table2[[#This Row],[ActualAwayScore]]=0), 1,0)</f>
        <v>0</v>
      </c>
      <c r="AA5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2" s="2" t="str">
        <f>INDEX(Sheet5!$B$2:$AG$33, MATCH(Table2[[#This Row],[AwayTeam]],Sheet5!$A$2:$A$33, 0), MATCH(Table2[[#This Row],[HomeTeam]],Sheet5!$A$2:$A$33, 0))</f>
        <v>0-0-0</v>
      </c>
      <c r="AP542" s="2" t="str">
        <f>INDEX(Sheet5!$B$2:$AG$33, MATCH(Table2[[#This Row],[HomeTeam]],Sheet5!$A$2:$A$33, 0), MATCH(Table2[[#This Row],[AwayTeam]],Sheet5!$A$2:$A$33, 0))</f>
        <v>0-0-0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/>
      <c r="AV542" s="2"/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45">
        <f>IF(AND(Table2[[#This Row],[GameIsOver]]=1,Table2[[#This Row],[ActualHomeScore]]*Table2[[#This Row],[ActualAwayScore]]=0), 1,0)</f>
        <v>0</v>
      </c>
      <c r="AA5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/>
      <c r="AV543" s="2"/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45">
        <f>IF(AND(Table2[[#This Row],[GameIsOver]]=1,Table2[[#This Row],[ActualHomeScore]]*Table2[[#This Row],[ActualAwayScore]]=0), 1,0)</f>
        <v>0</v>
      </c>
      <c r="AA5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_xlfn.TEXTJOIN(";", 1, $BD$31:$BD$40)), 0) &gt; 0, 1, 0) + IF(IFERROR(FIND(Table2[[#This Row],[HomeTeam]], _xlfn.TEXTJOIN(";", 1, $BD$31:$BD$40)), 0) &gt; 0, 1, 0)</f>
        <v>1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/>
      <c r="AV544" s="2"/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45">
        <f>IF(AND(Table2[[#This Row],[GameIsOver]]=1,Table2[[#This Row],[ActualHomeScore]]*Table2[[#This Row],[ActualAwayScore]]=0), 1,0)</f>
        <v>0</v>
      </c>
      <c r="AA5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/>
      <c r="AV545" s="2"/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45">
        <f>IF(AND(Table2[[#This Row],[GameIsOver]]=1,Table2[[#This Row],[ActualHomeScore]]*Table2[[#This Row],[ActualAwayScore]]=0), 1,0)</f>
        <v>0</v>
      </c>
      <c r="AA5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/>
      <c r="AV546" s="2"/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45">
        <f>IF(AND(Table2[[#This Row],[GameIsOver]]=1,Table2[[#This Row],[ActualHomeScore]]*Table2[[#This Row],[ActualAwayScore]]=0), 1,0)</f>
        <v>0</v>
      </c>
      <c r="AA5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/>
      <c r="AV547" s="2"/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45">
        <f>IF(AND(Table2[[#This Row],[GameIsOver]]=1,Table2[[#This Row],[ActualHomeScore]]*Table2[[#This Row],[ActualAwayScore]]=0), 1,0)</f>
        <v>0</v>
      </c>
      <c r="AA5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/>
      <c r="AV548" s="2"/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45">
        <f>IF(AND(Table2[[#This Row],[GameIsOver]]=1,Table2[[#This Row],[ActualHomeScore]]*Table2[[#This Row],[ActualAwayScore]]=0), 1,0)</f>
        <v>0</v>
      </c>
      <c r="AA5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/>
      <c r="AV549" s="2"/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45">
        <f>IF(AND(Table2[[#This Row],[GameIsOver]]=1,Table2[[#This Row],[ActualHomeScore]]*Table2[[#This Row],[ActualAwayScore]]=0), 1,0)</f>
        <v>0</v>
      </c>
      <c r="AA5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/>
      <c r="AV550" s="2"/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45">
        <f>IF(AND(Table2[[#This Row],[GameIsOver]]=1,Table2[[#This Row],[ActualHomeScore]]*Table2[[#This Row],[ActualAwayScore]]=0), 1,0)</f>
        <v>0</v>
      </c>
      <c r="AA5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/>
      <c r="AV551" s="2"/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45">
        <f>IF(AND(Table2[[#This Row],[GameIsOver]]=1,Table2[[#This Row],[ActualHomeScore]]*Table2[[#This Row],[ActualAwayScore]]=0), 1,0)</f>
        <v>0</v>
      </c>
      <c r="AA5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/>
      <c r="AV552" s="2"/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45">
        <f>IF(AND(Table2[[#This Row],[GameIsOver]]=1,Table2[[#This Row],[ActualHomeScore]]*Table2[[#This Row],[ActualAwayScore]]=0), 1,0)</f>
        <v>0</v>
      </c>
      <c r="AA5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3" s="2" t="str">
        <f>INDEX(Sheet5!$B$2:$AG$33, MATCH(Table2[[#This Row],[AwayTeam]],Sheet5!$A$2:$A$33, 0), MATCH(Table2[[#This Row],[HomeTeam]],Sheet5!$A$2:$A$33, 0))</f>
        <v>0-0-0</v>
      </c>
      <c r="AP553" s="2" t="str">
        <f>INDEX(Sheet5!$B$2:$AG$33, MATCH(Table2[[#This Row],[HomeTeam]],Sheet5!$A$2:$A$33, 0), MATCH(Table2[[#This Row],[AwayTeam]],Sheet5!$A$2:$A$33, 0))</f>
        <v>0-0-0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/>
      <c r="AV553" s="2"/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45">
        <f>IF(AND(Table2[[#This Row],[GameIsOver]]=1,Table2[[#This Row],[ActualHomeScore]]*Table2[[#This Row],[ActualAwayScore]]=0), 1,0)</f>
        <v>0</v>
      </c>
      <c r="AA5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/>
      <c r="AV554" s="2"/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45">
        <f>IF(AND(Table2[[#This Row],[GameIsOver]]=1,Table2[[#This Row],[ActualHomeScore]]*Table2[[#This Row],[ActualAwayScore]]=0), 1,0)</f>
        <v>0</v>
      </c>
      <c r="AA5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/>
      <c r="AV555" s="2"/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45">
        <f>IF(AND(Table2[[#This Row],[GameIsOver]]=1,Table2[[#This Row],[ActualHomeScore]]*Table2[[#This Row],[ActualAwayScore]]=0), 1,0)</f>
        <v>0</v>
      </c>
      <c r="AA5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/>
      <c r="AV556" s="2"/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45">
        <f>IF(AND(Table2[[#This Row],[GameIsOver]]=1,Table2[[#This Row],[ActualHomeScore]]*Table2[[#This Row],[ActualAwayScore]]=0), 1,0)</f>
        <v>0</v>
      </c>
      <c r="AA5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/>
      <c r="AV557" s="2"/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45">
        <f>IF(AND(Table2[[#This Row],[GameIsOver]]=1,Table2[[#This Row],[ActualHomeScore]]*Table2[[#This Row],[ActualAwayScore]]=0), 1,0)</f>
        <v>0</v>
      </c>
      <c r="AA5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/>
      <c r="AV558" s="2"/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45">
        <f>IF(AND(Table2[[#This Row],[GameIsOver]]=1,Table2[[#This Row],[ActualHomeScore]]*Table2[[#This Row],[ActualAwayScore]]=0), 1,0)</f>
        <v>0</v>
      </c>
      <c r="AA5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/>
      <c r="AV559" s="2"/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45">
        <f>IF(AND(Table2[[#This Row],[GameIsOver]]=1,Table2[[#This Row],[ActualHomeScore]]*Table2[[#This Row],[ActualAwayScore]]=0), 1,0)</f>
        <v>0</v>
      </c>
      <c r="AA5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0" s="2" t="str">
        <f>INDEX(Sheet5!$B$2:$AG$33, MATCH(Table2[[#This Row],[AwayTeam]],Sheet5!$A$2:$A$33, 0), MATCH(Table2[[#This Row],[HomeTeam]],Sheet5!$A$2:$A$33, 0))</f>
        <v>0-0-0</v>
      </c>
      <c r="AP560" s="2" t="str">
        <f>INDEX(Sheet5!$B$2:$AG$33, MATCH(Table2[[#This Row],[HomeTeam]],Sheet5!$A$2:$A$33, 0), MATCH(Table2[[#This Row],[AwayTeam]],Sheet5!$A$2:$A$33, 0))</f>
        <v>0-0-0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/>
      <c r="AV560" s="2"/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45">
        <f>IF(AND(Table2[[#This Row],[GameIsOver]]=1,Table2[[#This Row],[ActualHomeScore]]*Table2[[#This Row],[ActualAwayScore]]=0), 1,0)</f>
        <v>0</v>
      </c>
      <c r="AA5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561" s="2" t="str">
        <f>INDEX(Sheet5!$B$2:$AG$33, MATCH(Table2[[#This Row],[AwayTeam]],Sheet5!$A$2:$A$33, 0), MATCH(Table2[[#This Row],[HomeTeam]],Sheet5!$A$2:$A$33, 0))</f>
        <v>0-0-0</v>
      </c>
      <c r="AP561" s="2" t="str">
        <f>INDEX(Sheet5!$B$2:$AG$33, MATCH(Table2[[#This Row],[HomeTeam]],Sheet5!$A$2:$A$33, 0), MATCH(Table2[[#This Row],[AwayTeam]],Sheet5!$A$2:$A$33, 0))</f>
        <v>0-0-0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/>
      <c r="AV561" s="2"/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45">
        <f>IF(AND(Table2[[#This Row],[GameIsOver]]=1,Table2[[#This Row],[ActualHomeScore]]*Table2[[#This Row],[ActualAwayScore]]=0), 1,0)</f>
        <v>0</v>
      </c>
      <c r="AA5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/>
      <c r="AV562" s="2"/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45">
        <f>IF(AND(Table2[[#This Row],[GameIsOver]]=1,Table2[[#This Row],[ActualHomeScore]]*Table2[[#This Row],[ActualAwayScore]]=0), 1,0)</f>
        <v>0</v>
      </c>
      <c r="AA5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/>
      <c r="AV563" s="2"/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45">
        <f>IF(AND(Table2[[#This Row],[GameIsOver]]=1,Table2[[#This Row],[ActualHomeScore]]*Table2[[#This Row],[ActualAwayScore]]=0), 1,0)</f>
        <v>0</v>
      </c>
      <c r="AA5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/>
      <c r="AV564" s="2"/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45">
        <f>IF(AND(Table2[[#This Row],[GameIsOver]]=1,Table2[[#This Row],[ActualHomeScore]]*Table2[[#This Row],[ActualAwayScore]]=0), 1,0)</f>
        <v>0</v>
      </c>
      <c r="AA5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/>
      <c r="AV565" s="2"/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45">
        <f>IF(AND(Table2[[#This Row],[GameIsOver]]=1,Table2[[#This Row],[ActualHomeScore]]*Table2[[#This Row],[ActualAwayScore]]=0), 1,0)</f>
        <v>0</v>
      </c>
      <c r="AA5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6" s="2" t="str">
        <f>INDEX(Sheet5!$B$2:$AG$33, MATCH(Table2[[#This Row],[AwayTeam]],Sheet5!$A$2:$A$33, 0), MATCH(Table2[[#This Row],[HomeTeam]],Sheet5!$A$2:$A$33, 0))</f>
        <v>0-0-0</v>
      </c>
      <c r="AP566" s="2" t="str">
        <f>INDEX(Sheet5!$B$2:$AG$33, MATCH(Table2[[#This Row],[HomeTeam]],Sheet5!$A$2:$A$33, 0), MATCH(Table2[[#This Row],[AwayTeam]],Sheet5!$A$2:$A$33, 0))</f>
        <v>0-0-0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/>
      <c r="AV566" s="2"/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45">
        <f>IF(AND(Table2[[#This Row],[GameIsOver]]=1,Table2[[#This Row],[ActualHomeScore]]*Table2[[#This Row],[ActualAwayScore]]=0), 1,0)</f>
        <v>0</v>
      </c>
      <c r="AA5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/>
      <c r="AV567" s="2"/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45">
        <f>IF(AND(Table2[[#This Row],[GameIsOver]]=1,Table2[[#This Row],[ActualHomeScore]]*Table2[[#This Row],[ActualAwayScore]]=0), 1,0)</f>
        <v>0</v>
      </c>
      <c r="AA5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/>
      <c r="AV568" s="2"/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45">
        <f>IF(AND(Table2[[#This Row],[GameIsOver]]=1,Table2[[#This Row],[ActualHomeScore]]*Table2[[#This Row],[ActualAwayScore]]=0), 1,0)</f>
        <v>0</v>
      </c>
      <c r="AA5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/>
      <c r="AV569" s="2"/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45">
        <f>IF(AND(Table2[[#This Row],[GameIsOver]]=1,Table2[[#This Row],[ActualHomeScore]]*Table2[[#This Row],[ActualAwayScore]]=0), 1,0)</f>
        <v>0</v>
      </c>
      <c r="AA5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/>
      <c r="AV570" s="2"/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45">
        <f>IF(AND(Table2[[#This Row],[GameIsOver]]=1,Table2[[#This Row],[ActualHomeScore]]*Table2[[#This Row],[ActualAwayScore]]=0), 1,0)</f>
        <v>0</v>
      </c>
      <c r="AA5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1" s="2" t="str">
        <f>INDEX(Sheet5!$B$2:$AG$33, MATCH(Table2[[#This Row],[AwayTeam]],Sheet5!$A$2:$A$33, 0), MATCH(Table2[[#This Row],[HomeTeam]],Sheet5!$A$2:$A$33, 0))</f>
        <v>0-0-0</v>
      </c>
      <c r="AP571" s="2" t="str">
        <f>INDEX(Sheet5!$B$2:$AG$33, MATCH(Table2[[#This Row],[HomeTeam]],Sheet5!$A$2:$A$33, 0), MATCH(Table2[[#This Row],[AwayTeam]],Sheet5!$A$2:$A$33, 0))</f>
        <v>0-0-0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/>
      <c r="AV571" s="2"/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45">
        <f>IF(AND(Table2[[#This Row],[GameIsOver]]=1,Table2[[#This Row],[ActualHomeScore]]*Table2[[#This Row],[ActualAwayScore]]=0), 1,0)</f>
        <v>0</v>
      </c>
      <c r="AA5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/>
      <c r="AV572" s="2"/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45">
        <f>IF(AND(Table2[[#This Row],[GameIsOver]]=1,Table2[[#This Row],[ActualHomeScore]]*Table2[[#This Row],[ActualAwayScore]]=0), 1,0)</f>
        <v>0</v>
      </c>
      <c r="AA5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/>
      <c r="AV573" s="2"/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45">
        <f>IF(AND(Table2[[#This Row],[GameIsOver]]=1,Table2[[#This Row],[ActualHomeScore]]*Table2[[#This Row],[ActualAwayScore]]=0), 1,0)</f>
        <v>0</v>
      </c>
      <c r="AA5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/>
      <c r="AV574" s="2"/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45">
        <f>IF(AND(Table2[[#This Row],[GameIsOver]]=1,Table2[[#This Row],[ActualHomeScore]]*Table2[[#This Row],[ActualAwayScore]]=0), 1,0)</f>
        <v>0</v>
      </c>
      <c r="AA5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5" s="2" t="str">
        <f>INDEX(Sheet5!$B$2:$AG$33, MATCH(Table2[[#This Row],[AwayTeam]],Sheet5!$A$2:$A$33, 0), MATCH(Table2[[#This Row],[HomeTeam]],Sheet5!$A$2:$A$33, 0))</f>
        <v>0-0-0</v>
      </c>
      <c r="AP575" s="2" t="str">
        <f>INDEX(Sheet5!$B$2:$AG$33, MATCH(Table2[[#This Row],[HomeTeam]],Sheet5!$A$2:$A$33, 0), MATCH(Table2[[#This Row],[AwayTeam]],Sheet5!$A$2:$A$33, 0))</f>
        <v>0-0-0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/>
      <c r="AV575" s="2"/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45">
        <f>IF(AND(Table2[[#This Row],[GameIsOver]]=1,Table2[[#This Row],[ActualHomeScore]]*Table2[[#This Row],[ActualAwayScore]]=0), 1,0)</f>
        <v>0</v>
      </c>
      <c r="AA5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/>
      <c r="AV576" s="2"/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45">
        <f>IF(AND(Table2[[#This Row],[GameIsOver]]=1,Table2[[#This Row],[ActualHomeScore]]*Table2[[#This Row],[ActualAwayScore]]=0), 1,0)</f>
        <v>0</v>
      </c>
      <c r="AA5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/>
      <c r="AV577" s="2"/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45">
        <f>IF(AND(Table2[[#This Row],[GameIsOver]]=1,Table2[[#This Row],[ActualHomeScore]]*Table2[[#This Row],[ActualAwayScore]]=0), 1,0)</f>
        <v>0</v>
      </c>
      <c r="AA5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8" s="2" t="str">
        <f>INDEX(Sheet5!$B$2:$AG$33, MATCH(Table2[[#This Row],[AwayTeam]],Sheet5!$A$2:$A$33, 0), MATCH(Table2[[#This Row],[HomeTeam]],Sheet5!$A$2:$A$33, 0))</f>
        <v>0-0-0</v>
      </c>
      <c r="AP578" s="2" t="str">
        <f>INDEX(Sheet5!$B$2:$AG$33, MATCH(Table2[[#This Row],[HomeTeam]],Sheet5!$A$2:$A$33, 0), MATCH(Table2[[#This Row],[AwayTeam]],Sheet5!$A$2:$A$33, 0))</f>
        <v>0-0-0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/>
      <c r="AV578" s="2"/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45">
        <f>IF(AND(Table2[[#This Row],[GameIsOver]]=1,Table2[[#This Row],[ActualHomeScore]]*Table2[[#This Row],[ActualAwayScore]]=0), 1,0)</f>
        <v>0</v>
      </c>
      <c r="AA5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/>
      <c r="AV579" s="2"/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45">
        <f>IF(AND(Table2[[#This Row],[GameIsOver]]=1,Table2[[#This Row],[ActualHomeScore]]*Table2[[#This Row],[ActualAwayScore]]=0), 1,0)</f>
        <v>0</v>
      </c>
      <c r="AA5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0" s="2" t="str">
        <f>INDEX(Sheet5!$B$2:$AG$33, MATCH(Table2[[#This Row],[AwayTeam]],Sheet5!$A$2:$A$33, 0), MATCH(Table2[[#This Row],[HomeTeam]],Sheet5!$A$2:$A$33, 0))</f>
        <v>0-0-0</v>
      </c>
      <c r="AP580" s="2" t="str">
        <f>INDEX(Sheet5!$B$2:$AG$33, MATCH(Table2[[#This Row],[HomeTeam]],Sheet5!$A$2:$A$33, 0), MATCH(Table2[[#This Row],[AwayTeam]],Sheet5!$A$2:$A$33, 0))</f>
        <v>0-0-0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/>
      <c r="AV580" s="2"/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45">
        <f>IF(AND(Table2[[#This Row],[GameIsOver]]=1,Table2[[#This Row],[ActualHomeScore]]*Table2[[#This Row],[ActualAwayScore]]=0), 1,0)</f>
        <v>0</v>
      </c>
      <c r="AA5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/>
      <c r="AV581" s="2"/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45">
        <f>IF(AND(Table2[[#This Row],[GameIsOver]]=1,Table2[[#This Row],[ActualHomeScore]]*Table2[[#This Row],[ActualAwayScore]]=0), 1,0)</f>
        <v>0</v>
      </c>
      <c r="AA5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/>
      <c r="AV582" s="2"/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45">
        <f>IF(AND(Table2[[#This Row],[GameIsOver]]=1,Table2[[#This Row],[ActualHomeScore]]*Table2[[#This Row],[ActualAwayScore]]=0), 1,0)</f>
        <v>0</v>
      </c>
      <c r="AA5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/>
      <c r="AV583" s="2"/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45">
        <f>IF(AND(Table2[[#This Row],[GameIsOver]]=1,Table2[[#This Row],[ActualHomeScore]]*Table2[[#This Row],[ActualAwayScore]]=0), 1,0)</f>
        <v>0</v>
      </c>
      <c r="AA5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/>
      <c r="AV584" s="2"/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45">
        <f>IF(AND(Table2[[#This Row],[GameIsOver]]=1,Table2[[#This Row],[ActualHomeScore]]*Table2[[#This Row],[ActualAwayScore]]=0), 1,0)</f>
        <v>0</v>
      </c>
      <c r="AA5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/>
      <c r="AV585" s="2"/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45">
        <f>IF(AND(Table2[[#This Row],[GameIsOver]]=1,Table2[[#This Row],[ActualHomeScore]]*Table2[[#This Row],[ActualAwayScore]]=0), 1,0)</f>
        <v>0</v>
      </c>
      <c r="AA5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6" s="2" t="str">
        <f>INDEX(Sheet5!$B$2:$AG$33, MATCH(Table2[[#This Row],[AwayTeam]],Sheet5!$A$2:$A$33, 0), MATCH(Table2[[#This Row],[HomeTeam]],Sheet5!$A$2:$A$33, 0))</f>
        <v>0-0-0</v>
      </c>
      <c r="AP586" s="2" t="str">
        <f>INDEX(Sheet5!$B$2:$AG$33, MATCH(Table2[[#This Row],[HomeTeam]],Sheet5!$A$2:$A$33, 0), MATCH(Table2[[#This Row],[AwayTeam]],Sheet5!$A$2:$A$33, 0))</f>
        <v>0-0-0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/>
      <c r="AV586" s="2"/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45">
        <f>IF(AND(Table2[[#This Row],[GameIsOver]]=1,Table2[[#This Row],[ActualHomeScore]]*Table2[[#This Row],[ActualAwayScore]]=0), 1,0)</f>
        <v>0</v>
      </c>
      <c r="AA5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_xlfn.TEXTJOIN(";", 1, $BD$31:$BD$40)), 0) &gt; 0, 1, 0) + IF(IFERROR(FIND(Table2[[#This Row],[HomeTeam]], _xlfn.TEXTJOIN(";", 1, $BD$31:$BD$40)), 0) &gt; 0, 1, 0)</f>
        <v>1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/>
      <c r="AV587" s="2"/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45">
        <f>IF(AND(Table2[[#This Row],[GameIsOver]]=1,Table2[[#This Row],[ActualHomeScore]]*Table2[[#This Row],[ActualAwayScore]]=0), 1,0)</f>
        <v>0</v>
      </c>
      <c r="AA5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8" s="2" t="str">
        <f>INDEX(Sheet5!$B$2:$AG$33, MATCH(Table2[[#This Row],[AwayTeam]],Sheet5!$A$2:$A$33, 0), MATCH(Table2[[#This Row],[HomeTeam]],Sheet5!$A$2:$A$33, 0))</f>
        <v>0-0-0</v>
      </c>
      <c r="AP588" s="2" t="str">
        <f>INDEX(Sheet5!$B$2:$AG$33, MATCH(Table2[[#This Row],[HomeTeam]],Sheet5!$A$2:$A$33, 0), MATCH(Table2[[#This Row],[AwayTeam]],Sheet5!$A$2:$A$33, 0))</f>
        <v>0-0-0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/>
      <c r="AV588" s="2"/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45">
        <f>IF(AND(Table2[[#This Row],[GameIsOver]]=1,Table2[[#This Row],[ActualHomeScore]]*Table2[[#This Row],[ActualAwayScore]]=0), 1,0)</f>
        <v>0</v>
      </c>
      <c r="AA5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/>
      <c r="AV589" s="2"/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45">
        <f>IF(AND(Table2[[#This Row],[GameIsOver]]=1,Table2[[#This Row],[ActualHomeScore]]*Table2[[#This Row],[ActualAwayScore]]=0), 1,0)</f>
        <v>0</v>
      </c>
      <c r="AA5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/>
      <c r="AV590" s="2"/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45">
        <f>IF(AND(Table2[[#This Row],[GameIsOver]]=1,Table2[[#This Row],[ActualHomeScore]]*Table2[[#This Row],[ActualAwayScore]]=0), 1,0)</f>
        <v>0</v>
      </c>
      <c r="AA5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1" s="2" t="str">
        <f>INDEX(Sheet5!$B$2:$AG$33, MATCH(Table2[[#This Row],[AwayTeam]],Sheet5!$A$2:$A$33, 0), MATCH(Table2[[#This Row],[HomeTeam]],Sheet5!$A$2:$A$33, 0))</f>
        <v>0-0-0</v>
      </c>
      <c r="AP591" s="2" t="str">
        <f>INDEX(Sheet5!$B$2:$AG$33, MATCH(Table2[[#This Row],[HomeTeam]],Sheet5!$A$2:$A$33, 0), MATCH(Table2[[#This Row],[AwayTeam]],Sheet5!$A$2:$A$33, 0))</f>
        <v>0-0-0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/>
      <c r="AV591" s="2"/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45">
        <f>IF(AND(Table2[[#This Row],[GameIsOver]]=1,Table2[[#This Row],[ActualHomeScore]]*Table2[[#This Row],[ActualAwayScore]]=0), 1,0)</f>
        <v>0</v>
      </c>
      <c r="AA5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/>
      <c r="AV592" s="2"/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45">
        <f>IF(AND(Table2[[#This Row],[GameIsOver]]=1,Table2[[#This Row],[ActualHomeScore]]*Table2[[#This Row],[ActualAwayScore]]=0), 1,0)</f>
        <v>0</v>
      </c>
      <c r="AA5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/>
      <c r="AV593" s="2"/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45">
        <f>IF(AND(Table2[[#This Row],[GameIsOver]]=1,Table2[[#This Row],[ActualHomeScore]]*Table2[[#This Row],[ActualAwayScore]]=0), 1,0)</f>
        <v>0</v>
      </c>
      <c r="AA5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/>
      <c r="AV594" s="2"/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45">
        <f>IF(AND(Table2[[#This Row],[GameIsOver]]=1,Table2[[#This Row],[ActualHomeScore]]*Table2[[#This Row],[ActualAwayScore]]=0), 1,0)</f>
        <v>0</v>
      </c>
      <c r="AA5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/>
      <c r="AV595" s="2"/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45">
        <f>IF(AND(Table2[[#This Row],[GameIsOver]]=1,Table2[[#This Row],[ActualHomeScore]]*Table2[[#This Row],[ActualAwayScore]]=0), 1,0)</f>
        <v>0</v>
      </c>
      <c r="AA5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6" s="2" t="str">
        <f>INDEX(Sheet5!$B$2:$AG$33, MATCH(Table2[[#This Row],[AwayTeam]],Sheet5!$A$2:$A$33, 0), MATCH(Table2[[#This Row],[HomeTeam]],Sheet5!$A$2:$A$33, 0))</f>
        <v>0-0-0</v>
      </c>
      <c r="AP596" s="2" t="str">
        <f>INDEX(Sheet5!$B$2:$AG$33, MATCH(Table2[[#This Row],[HomeTeam]],Sheet5!$A$2:$A$33, 0), MATCH(Table2[[#This Row],[AwayTeam]],Sheet5!$A$2:$A$33, 0))</f>
        <v>0-0-0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/>
      <c r="AV596" s="2"/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45">
        <f>IF(AND(Table2[[#This Row],[GameIsOver]]=1,Table2[[#This Row],[ActualHomeScore]]*Table2[[#This Row],[ActualAwayScore]]=0), 1,0)</f>
        <v>0</v>
      </c>
      <c r="AA5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/>
      <c r="AV597" s="2"/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45">
        <f>IF(AND(Table2[[#This Row],[GameIsOver]]=1,Table2[[#This Row],[ActualHomeScore]]*Table2[[#This Row],[ActualAwayScore]]=0), 1,0)</f>
        <v>0</v>
      </c>
      <c r="AA5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/>
      <c r="AV598" s="2"/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45">
        <f>IF(AND(Table2[[#This Row],[GameIsOver]]=1,Table2[[#This Row],[ActualHomeScore]]*Table2[[#This Row],[ActualAwayScore]]=0), 1,0)</f>
        <v>0</v>
      </c>
      <c r="AA5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/>
      <c r="AV599" s="2"/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45">
        <f>IF(AND(Table2[[#This Row],[GameIsOver]]=1,Table2[[#This Row],[ActualHomeScore]]*Table2[[#This Row],[ActualAwayScore]]=0), 1,0)</f>
        <v>0</v>
      </c>
      <c r="AA6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/>
      <c r="AV600" s="2"/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45">
        <f>IF(AND(Table2[[#This Row],[GameIsOver]]=1,Table2[[#This Row],[ActualHomeScore]]*Table2[[#This Row],[ActualAwayScore]]=0), 1,0)</f>
        <v>0</v>
      </c>
      <c r="AA6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/>
      <c r="AV601" s="2"/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45">
        <f>IF(AND(Table2[[#This Row],[GameIsOver]]=1,Table2[[#This Row],[ActualHomeScore]]*Table2[[#This Row],[ActualAwayScore]]=0), 1,0)</f>
        <v>0</v>
      </c>
      <c r="AA6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/>
      <c r="AV602" s="2"/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45">
        <f>IF(AND(Table2[[#This Row],[GameIsOver]]=1,Table2[[#This Row],[ActualHomeScore]]*Table2[[#This Row],[ActualAwayScore]]=0), 1,0)</f>
        <v>0</v>
      </c>
      <c r="AA6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3" s="2" t="str">
        <f>INDEX(Sheet5!$B$2:$AG$33, MATCH(Table2[[#This Row],[AwayTeam]],Sheet5!$A$2:$A$33, 0), MATCH(Table2[[#This Row],[HomeTeam]],Sheet5!$A$2:$A$33, 0))</f>
        <v>0-0-0</v>
      </c>
      <c r="AP603" s="2" t="str">
        <f>INDEX(Sheet5!$B$2:$AG$33, MATCH(Table2[[#This Row],[HomeTeam]],Sheet5!$A$2:$A$33, 0), MATCH(Table2[[#This Row],[AwayTeam]],Sheet5!$A$2:$A$33, 0))</f>
        <v>0-0-0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/>
      <c r="AV603" s="2"/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45">
        <f>IF(AND(Table2[[#This Row],[GameIsOver]]=1,Table2[[#This Row],[ActualHomeScore]]*Table2[[#This Row],[ActualAwayScore]]=0), 1,0)</f>
        <v>0</v>
      </c>
      <c r="AA6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/>
      <c r="AV604" s="2"/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45">
        <f>IF(AND(Table2[[#This Row],[GameIsOver]]=1,Table2[[#This Row],[ActualHomeScore]]*Table2[[#This Row],[ActualAwayScore]]=0), 1,0)</f>
        <v>0</v>
      </c>
      <c r="AA6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/>
      <c r="AV605" s="2"/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45">
        <f>IF(AND(Table2[[#This Row],[GameIsOver]]=1,Table2[[#This Row],[ActualHomeScore]]*Table2[[#This Row],[ActualAwayScore]]=0), 1,0)</f>
        <v>0</v>
      </c>
      <c r="AA6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/>
      <c r="AV606" s="2"/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45">
        <f>IF(AND(Table2[[#This Row],[GameIsOver]]=1,Table2[[#This Row],[ActualHomeScore]]*Table2[[#This Row],[ActualAwayScore]]=0), 1,0)</f>
        <v>0</v>
      </c>
      <c r="AA6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7" s="2" t="str">
        <f>INDEX(Sheet5!$B$2:$AG$33, MATCH(Table2[[#This Row],[AwayTeam]],Sheet5!$A$2:$A$33, 0), MATCH(Table2[[#This Row],[HomeTeam]],Sheet5!$A$2:$A$33, 0))</f>
        <v>0-0-0</v>
      </c>
      <c r="AP607" s="2" t="str">
        <f>INDEX(Sheet5!$B$2:$AG$33, MATCH(Table2[[#This Row],[HomeTeam]],Sheet5!$A$2:$A$33, 0), MATCH(Table2[[#This Row],[AwayTeam]],Sheet5!$A$2:$A$33, 0))</f>
        <v>0-0-0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/>
      <c r="AV607" s="2"/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45">
        <f>IF(AND(Table2[[#This Row],[GameIsOver]]=1,Table2[[#This Row],[ActualHomeScore]]*Table2[[#This Row],[ActualAwayScore]]=0), 1,0)</f>
        <v>0</v>
      </c>
      <c r="AA6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/>
      <c r="AV608" s="2"/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45">
        <f>IF(AND(Table2[[#This Row],[GameIsOver]]=1,Table2[[#This Row],[ActualHomeScore]]*Table2[[#This Row],[ActualAwayScore]]=0), 1,0)</f>
        <v>0</v>
      </c>
      <c r="AA6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/>
      <c r="AV609" s="2"/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45">
        <f>IF(AND(Table2[[#This Row],[GameIsOver]]=1,Table2[[#This Row],[ActualHomeScore]]*Table2[[#This Row],[ActualAwayScore]]=0), 1,0)</f>
        <v>0</v>
      </c>
      <c r="AA6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/>
      <c r="AV610" s="2"/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45">
        <f>IF(AND(Table2[[#This Row],[GameIsOver]]=1,Table2[[#This Row],[ActualHomeScore]]*Table2[[#This Row],[ActualAwayScore]]=0), 1,0)</f>
        <v>0</v>
      </c>
      <c r="AA6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/>
      <c r="AV611" s="2"/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45">
        <f>IF(AND(Table2[[#This Row],[GameIsOver]]=1,Table2[[#This Row],[ActualHomeScore]]*Table2[[#This Row],[ActualAwayScore]]=0), 1,0)</f>
        <v>0</v>
      </c>
      <c r="AA6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/>
      <c r="AV612" s="2"/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45">
        <f>IF(AND(Table2[[#This Row],[GameIsOver]]=1,Table2[[#This Row],[ActualHomeScore]]*Table2[[#This Row],[ActualAwayScore]]=0), 1,0)</f>
        <v>0</v>
      </c>
      <c r="AA6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/>
      <c r="AV613" s="2"/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45">
        <f>IF(AND(Table2[[#This Row],[GameIsOver]]=1,Table2[[#This Row],[ActualHomeScore]]*Table2[[#This Row],[ActualAwayScore]]=0), 1,0)</f>
        <v>0</v>
      </c>
      <c r="AA6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4" s="2" t="str">
        <f>INDEX(Sheet5!$B$2:$AG$33, MATCH(Table2[[#This Row],[AwayTeam]],Sheet5!$A$2:$A$33, 0), MATCH(Table2[[#This Row],[HomeTeam]],Sheet5!$A$2:$A$33, 0))</f>
        <v>0-0-0</v>
      </c>
      <c r="AP614" s="2" t="str">
        <f>INDEX(Sheet5!$B$2:$AG$33, MATCH(Table2[[#This Row],[HomeTeam]],Sheet5!$A$2:$A$33, 0), MATCH(Table2[[#This Row],[AwayTeam]],Sheet5!$A$2:$A$33, 0))</f>
        <v>0-0-0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/>
      <c r="AV614" s="2"/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45">
        <f>IF(AND(Table2[[#This Row],[GameIsOver]]=1,Table2[[#This Row],[ActualHomeScore]]*Table2[[#This Row],[ActualAwayScore]]=0), 1,0)</f>
        <v>0</v>
      </c>
      <c r="AA6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_xlfn.TEXTJOIN(";", 1, $BD$31:$BD$40)), 0) &gt; 0, 1, 0) + IF(IFERROR(FIND(Table2[[#This Row],[HomeTeam]], _xlfn.TEXTJOIN(";", 1, $BD$31:$BD$40)), 0) &gt; 0, 1, 0)</f>
        <v>1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/>
      <c r="AV615" s="2"/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45">
        <f>IF(AND(Table2[[#This Row],[GameIsOver]]=1,Table2[[#This Row],[ActualHomeScore]]*Table2[[#This Row],[ActualAwayScore]]=0), 1,0)</f>
        <v>0</v>
      </c>
      <c r="AA6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/>
      <c r="AV616" s="2"/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45">
        <f>IF(AND(Table2[[#This Row],[GameIsOver]]=1,Table2[[#This Row],[ActualHomeScore]]*Table2[[#This Row],[ActualAwayScore]]=0), 1,0)</f>
        <v>0</v>
      </c>
      <c r="AA6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7" s="2" t="str">
        <f>INDEX(Sheet5!$B$2:$AG$33, MATCH(Table2[[#This Row],[AwayTeam]],Sheet5!$A$2:$A$33, 0), MATCH(Table2[[#This Row],[HomeTeam]],Sheet5!$A$2:$A$33, 0))</f>
        <v>0-0-0</v>
      </c>
      <c r="AP617" s="2" t="str">
        <f>INDEX(Sheet5!$B$2:$AG$33, MATCH(Table2[[#This Row],[HomeTeam]],Sheet5!$A$2:$A$33, 0), MATCH(Table2[[#This Row],[AwayTeam]],Sheet5!$A$2:$A$33, 0))</f>
        <v>0-0-0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/>
      <c r="AV617" s="2"/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45">
        <f>IF(AND(Table2[[#This Row],[GameIsOver]]=1,Table2[[#This Row],[ActualHomeScore]]*Table2[[#This Row],[ActualAwayScore]]=0), 1,0)</f>
        <v>0</v>
      </c>
      <c r="AA6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/>
      <c r="AV618" s="2"/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45">
        <f>IF(AND(Table2[[#This Row],[GameIsOver]]=1,Table2[[#This Row],[ActualHomeScore]]*Table2[[#This Row],[ActualAwayScore]]=0), 1,0)</f>
        <v>0</v>
      </c>
      <c r="AA6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9" s="2" t="str">
        <f>INDEX(Sheet5!$B$2:$AG$33, MATCH(Table2[[#This Row],[AwayTeam]],Sheet5!$A$2:$A$33, 0), MATCH(Table2[[#This Row],[HomeTeam]],Sheet5!$A$2:$A$33, 0))</f>
        <v>0-0-0</v>
      </c>
      <c r="AP619" s="2" t="str">
        <f>INDEX(Sheet5!$B$2:$AG$33, MATCH(Table2[[#This Row],[HomeTeam]],Sheet5!$A$2:$A$33, 0), MATCH(Table2[[#This Row],[AwayTeam]],Sheet5!$A$2:$A$33, 0))</f>
        <v>0-0-0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/>
      <c r="AV619" s="2"/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45">
        <f>IF(AND(Table2[[#This Row],[GameIsOver]]=1,Table2[[#This Row],[ActualHomeScore]]*Table2[[#This Row],[ActualAwayScore]]=0), 1,0)</f>
        <v>0</v>
      </c>
      <c r="AA6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/>
      <c r="AV620" s="2"/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45">
        <f>IF(AND(Table2[[#This Row],[GameIsOver]]=1,Table2[[#This Row],[ActualHomeScore]]*Table2[[#This Row],[ActualAwayScore]]=0), 1,0)</f>
        <v>0</v>
      </c>
      <c r="AA6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/>
      <c r="AV621" s="2"/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45">
        <f>IF(AND(Table2[[#This Row],[GameIsOver]]=1,Table2[[#This Row],[ActualHomeScore]]*Table2[[#This Row],[ActualAwayScore]]=0), 1,0)</f>
        <v>0</v>
      </c>
      <c r="AA6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/>
      <c r="AV622" s="2"/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45">
        <f>IF(AND(Table2[[#This Row],[GameIsOver]]=1,Table2[[#This Row],[ActualHomeScore]]*Table2[[#This Row],[ActualAwayScore]]=0), 1,0)</f>
        <v>0</v>
      </c>
      <c r="AA6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/>
      <c r="AV623" s="2"/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45">
        <f>IF(AND(Table2[[#This Row],[GameIsOver]]=1,Table2[[#This Row],[ActualHomeScore]]*Table2[[#This Row],[ActualAwayScore]]=0), 1,0)</f>
        <v>0</v>
      </c>
      <c r="AA6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4" s="2" t="str">
        <f>INDEX(Sheet5!$B$2:$AG$33, MATCH(Table2[[#This Row],[AwayTeam]],Sheet5!$A$2:$A$33, 0), MATCH(Table2[[#This Row],[HomeTeam]],Sheet5!$A$2:$A$33, 0))</f>
        <v>0-0-0</v>
      </c>
      <c r="AP624" s="2" t="str">
        <f>INDEX(Sheet5!$B$2:$AG$33, MATCH(Table2[[#This Row],[HomeTeam]],Sheet5!$A$2:$A$33, 0), MATCH(Table2[[#This Row],[AwayTeam]],Sheet5!$A$2:$A$33, 0))</f>
        <v>0-0-0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/>
      <c r="AV624" s="2"/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45">
        <f>IF(AND(Table2[[#This Row],[GameIsOver]]=1,Table2[[#This Row],[ActualHomeScore]]*Table2[[#This Row],[ActualAwayScore]]=0), 1,0)</f>
        <v>0</v>
      </c>
      <c r="AA6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/>
      <c r="AV625" s="2"/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45">
        <f>IF(AND(Table2[[#This Row],[GameIsOver]]=1,Table2[[#This Row],[ActualHomeScore]]*Table2[[#This Row],[ActualAwayScore]]=0), 1,0)</f>
        <v>0</v>
      </c>
      <c r="AA6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6" s="2" t="str">
        <f>INDEX(Sheet5!$B$2:$AG$33, MATCH(Table2[[#This Row],[AwayTeam]],Sheet5!$A$2:$A$33, 0), MATCH(Table2[[#This Row],[HomeTeam]],Sheet5!$A$2:$A$33, 0))</f>
        <v>0-0-0</v>
      </c>
      <c r="AP626" s="2" t="str">
        <f>INDEX(Sheet5!$B$2:$AG$33, MATCH(Table2[[#This Row],[HomeTeam]],Sheet5!$A$2:$A$33, 0), MATCH(Table2[[#This Row],[AwayTeam]],Sheet5!$A$2:$A$33, 0))</f>
        <v>0-0-0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/>
      <c r="AV626" s="2"/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45">
        <f>IF(AND(Table2[[#This Row],[GameIsOver]]=1,Table2[[#This Row],[ActualHomeScore]]*Table2[[#This Row],[ActualAwayScore]]=0), 1,0)</f>
        <v>0</v>
      </c>
      <c r="AA6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7" s="2" t="str">
        <f>INDEX(Sheet5!$B$2:$AG$33, MATCH(Table2[[#This Row],[AwayTeam]],Sheet5!$A$2:$A$33, 0), MATCH(Table2[[#This Row],[HomeTeam]],Sheet5!$A$2:$A$33, 0))</f>
        <v>0-0-0</v>
      </c>
      <c r="AP627" s="2" t="str">
        <f>INDEX(Sheet5!$B$2:$AG$33, MATCH(Table2[[#This Row],[HomeTeam]],Sheet5!$A$2:$A$33, 0), MATCH(Table2[[#This Row],[AwayTeam]],Sheet5!$A$2:$A$33, 0))</f>
        <v>0-0-0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/>
      <c r="AV627" s="2"/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45">
        <f>IF(AND(Table2[[#This Row],[GameIsOver]]=1,Table2[[#This Row],[ActualHomeScore]]*Table2[[#This Row],[ActualAwayScore]]=0), 1,0)</f>
        <v>0</v>
      </c>
      <c r="AA6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/>
      <c r="AV628" s="2"/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45">
        <f>IF(AND(Table2[[#This Row],[GameIsOver]]=1,Table2[[#This Row],[ActualHomeScore]]*Table2[[#This Row],[ActualAwayScore]]=0), 1,0)</f>
        <v>0</v>
      </c>
      <c r="AA6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9" s="2" t="str">
        <f>INDEX(Sheet5!$B$2:$AG$33, MATCH(Table2[[#This Row],[AwayTeam]],Sheet5!$A$2:$A$33, 0), MATCH(Table2[[#This Row],[HomeTeam]],Sheet5!$A$2:$A$33, 0))</f>
        <v>0-0-0</v>
      </c>
      <c r="AP629" s="2" t="str">
        <f>INDEX(Sheet5!$B$2:$AG$33, MATCH(Table2[[#This Row],[HomeTeam]],Sheet5!$A$2:$A$33, 0), MATCH(Table2[[#This Row],[AwayTeam]],Sheet5!$A$2:$A$33, 0))</f>
        <v>0-0-0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/>
      <c r="AV629" s="2"/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45">
        <f>IF(AND(Table2[[#This Row],[GameIsOver]]=1,Table2[[#This Row],[ActualHomeScore]]*Table2[[#This Row],[ActualAwayScore]]=0), 1,0)</f>
        <v>0</v>
      </c>
      <c r="AA6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/>
      <c r="AV630" s="2"/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45">
        <f>IF(AND(Table2[[#This Row],[GameIsOver]]=1,Table2[[#This Row],[ActualHomeScore]]*Table2[[#This Row],[ActualAwayScore]]=0), 1,0)</f>
        <v>0</v>
      </c>
      <c r="AA6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/>
      <c r="AV631" s="2"/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45">
        <f>IF(AND(Table2[[#This Row],[GameIsOver]]=1,Table2[[#This Row],[ActualHomeScore]]*Table2[[#This Row],[ActualAwayScore]]=0), 1,0)</f>
        <v>0</v>
      </c>
      <c r="AA6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_xlfn.TEXTJOIN(";", 1, $BD$31:$BD$40)), 0) &gt; 0, 1, 0) + IF(IFERROR(FIND(Table2[[#This Row],[HomeTeam]], _xlfn.TEXTJOIN(";", 1, $BD$31:$BD$40)), 0) &gt; 0, 1, 0)</f>
        <v>1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/>
      <c r="AV632" s="2"/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45">
        <f>IF(AND(Table2[[#This Row],[GameIsOver]]=1,Table2[[#This Row],[ActualHomeScore]]*Table2[[#This Row],[ActualAwayScore]]=0), 1,0)</f>
        <v>0</v>
      </c>
      <c r="AA6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/>
      <c r="AV633" s="2"/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45">
        <f>IF(AND(Table2[[#This Row],[GameIsOver]]=1,Table2[[#This Row],[ActualHomeScore]]*Table2[[#This Row],[ActualAwayScore]]=0), 1,0)</f>
        <v>0</v>
      </c>
      <c r="AA6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4" s="2" t="str">
        <f>INDEX(Sheet5!$B$2:$AG$33, MATCH(Table2[[#This Row],[AwayTeam]],Sheet5!$A$2:$A$33, 0), MATCH(Table2[[#This Row],[HomeTeam]],Sheet5!$A$2:$A$33, 0))</f>
        <v>0-0-0</v>
      </c>
      <c r="AP634" s="2" t="str">
        <f>INDEX(Sheet5!$B$2:$AG$33, MATCH(Table2[[#This Row],[HomeTeam]],Sheet5!$A$2:$A$33, 0), MATCH(Table2[[#This Row],[AwayTeam]],Sheet5!$A$2:$A$33, 0))</f>
        <v>0-0-0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/>
      <c r="AV634" s="2"/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45">
        <f>IF(AND(Table2[[#This Row],[GameIsOver]]=1,Table2[[#This Row],[ActualHomeScore]]*Table2[[#This Row],[ActualAwayScore]]=0), 1,0)</f>
        <v>0</v>
      </c>
      <c r="AA6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/>
      <c r="AV635" s="2"/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45">
        <f>IF(AND(Table2[[#This Row],[GameIsOver]]=1,Table2[[#This Row],[ActualHomeScore]]*Table2[[#This Row],[ActualAwayScore]]=0), 1,0)</f>
        <v>0</v>
      </c>
      <c r="AA6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/>
      <c r="AV636" s="2"/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45">
        <f>IF(AND(Table2[[#This Row],[GameIsOver]]=1,Table2[[#This Row],[ActualHomeScore]]*Table2[[#This Row],[ActualAwayScore]]=0), 1,0)</f>
        <v>0</v>
      </c>
      <c r="AA6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/>
      <c r="AV637" s="2"/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45">
        <f>IF(AND(Table2[[#This Row],[GameIsOver]]=1,Table2[[#This Row],[ActualHomeScore]]*Table2[[#This Row],[ActualAwayScore]]=0), 1,0)</f>
        <v>0</v>
      </c>
      <c r="AA6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/>
      <c r="AV638" s="2"/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45">
        <f>IF(AND(Table2[[#This Row],[GameIsOver]]=1,Table2[[#This Row],[ActualHomeScore]]*Table2[[#This Row],[ActualAwayScore]]=0), 1,0)</f>
        <v>0</v>
      </c>
      <c r="AA6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/>
      <c r="AV639" s="2"/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45">
        <f>IF(AND(Table2[[#This Row],[GameIsOver]]=1,Table2[[#This Row],[ActualHomeScore]]*Table2[[#This Row],[ActualAwayScore]]=0), 1,0)</f>
        <v>0</v>
      </c>
      <c r="AA6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/>
      <c r="AV640" s="2"/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45">
        <f>IF(AND(Table2[[#This Row],[GameIsOver]]=1,Table2[[#This Row],[ActualHomeScore]]*Table2[[#This Row],[ActualAwayScore]]=0), 1,0)</f>
        <v>0</v>
      </c>
      <c r="AA6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/>
      <c r="AV641" s="2"/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45">
        <f>IF(AND(Table2[[#This Row],[GameIsOver]]=1,Table2[[#This Row],[ActualHomeScore]]*Table2[[#This Row],[ActualAwayScore]]=0), 1,0)</f>
        <v>0</v>
      </c>
      <c r="AA6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/>
      <c r="AV642" s="2"/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45">
        <f>IF(AND(Table2[[#This Row],[GameIsOver]]=1,Table2[[#This Row],[ActualHomeScore]]*Table2[[#This Row],[ActualAwayScore]]=0), 1,0)</f>
        <v>0</v>
      </c>
      <c r="AA6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/>
      <c r="AV643" s="2"/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45">
        <f>IF(AND(Table2[[#This Row],[GameIsOver]]=1,Table2[[#This Row],[ActualHomeScore]]*Table2[[#This Row],[ActualAwayScore]]=0), 1,0)</f>
        <v>0</v>
      </c>
      <c r="AA6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/>
      <c r="AV644" s="2"/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45">
        <f>IF(AND(Table2[[#This Row],[GameIsOver]]=1,Table2[[#This Row],[ActualHomeScore]]*Table2[[#This Row],[ActualAwayScore]]=0), 1,0)</f>
        <v>0</v>
      </c>
      <c r="AA6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/>
      <c r="AV645" s="2"/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45">
        <f>IF(AND(Table2[[#This Row],[GameIsOver]]=1,Table2[[#This Row],[ActualHomeScore]]*Table2[[#This Row],[ActualAwayScore]]=0), 1,0)</f>
        <v>0</v>
      </c>
      <c r="AA6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/>
      <c r="AV646" s="2"/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45">
        <f>IF(AND(Table2[[#This Row],[GameIsOver]]=1,Table2[[#This Row],[ActualHomeScore]]*Table2[[#This Row],[ActualAwayScore]]=0), 1,0)</f>
        <v>0</v>
      </c>
      <c r="AA6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/>
      <c r="AV647" s="2"/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45">
        <f>IF(AND(Table2[[#This Row],[GameIsOver]]=1,Table2[[#This Row],[ActualHomeScore]]*Table2[[#This Row],[ActualAwayScore]]=0), 1,0)</f>
        <v>0</v>
      </c>
      <c r="AA6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8" s="2" t="str">
        <f>INDEX(Sheet5!$B$2:$AG$33, MATCH(Table2[[#This Row],[AwayTeam]],Sheet5!$A$2:$A$33, 0), MATCH(Table2[[#This Row],[HomeTeam]],Sheet5!$A$2:$A$33, 0))</f>
        <v>0-0-0</v>
      </c>
      <c r="AP648" s="2" t="str">
        <f>INDEX(Sheet5!$B$2:$AG$33, MATCH(Table2[[#This Row],[HomeTeam]],Sheet5!$A$2:$A$33, 0), MATCH(Table2[[#This Row],[AwayTeam]],Sheet5!$A$2:$A$33, 0))</f>
        <v>0-0-0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/>
      <c r="AV648" s="2"/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45">
        <f>IF(AND(Table2[[#This Row],[GameIsOver]]=1,Table2[[#This Row],[ActualHomeScore]]*Table2[[#This Row],[ActualAwayScore]]=0), 1,0)</f>
        <v>0</v>
      </c>
      <c r="AA6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/>
      <c r="AV649" s="2"/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45">
        <f>IF(AND(Table2[[#This Row],[GameIsOver]]=1,Table2[[#This Row],[ActualHomeScore]]*Table2[[#This Row],[ActualAwayScore]]=0), 1,0)</f>
        <v>0</v>
      </c>
      <c r="AA6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/>
      <c r="AV650" s="2"/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45">
        <f>IF(AND(Table2[[#This Row],[GameIsOver]]=1,Table2[[#This Row],[ActualHomeScore]]*Table2[[#This Row],[ActualAwayScore]]=0), 1,0)</f>
        <v>0</v>
      </c>
      <c r="AA6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/>
      <c r="AV651" s="2"/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45">
        <f>IF(AND(Table2[[#This Row],[GameIsOver]]=1,Table2[[#This Row],[ActualHomeScore]]*Table2[[#This Row],[ActualAwayScore]]=0), 1,0)</f>
        <v>0</v>
      </c>
      <c r="AA6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/>
      <c r="AV652" s="2"/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45">
        <f>IF(AND(Table2[[#This Row],[GameIsOver]]=1,Table2[[#This Row],[ActualHomeScore]]*Table2[[#This Row],[ActualAwayScore]]=0), 1,0)</f>
        <v>0</v>
      </c>
      <c r="AA6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/>
      <c r="AV653" s="2"/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45">
        <f>IF(AND(Table2[[#This Row],[GameIsOver]]=1,Table2[[#This Row],[ActualHomeScore]]*Table2[[#This Row],[ActualAwayScore]]=0), 1,0)</f>
        <v>0</v>
      </c>
      <c r="AA6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/>
      <c r="AV654" s="2"/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45">
        <f>IF(AND(Table2[[#This Row],[GameIsOver]]=1,Table2[[#This Row],[ActualHomeScore]]*Table2[[#This Row],[ActualAwayScore]]=0), 1,0)</f>
        <v>0</v>
      </c>
      <c r="AA6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5" s="2" t="str">
        <f>INDEX(Sheet5!$B$2:$AG$33, MATCH(Table2[[#This Row],[AwayTeam]],Sheet5!$A$2:$A$33, 0), MATCH(Table2[[#This Row],[HomeTeam]],Sheet5!$A$2:$A$33, 0))</f>
        <v>0-0-0</v>
      </c>
      <c r="AP655" s="2" t="str">
        <f>INDEX(Sheet5!$B$2:$AG$33, MATCH(Table2[[#This Row],[HomeTeam]],Sheet5!$A$2:$A$33, 0), MATCH(Table2[[#This Row],[AwayTeam]],Sheet5!$A$2:$A$33, 0))</f>
        <v>0-0-0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/>
      <c r="AV655" s="2"/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45">
        <f>IF(AND(Table2[[#This Row],[GameIsOver]]=1,Table2[[#This Row],[ActualHomeScore]]*Table2[[#This Row],[ActualAwayScore]]=0), 1,0)</f>
        <v>0</v>
      </c>
      <c r="AA6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_xlfn.TEXTJOIN(";", 1, $BD$31:$BD$40)), 0) &gt; 0, 1, 0) + IF(IFERROR(FIND(Table2[[#This Row],[HomeTeam]], _xlfn.TEXTJOIN(";", 1, $BD$31:$BD$40)), 0) &gt; 0, 1, 0)</f>
        <v>1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/>
      <c r="AV656" s="2"/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45">
        <f>IF(AND(Table2[[#This Row],[GameIsOver]]=1,Table2[[#This Row],[ActualHomeScore]]*Table2[[#This Row],[ActualAwayScore]]=0), 1,0)</f>
        <v>0</v>
      </c>
      <c r="AA6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7" s="2" t="str">
        <f>INDEX(Sheet5!$B$2:$AG$33, MATCH(Table2[[#This Row],[AwayTeam]],Sheet5!$A$2:$A$33, 0), MATCH(Table2[[#This Row],[HomeTeam]],Sheet5!$A$2:$A$33, 0))</f>
        <v>0-0-0</v>
      </c>
      <c r="AP657" s="2" t="str">
        <f>INDEX(Sheet5!$B$2:$AG$33, MATCH(Table2[[#This Row],[HomeTeam]],Sheet5!$A$2:$A$33, 0), MATCH(Table2[[#This Row],[AwayTeam]],Sheet5!$A$2:$A$33, 0))</f>
        <v>0-0-0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/>
      <c r="AV657" s="2"/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45">
        <f>IF(AND(Table2[[#This Row],[GameIsOver]]=1,Table2[[#This Row],[ActualHomeScore]]*Table2[[#This Row],[ActualAwayScore]]=0), 1,0)</f>
        <v>0</v>
      </c>
      <c r="AA6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/>
      <c r="AV658" s="2"/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45">
        <f>IF(AND(Table2[[#This Row],[GameIsOver]]=1,Table2[[#This Row],[ActualHomeScore]]*Table2[[#This Row],[ActualAwayScore]]=0), 1,0)</f>
        <v>0</v>
      </c>
      <c r="AA6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/>
      <c r="AV659" s="2"/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45">
        <f>IF(AND(Table2[[#This Row],[GameIsOver]]=1,Table2[[#This Row],[ActualHomeScore]]*Table2[[#This Row],[ActualAwayScore]]=0), 1,0)</f>
        <v>0</v>
      </c>
      <c r="AA6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0" s="2" t="str">
        <f>INDEX(Sheet5!$B$2:$AG$33, MATCH(Table2[[#This Row],[AwayTeam]],Sheet5!$A$2:$A$33, 0), MATCH(Table2[[#This Row],[HomeTeam]],Sheet5!$A$2:$A$33, 0))</f>
        <v>0-0-0</v>
      </c>
      <c r="AP660" s="2" t="str">
        <f>INDEX(Sheet5!$B$2:$AG$33, MATCH(Table2[[#This Row],[HomeTeam]],Sheet5!$A$2:$A$33, 0), MATCH(Table2[[#This Row],[AwayTeam]],Sheet5!$A$2:$A$33, 0))</f>
        <v>0-0-0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/>
      <c r="AV660" s="2"/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45">
        <f>IF(AND(Table2[[#This Row],[GameIsOver]]=1,Table2[[#This Row],[ActualHomeScore]]*Table2[[#This Row],[ActualAwayScore]]=0), 1,0)</f>
        <v>0</v>
      </c>
      <c r="AA6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/>
      <c r="AV661" s="2"/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45">
        <f>IF(AND(Table2[[#This Row],[GameIsOver]]=1,Table2[[#This Row],[ActualHomeScore]]*Table2[[#This Row],[ActualAwayScore]]=0), 1,0)</f>
        <v>0</v>
      </c>
      <c r="AA6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2" s="2" t="str">
        <f>INDEX(Sheet5!$B$2:$AG$33, MATCH(Table2[[#This Row],[AwayTeam]],Sheet5!$A$2:$A$33, 0), MATCH(Table2[[#This Row],[HomeTeam]],Sheet5!$A$2:$A$33, 0))</f>
        <v>0-0-0</v>
      </c>
      <c r="AP662" s="2" t="str">
        <f>INDEX(Sheet5!$B$2:$AG$33, MATCH(Table2[[#This Row],[HomeTeam]],Sheet5!$A$2:$A$33, 0), MATCH(Table2[[#This Row],[AwayTeam]],Sheet5!$A$2:$A$33, 0))</f>
        <v>0-0-0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/>
      <c r="AV662" s="2"/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45">
        <f>IF(AND(Table2[[#This Row],[GameIsOver]]=1,Table2[[#This Row],[ActualHomeScore]]*Table2[[#This Row],[ActualAwayScore]]=0), 1,0)</f>
        <v>0</v>
      </c>
      <c r="AA6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/>
      <c r="AV663" s="2"/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45">
        <f>IF(AND(Table2[[#This Row],[GameIsOver]]=1,Table2[[#This Row],[ActualHomeScore]]*Table2[[#This Row],[ActualAwayScore]]=0), 1,0)</f>
        <v>0</v>
      </c>
      <c r="AA6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/>
      <c r="AV664" s="2"/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45">
        <f>IF(AND(Table2[[#This Row],[GameIsOver]]=1,Table2[[#This Row],[ActualHomeScore]]*Table2[[#This Row],[ActualAwayScore]]=0), 1,0)</f>
        <v>0</v>
      </c>
      <c r="AA6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/>
      <c r="AV665" s="2"/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45">
        <f>IF(AND(Table2[[#This Row],[GameIsOver]]=1,Table2[[#This Row],[ActualHomeScore]]*Table2[[#This Row],[ActualAwayScore]]=0), 1,0)</f>
        <v>0</v>
      </c>
      <c r="AA6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/>
      <c r="AV666" s="2"/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45">
        <f>IF(AND(Table2[[#This Row],[GameIsOver]]=1,Table2[[#This Row],[ActualHomeScore]]*Table2[[#This Row],[ActualAwayScore]]=0), 1,0)</f>
        <v>0</v>
      </c>
      <c r="AA6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/>
      <c r="AV667" s="2"/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45">
        <f>IF(AND(Table2[[#This Row],[GameIsOver]]=1,Table2[[#This Row],[ActualHomeScore]]*Table2[[#This Row],[ActualAwayScore]]=0), 1,0)</f>
        <v>0</v>
      </c>
      <c r="AA6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8" s="2" t="str">
        <f>INDEX(Sheet5!$B$2:$AG$33, MATCH(Table2[[#This Row],[AwayTeam]],Sheet5!$A$2:$A$33, 0), MATCH(Table2[[#This Row],[HomeTeam]],Sheet5!$A$2:$A$33, 0))</f>
        <v>0-0-0</v>
      </c>
      <c r="AP668" s="2" t="str">
        <f>INDEX(Sheet5!$B$2:$AG$33, MATCH(Table2[[#This Row],[HomeTeam]],Sheet5!$A$2:$A$33, 0), MATCH(Table2[[#This Row],[AwayTeam]],Sheet5!$A$2:$A$33, 0))</f>
        <v>0-0-0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/>
      <c r="AV668" s="2"/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45">
        <f>IF(AND(Table2[[#This Row],[GameIsOver]]=1,Table2[[#This Row],[ActualHomeScore]]*Table2[[#This Row],[ActualAwayScore]]=0), 1,0)</f>
        <v>0</v>
      </c>
      <c r="AA6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/>
      <c r="AV669" s="2"/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45">
        <f>IF(AND(Table2[[#This Row],[GameIsOver]]=1,Table2[[#This Row],[ActualHomeScore]]*Table2[[#This Row],[ActualAwayScore]]=0), 1,0)</f>
        <v>0</v>
      </c>
      <c r="AA6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/>
      <c r="AV670" s="2"/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45">
        <f>IF(AND(Table2[[#This Row],[GameIsOver]]=1,Table2[[#This Row],[ActualHomeScore]]*Table2[[#This Row],[ActualAwayScore]]=0), 1,0)</f>
        <v>0</v>
      </c>
      <c r="AA6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/>
      <c r="AV671" s="2"/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45">
        <f>IF(AND(Table2[[#This Row],[GameIsOver]]=1,Table2[[#This Row],[ActualHomeScore]]*Table2[[#This Row],[ActualAwayScore]]=0), 1,0)</f>
        <v>0</v>
      </c>
      <c r="AA6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/>
      <c r="AV672" s="2"/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45">
        <f>IF(AND(Table2[[#This Row],[GameIsOver]]=1,Table2[[#This Row],[ActualHomeScore]]*Table2[[#This Row],[ActualAwayScore]]=0), 1,0)</f>
        <v>0</v>
      </c>
      <c r="AA6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3" s="2" t="str">
        <f>INDEX(Sheet5!$B$2:$AG$33, MATCH(Table2[[#This Row],[AwayTeam]],Sheet5!$A$2:$A$33, 0), MATCH(Table2[[#This Row],[HomeTeam]],Sheet5!$A$2:$A$33, 0))</f>
        <v>0-0-0</v>
      </c>
      <c r="AP673" s="2" t="str">
        <f>INDEX(Sheet5!$B$2:$AG$33, MATCH(Table2[[#This Row],[HomeTeam]],Sheet5!$A$2:$A$33, 0), MATCH(Table2[[#This Row],[AwayTeam]],Sheet5!$A$2:$A$33, 0))</f>
        <v>0-0-0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/>
      <c r="AV673" s="2"/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45">
        <f>IF(AND(Table2[[#This Row],[GameIsOver]]=1,Table2[[#This Row],[ActualHomeScore]]*Table2[[#This Row],[ActualAwayScore]]=0), 1,0)</f>
        <v>0</v>
      </c>
      <c r="AA6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/>
      <c r="AV674" s="2"/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45">
        <f>IF(AND(Table2[[#This Row],[GameIsOver]]=1,Table2[[#This Row],[ActualHomeScore]]*Table2[[#This Row],[ActualAwayScore]]=0), 1,0)</f>
        <v>0</v>
      </c>
      <c r="AA6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/>
      <c r="AV675" s="2"/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45">
        <f>IF(AND(Table2[[#This Row],[GameIsOver]]=1,Table2[[#This Row],[ActualHomeScore]]*Table2[[#This Row],[ActualAwayScore]]=0), 1,0)</f>
        <v>0</v>
      </c>
      <c r="AA6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/>
      <c r="AV676" s="2"/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45">
        <f>IF(AND(Table2[[#This Row],[GameIsOver]]=1,Table2[[#This Row],[ActualHomeScore]]*Table2[[#This Row],[ActualAwayScore]]=0), 1,0)</f>
        <v>0</v>
      </c>
      <c r="AA6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/>
      <c r="AV677" s="2"/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45">
        <f>IF(AND(Table2[[#This Row],[GameIsOver]]=1,Table2[[#This Row],[ActualHomeScore]]*Table2[[#This Row],[ActualAwayScore]]=0), 1,0)</f>
        <v>0</v>
      </c>
      <c r="AA6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/>
      <c r="AV678" s="2"/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45">
        <f>IF(AND(Table2[[#This Row],[GameIsOver]]=1,Table2[[#This Row],[ActualHomeScore]]*Table2[[#This Row],[ActualAwayScore]]=0), 1,0)</f>
        <v>0</v>
      </c>
      <c r="AA6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9" s="2" t="str">
        <f>INDEX(Sheet5!$B$2:$AG$33, MATCH(Table2[[#This Row],[AwayTeam]],Sheet5!$A$2:$A$33, 0), MATCH(Table2[[#This Row],[HomeTeam]],Sheet5!$A$2:$A$33, 0))</f>
        <v>0-0-0</v>
      </c>
      <c r="AP679" s="2" t="str">
        <f>INDEX(Sheet5!$B$2:$AG$33, MATCH(Table2[[#This Row],[HomeTeam]],Sheet5!$A$2:$A$33, 0), MATCH(Table2[[#This Row],[AwayTeam]],Sheet5!$A$2:$A$33, 0))</f>
        <v>0-0-0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/>
      <c r="AV679" s="2"/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45">
        <f>IF(AND(Table2[[#This Row],[GameIsOver]]=1,Table2[[#This Row],[ActualHomeScore]]*Table2[[#This Row],[ActualAwayScore]]=0), 1,0)</f>
        <v>0</v>
      </c>
      <c r="AA6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0" s="2" t="str">
        <f>INDEX(Sheet5!$B$2:$AG$33, MATCH(Table2[[#This Row],[AwayTeam]],Sheet5!$A$2:$A$33, 0), MATCH(Table2[[#This Row],[HomeTeam]],Sheet5!$A$2:$A$33, 0))</f>
        <v>0-0-0</v>
      </c>
      <c r="AP680" s="2" t="str">
        <f>INDEX(Sheet5!$B$2:$AG$33, MATCH(Table2[[#This Row],[HomeTeam]],Sheet5!$A$2:$A$33, 0), MATCH(Table2[[#This Row],[AwayTeam]],Sheet5!$A$2:$A$33, 0))</f>
        <v>0-0-0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/>
      <c r="AV680" s="2"/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45">
        <f>IF(AND(Table2[[#This Row],[GameIsOver]]=1,Table2[[#This Row],[ActualHomeScore]]*Table2[[#This Row],[ActualAwayScore]]=0), 1,0)</f>
        <v>0</v>
      </c>
      <c r="AA6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1" s="2" t="str">
        <f>INDEX(Sheet5!$B$2:$AG$33, MATCH(Table2[[#This Row],[AwayTeam]],Sheet5!$A$2:$A$33, 0), MATCH(Table2[[#This Row],[HomeTeam]],Sheet5!$A$2:$A$33, 0))</f>
        <v>0-0-0</v>
      </c>
      <c r="AP681" s="2" t="str">
        <f>INDEX(Sheet5!$B$2:$AG$33, MATCH(Table2[[#This Row],[HomeTeam]],Sheet5!$A$2:$A$33, 0), MATCH(Table2[[#This Row],[AwayTeam]],Sheet5!$A$2:$A$33, 0))</f>
        <v>0-0-0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/>
      <c r="AV681" s="2"/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45">
        <f>IF(AND(Table2[[#This Row],[GameIsOver]]=1,Table2[[#This Row],[ActualHomeScore]]*Table2[[#This Row],[ActualAwayScore]]=0), 1,0)</f>
        <v>0</v>
      </c>
      <c r="AA6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/>
      <c r="AV682" s="2"/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45">
        <f>IF(AND(Table2[[#This Row],[GameIsOver]]=1,Table2[[#This Row],[ActualHomeScore]]*Table2[[#This Row],[ActualAwayScore]]=0), 1,0)</f>
        <v>0</v>
      </c>
      <c r="AA6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3" s="2" t="str">
        <f>INDEX(Sheet5!$B$2:$AG$33, MATCH(Table2[[#This Row],[AwayTeam]],Sheet5!$A$2:$A$33, 0), MATCH(Table2[[#This Row],[HomeTeam]],Sheet5!$A$2:$A$33, 0))</f>
        <v>0-0-0</v>
      </c>
      <c r="AP683" s="2" t="str">
        <f>INDEX(Sheet5!$B$2:$AG$33, MATCH(Table2[[#This Row],[HomeTeam]],Sheet5!$A$2:$A$33, 0), MATCH(Table2[[#This Row],[AwayTeam]],Sheet5!$A$2:$A$33, 0))</f>
        <v>0-0-0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/>
      <c r="AV683" s="2"/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45">
        <f>IF(AND(Table2[[#This Row],[GameIsOver]]=1,Table2[[#This Row],[ActualHomeScore]]*Table2[[#This Row],[ActualAwayScore]]=0), 1,0)</f>
        <v>0</v>
      </c>
      <c r="AA6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/>
      <c r="AV684" s="2"/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45">
        <f>IF(AND(Table2[[#This Row],[GameIsOver]]=1,Table2[[#This Row],[ActualHomeScore]]*Table2[[#This Row],[ActualAwayScore]]=0), 1,0)</f>
        <v>0</v>
      </c>
      <c r="AA6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/>
      <c r="AV685" s="2"/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45">
        <f>IF(AND(Table2[[#This Row],[GameIsOver]]=1,Table2[[#This Row],[ActualHomeScore]]*Table2[[#This Row],[ActualAwayScore]]=0), 1,0)</f>
        <v>0</v>
      </c>
      <c r="AA6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/>
      <c r="AV686" s="2"/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45">
        <f>IF(AND(Table2[[#This Row],[GameIsOver]]=1,Table2[[#This Row],[ActualHomeScore]]*Table2[[#This Row],[ActualAwayScore]]=0), 1,0)</f>
        <v>0</v>
      </c>
      <c r="AA6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7" s="2" t="str">
        <f>INDEX(Sheet5!$B$2:$AG$33, MATCH(Table2[[#This Row],[AwayTeam]],Sheet5!$A$2:$A$33, 0), MATCH(Table2[[#This Row],[HomeTeam]],Sheet5!$A$2:$A$33, 0))</f>
        <v>0-0-0</v>
      </c>
      <c r="AP687" s="2" t="str">
        <f>INDEX(Sheet5!$B$2:$AG$33, MATCH(Table2[[#This Row],[HomeTeam]],Sheet5!$A$2:$A$33, 0), MATCH(Table2[[#This Row],[AwayTeam]],Sheet5!$A$2:$A$33, 0))</f>
        <v>0-0-0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/>
      <c r="AV687" s="2"/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45">
        <f>IF(AND(Table2[[#This Row],[GameIsOver]]=1,Table2[[#This Row],[ActualHomeScore]]*Table2[[#This Row],[ActualAwayScore]]=0), 1,0)</f>
        <v>0</v>
      </c>
      <c r="AA6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/>
      <c r="AV688" s="2"/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45">
        <f>IF(AND(Table2[[#This Row],[GameIsOver]]=1,Table2[[#This Row],[ActualHomeScore]]*Table2[[#This Row],[ActualAwayScore]]=0), 1,0)</f>
        <v>0</v>
      </c>
      <c r="AA6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/>
      <c r="AV689" s="2"/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45">
        <f>IF(AND(Table2[[#This Row],[GameIsOver]]=1,Table2[[#This Row],[ActualHomeScore]]*Table2[[#This Row],[ActualAwayScore]]=0), 1,0)</f>
        <v>0</v>
      </c>
      <c r="AA6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0" s="2" t="str">
        <f>INDEX(Sheet5!$B$2:$AG$33, MATCH(Table2[[#This Row],[AwayTeam]],Sheet5!$A$2:$A$33, 0), MATCH(Table2[[#This Row],[HomeTeam]],Sheet5!$A$2:$A$33, 0))</f>
        <v>0-0-0</v>
      </c>
      <c r="AP690" s="2" t="str">
        <f>INDEX(Sheet5!$B$2:$AG$33, MATCH(Table2[[#This Row],[HomeTeam]],Sheet5!$A$2:$A$33, 0), MATCH(Table2[[#This Row],[AwayTeam]],Sheet5!$A$2:$A$33, 0))</f>
        <v>0-0-0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/>
      <c r="AV690" s="2"/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45">
        <f>IF(AND(Table2[[#This Row],[GameIsOver]]=1,Table2[[#This Row],[ActualHomeScore]]*Table2[[#This Row],[ActualAwayScore]]=0), 1,0)</f>
        <v>0</v>
      </c>
      <c r="AA6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/>
      <c r="AV691" s="2"/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45">
        <f>IF(AND(Table2[[#This Row],[GameIsOver]]=1,Table2[[#This Row],[ActualHomeScore]]*Table2[[#This Row],[ActualAwayScore]]=0), 1,0)</f>
        <v>0</v>
      </c>
      <c r="AA6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/>
      <c r="AV692" s="2"/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45">
        <f>IF(AND(Table2[[#This Row],[GameIsOver]]=1,Table2[[#This Row],[ActualHomeScore]]*Table2[[#This Row],[ActualAwayScore]]=0), 1,0)</f>
        <v>0</v>
      </c>
      <c r="AA6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/>
      <c r="AV693" s="2"/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45">
        <f>IF(AND(Table2[[#This Row],[GameIsOver]]=1,Table2[[#This Row],[ActualHomeScore]]*Table2[[#This Row],[ActualAwayScore]]=0), 1,0)</f>
        <v>0</v>
      </c>
      <c r="AA6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/>
      <c r="AV694" s="2"/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45">
        <f>IF(AND(Table2[[#This Row],[GameIsOver]]=1,Table2[[#This Row],[ActualHomeScore]]*Table2[[#This Row],[ActualAwayScore]]=0), 1,0)</f>
        <v>0</v>
      </c>
      <c r="AA6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/>
      <c r="AV695" s="2"/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45">
        <f>IF(AND(Table2[[#This Row],[GameIsOver]]=1,Table2[[#This Row],[ActualHomeScore]]*Table2[[#This Row],[ActualAwayScore]]=0), 1,0)</f>
        <v>0</v>
      </c>
      <c r="AA6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/>
      <c r="AV696" s="2"/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45">
        <f>IF(AND(Table2[[#This Row],[GameIsOver]]=1,Table2[[#This Row],[ActualHomeScore]]*Table2[[#This Row],[ActualAwayScore]]=0), 1,0)</f>
        <v>0</v>
      </c>
      <c r="AA6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7" s="2" t="str">
        <f>INDEX(Sheet5!$B$2:$AG$33, MATCH(Table2[[#This Row],[AwayTeam]],Sheet5!$A$2:$A$33, 0), MATCH(Table2[[#This Row],[HomeTeam]],Sheet5!$A$2:$A$33, 0))</f>
        <v>0-0-0</v>
      </c>
      <c r="AP697" s="2" t="str">
        <f>INDEX(Sheet5!$B$2:$AG$33, MATCH(Table2[[#This Row],[HomeTeam]],Sheet5!$A$2:$A$33, 0), MATCH(Table2[[#This Row],[AwayTeam]],Sheet5!$A$2:$A$33, 0))</f>
        <v>0-0-0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/>
      <c r="AV697" s="2"/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45">
        <f>IF(AND(Table2[[#This Row],[GameIsOver]]=1,Table2[[#This Row],[ActualHomeScore]]*Table2[[#This Row],[ActualAwayScore]]=0), 1,0)</f>
        <v>0</v>
      </c>
      <c r="AA6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8" s="2" t="str">
        <f>INDEX(Sheet5!$B$2:$AG$33, MATCH(Table2[[#This Row],[AwayTeam]],Sheet5!$A$2:$A$33, 0), MATCH(Table2[[#This Row],[HomeTeam]],Sheet5!$A$2:$A$33, 0))</f>
        <v>0-0-0</v>
      </c>
      <c r="AP698" s="2" t="str">
        <f>INDEX(Sheet5!$B$2:$AG$33, MATCH(Table2[[#This Row],[HomeTeam]],Sheet5!$A$2:$A$33, 0), MATCH(Table2[[#This Row],[AwayTeam]],Sheet5!$A$2:$A$33, 0))</f>
        <v>0-0-0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/>
      <c r="AV698" s="2"/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45">
        <f>IF(AND(Table2[[#This Row],[GameIsOver]]=1,Table2[[#This Row],[ActualHomeScore]]*Table2[[#This Row],[ActualAwayScore]]=0), 1,0)</f>
        <v>0</v>
      </c>
      <c r="AA6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/>
      <c r="AV699" s="2"/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45">
        <f>IF(AND(Table2[[#This Row],[GameIsOver]]=1,Table2[[#This Row],[ActualHomeScore]]*Table2[[#This Row],[ActualAwayScore]]=0), 1,0)</f>
        <v>0</v>
      </c>
      <c r="AA7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/>
      <c r="AV700" s="2"/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45">
        <f>IF(AND(Table2[[#This Row],[GameIsOver]]=1,Table2[[#This Row],[ActualHomeScore]]*Table2[[#This Row],[ActualAwayScore]]=0), 1,0)</f>
        <v>0</v>
      </c>
      <c r="AA7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1" s="2" t="str">
        <f>INDEX(Sheet5!$B$2:$AG$33, MATCH(Table2[[#This Row],[AwayTeam]],Sheet5!$A$2:$A$33, 0), MATCH(Table2[[#This Row],[HomeTeam]],Sheet5!$A$2:$A$33, 0))</f>
        <v>0-0-0</v>
      </c>
      <c r="AP701" s="2" t="str">
        <f>INDEX(Sheet5!$B$2:$AG$33, MATCH(Table2[[#This Row],[HomeTeam]],Sheet5!$A$2:$A$33, 0), MATCH(Table2[[#This Row],[AwayTeam]],Sheet5!$A$2:$A$33, 0))</f>
        <v>0-0-0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/>
      <c r="AV701" s="2"/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45">
        <f>IF(AND(Table2[[#This Row],[GameIsOver]]=1,Table2[[#This Row],[ActualHomeScore]]*Table2[[#This Row],[ActualAwayScore]]=0), 1,0)</f>
        <v>0</v>
      </c>
      <c r="AA7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/>
      <c r="AV702" s="2"/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45">
        <f>IF(AND(Table2[[#This Row],[GameIsOver]]=1,Table2[[#This Row],[ActualHomeScore]]*Table2[[#This Row],[ActualAwayScore]]=0), 1,0)</f>
        <v>0</v>
      </c>
      <c r="AA7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/>
      <c r="AV703" s="2"/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45">
        <f>IF(AND(Table2[[#This Row],[GameIsOver]]=1,Table2[[#This Row],[ActualHomeScore]]*Table2[[#This Row],[ActualAwayScore]]=0), 1,0)</f>
        <v>0</v>
      </c>
      <c r="AA7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/>
      <c r="AV704" s="2"/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45">
        <f>IF(AND(Table2[[#This Row],[GameIsOver]]=1,Table2[[#This Row],[ActualHomeScore]]*Table2[[#This Row],[ActualAwayScore]]=0), 1,0)</f>
        <v>0</v>
      </c>
      <c r="AA7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5" s="2" t="str">
        <f>INDEX(Sheet5!$B$2:$AG$33, MATCH(Table2[[#This Row],[AwayTeam]],Sheet5!$A$2:$A$33, 0), MATCH(Table2[[#This Row],[HomeTeam]],Sheet5!$A$2:$A$33, 0))</f>
        <v>0-0-0</v>
      </c>
      <c r="AP705" s="2" t="str">
        <f>INDEX(Sheet5!$B$2:$AG$33, MATCH(Table2[[#This Row],[HomeTeam]],Sheet5!$A$2:$A$33, 0), MATCH(Table2[[#This Row],[AwayTeam]],Sheet5!$A$2:$A$33, 0))</f>
        <v>0-0-0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/>
      <c r="AV705" s="2"/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45">
        <f>IF(AND(Table2[[#This Row],[GameIsOver]]=1,Table2[[#This Row],[ActualHomeScore]]*Table2[[#This Row],[ActualAwayScore]]=0), 1,0)</f>
        <v>0</v>
      </c>
      <c r="AA7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6" s="2" t="str">
        <f>INDEX(Sheet5!$B$2:$AG$33, MATCH(Table2[[#This Row],[AwayTeam]],Sheet5!$A$2:$A$33, 0), MATCH(Table2[[#This Row],[HomeTeam]],Sheet5!$A$2:$A$33, 0))</f>
        <v>0-0-0</v>
      </c>
      <c r="AP706" s="2" t="str">
        <f>INDEX(Sheet5!$B$2:$AG$33, MATCH(Table2[[#This Row],[HomeTeam]],Sheet5!$A$2:$A$33, 0), MATCH(Table2[[#This Row],[AwayTeam]],Sheet5!$A$2:$A$33, 0))</f>
        <v>0-0-0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/>
      <c r="AV706" s="2"/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45">
        <f>IF(AND(Table2[[#This Row],[GameIsOver]]=1,Table2[[#This Row],[ActualHomeScore]]*Table2[[#This Row],[ActualAwayScore]]=0), 1,0)</f>
        <v>0</v>
      </c>
      <c r="AA7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/>
      <c r="AV707" s="2"/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45">
        <f>IF(AND(Table2[[#This Row],[GameIsOver]]=1,Table2[[#This Row],[ActualHomeScore]]*Table2[[#This Row],[ActualAwayScore]]=0), 1,0)</f>
        <v>0</v>
      </c>
      <c r="AA7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/>
      <c r="AV708" s="2"/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45">
        <f>IF(AND(Table2[[#This Row],[GameIsOver]]=1,Table2[[#This Row],[ActualHomeScore]]*Table2[[#This Row],[ActualAwayScore]]=0), 1,0)</f>
        <v>0</v>
      </c>
      <c r="AA7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/>
      <c r="AV709" s="2"/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45">
        <f>IF(AND(Table2[[#This Row],[GameIsOver]]=1,Table2[[#This Row],[ActualHomeScore]]*Table2[[#This Row],[ActualAwayScore]]=0), 1,0)</f>
        <v>0</v>
      </c>
      <c r="AA7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/>
      <c r="AV710" s="2"/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45">
        <f>IF(AND(Table2[[#This Row],[GameIsOver]]=1,Table2[[#This Row],[ActualHomeScore]]*Table2[[#This Row],[ActualAwayScore]]=0), 1,0)</f>
        <v>0</v>
      </c>
      <c r="AA7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/>
      <c r="AV711" s="2"/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45">
        <f>IF(AND(Table2[[#This Row],[GameIsOver]]=1,Table2[[#This Row],[ActualHomeScore]]*Table2[[#This Row],[ActualAwayScore]]=0), 1,0)</f>
        <v>0</v>
      </c>
      <c r="AA7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/>
      <c r="AV712" s="2"/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45">
        <f>IF(AND(Table2[[#This Row],[GameIsOver]]=1,Table2[[#This Row],[ActualHomeScore]]*Table2[[#This Row],[ActualAwayScore]]=0), 1,0)</f>
        <v>0</v>
      </c>
      <c r="AA7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/>
      <c r="AV713" s="2"/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45">
        <f>IF(AND(Table2[[#This Row],[GameIsOver]]=1,Table2[[#This Row],[ActualHomeScore]]*Table2[[#This Row],[ActualAwayScore]]=0), 1,0)</f>
        <v>0</v>
      </c>
      <c r="AA7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/>
      <c r="AV714" s="2"/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45">
        <f>IF(AND(Table2[[#This Row],[GameIsOver]]=1,Table2[[#This Row],[ActualHomeScore]]*Table2[[#This Row],[ActualAwayScore]]=0), 1,0)</f>
        <v>0</v>
      </c>
      <c r="AA7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/>
      <c r="AV715" s="2"/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45">
        <f>IF(AND(Table2[[#This Row],[GameIsOver]]=1,Table2[[#This Row],[ActualHomeScore]]*Table2[[#This Row],[ActualAwayScore]]=0), 1,0)</f>
        <v>0</v>
      </c>
      <c r="AA7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/>
      <c r="AV716" s="2"/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45">
        <f>IF(AND(Table2[[#This Row],[GameIsOver]]=1,Table2[[#This Row],[ActualHomeScore]]*Table2[[#This Row],[ActualAwayScore]]=0), 1,0)</f>
        <v>0</v>
      </c>
      <c r="AA7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7" s="2" t="str">
        <f>INDEX(Sheet5!$B$2:$AG$33, MATCH(Table2[[#This Row],[AwayTeam]],Sheet5!$A$2:$A$33, 0), MATCH(Table2[[#This Row],[HomeTeam]],Sheet5!$A$2:$A$33, 0))</f>
        <v>0-0-0</v>
      </c>
      <c r="AP717" s="2" t="str">
        <f>INDEX(Sheet5!$B$2:$AG$33, MATCH(Table2[[#This Row],[HomeTeam]],Sheet5!$A$2:$A$33, 0), MATCH(Table2[[#This Row],[AwayTeam]],Sheet5!$A$2:$A$33, 0))</f>
        <v>0-0-0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/>
      <c r="AV717" s="2"/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45">
        <f>IF(AND(Table2[[#This Row],[GameIsOver]]=1,Table2[[#This Row],[ActualHomeScore]]*Table2[[#This Row],[ActualAwayScore]]=0), 1,0)</f>
        <v>0</v>
      </c>
      <c r="AA7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8" s="2" t="str">
        <f>INDEX(Sheet5!$B$2:$AG$33, MATCH(Table2[[#This Row],[AwayTeam]],Sheet5!$A$2:$A$33, 0), MATCH(Table2[[#This Row],[HomeTeam]],Sheet5!$A$2:$A$33, 0))</f>
        <v>0-0-0</v>
      </c>
      <c r="AP718" s="2" t="str">
        <f>INDEX(Sheet5!$B$2:$AG$33, MATCH(Table2[[#This Row],[HomeTeam]],Sheet5!$A$2:$A$33, 0), MATCH(Table2[[#This Row],[AwayTeam]],Sheet5!$A$2:$A$33, 0))</f>
        <v>0-0-0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/>
      <c r="AV718" s="2"/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45">
        <f>IF(AND(Table2[[#This Row],[GameIsOver]]=1,Table2[[#This Row],[ActualHomeScore]]*Table2[[#This Row],[ActualAwayScore]]=0), 1,0)</f>
        <v>0</v>
      </c>
      <c r="AA7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/>
      <c r="AV719" s="2"/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45">
        <f>IF(AND(Table2[[#This Row],[GameIsOver]]=1,Table2[[#This Row],[ActualHomeScore]]*Table2[[#This Row],[ActualAwayScore]]=0), 1,0)</f>
        <v>0</v>
      </c>
      <c r="AA7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/>
      <c r="AV720" s="2"/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45">
        <f>IF(AND(Table2[[#This Row],[GameIsOver]]=1,Table2[[#This Row],[ActualHomeScore]]*Table2[[#This Row],[ActualAwayScore]]=0), 1,0)</f>
        <v>0</v>
      </c>
      <c r="AA7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/>
      <c r="AV721" s="2"/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45">
        <f>IF(AND(Table2[[#This Row],[GameIsOver]]=1,Table2[[#This Row],[ActualHomeScore]]*Table2[[#This Row],[ActualAwayScore]]=0), 1,0)</f>
        <v>0</v>
      </c>
      <c r="AA7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2" s="2" t="str">
        <f>INDEX(Sheet5!$B$2:$AG$33, MATCH(Table2[[#This Row],[AwayTeam]],Sheet5!$A$2:$A$33, 0), MATCH(Table2[[#This Row],[HomeTeam]],Sheet5!$A$2:$A$33, 0))</f>
        <v>0-0-0</v>
      </c>
      <c r="AP722" s="2" t="str">
        <f>INDEX(Sheet5!$B$2:$AG$33, MATCH(Table2[[#This Row],[HomeTeam]],Sheet5!$A$2:$A$33, 0), MATCH(Table2[[#This Row],[AwayTeam]],Sheet5!$A$2:$A$33, 0))</f>
        <v>0-0-0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/>
      <c r="AV722" s="2"/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45">
        <f>IF(AND(Table2[[#This Row],[GameIsOver]]=1,Table2[[#This Row],[ActualHomeScore]]*Table2[[#This Row],[ActualAwayScore]]=0), 1,0)</f>
        <v>0</v>
      </c>
      <c r="AA7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3" s="2" t="str">
        <f>INDEX(Sheet5!$B$2:$AG$33, MATCH(Table2[[#This Row],[AwayTeam]],Sheet5!$A$2:$A$33, 0), MATCH(Table2[[#This Row],[HomeTeam]],Sheet5!$A$2:$A$33, 0))</f>
        <v>0-0-0</v>
      </c>
      <c r="AP723" s="2" t="str">
        <f>INDEX(Sheet5!$B$2:$AG$33, MATCH(Table2[[#This Row],[HomeTeam]],Sheet5!$A$2:$A$33, 0), MATCH(Table2[[#This Row],[AwayTeam]],Sheet5!$A$2:$A$33, 0))</f>
        <v>0-0-0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/>
      <c r="AV723" s="2"/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45">
        <f>IF(AND(Table2[[#This Row],[GameIsOver]]=1,Table2[[#This Row],[ActualHomeScore]]*Table2[[#This Row],[ActualAwayScore]]=0), 1,0)</f>
        <v>0</v>
      </c>
      <c r="AA7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/>
      <c r="AV724" s="2"/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45">
        <f>IF(AND(Table2[[#This Row],[GameIsOver]]=1,Table2[[#This Row],[ActualHomeScore]]*Table2[[#This Row],[ActualAwayScore]]=0), 1,0)</f>
        <v>0</v>
      </c>
      <c r="AA7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/>
      <c r="AV725" s="2"/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45">
        <f>IF(AND(Table2[[#This Row],[GameIsOver]]=1,Table2[[#This Row],[ActualHomeScore]]*Table2[[#This Row],[ActualAwayScore]]=0), 1,0)</f>
        <v>0</v>
      </c>
      <c r="AA7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6" s="2" t="str">
        <f>INDEX(Sheet5!$B$2:$AG$33, MATCH(Table2[[#This Row],[AwayTeam]],Sheet5!$A$2:$A$33, 0), MATCH(Table2[[#This Row],[HomeTeam]],Sheet5!$A$2:$A$33, 0))</f>
        <v>0-0-0</v>
      </c>
      <c r="AP726" s="2" t="str">
        <f>INDEX(Sheet5!$B$2:$AG$33, MATCH(Table2[[#This Row],[HomeTeam]],Sheet5!$A$2:$A$33, 0), MATCH(Table2[[#This Row],[AwayTeam]],Sheet5!$A$2:$A$33, 0))</f>
        <v>0-0-0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/>
      <c r="AV726" s="2"/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45">
        <f>IF(AND(Table2[[#This Row],[GameIsOver]]=1,Table2[[#This Row],[ActualHomeScore]]*Table2[[#This Row],[ActualAwayScore]]=0), 1,0)</f>
        <v>0</v>
      </c>
      <c r="AA7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/>
      <c r="AV727" s="2"/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45">
        <f>IF(AND(Table2[[#This Row],[GameIsOver]]=1,Table2[[#This Row],[ActualHomeScore]]*Table2[[#This Row],[ActualAwayScore]]=0), 1,0)</f>
        <v>0</v>
      </c>
      <c r="AA7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/>
      <c r="AV728" s="2"/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45">
        <f>IF(AND(Table2[[#This Row],[GameIsOver]]=1,Table2[[#This Row],[ActualHomeScore]]*Table2[[#This Row],[ActualAwayScore]]=0), 1,0)</f>
        <v>0</v>
      </c>
      <c r="AA7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/>
      <c r="AV729" s="2"/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45">
        <f>IF(AND(Table2[[#This Row],[GameIsOver]]=1,Table2[[#This Row],[ActualHomeScore]]*Table2[[#This Row],[ActualAwayScore]]=0), 1,0)</f>
        <v>0</v>
      </c>
      <c r="AA7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/>
      <c r="AV730" s="2"/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45">
        <f>IF(AND(Table2[[#This Row],[GameIsOver]]=1,Table2[[#This Row],[ActualHomeScore]]*Table2[[#This Row],[ActualAwayScore]]=0), 1,0)</f>
        <v>0</v>
      </c>
      <c r="AA7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/>
      <c r="AV731" s="2"/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45">
        <f>IF(AND(Table2[[#This Row],[GameIsOver]]=1,Table2[[#This Row],[ActualHomeScore]]*Table2[[#This Row],[ActualAwayScore]]=0), 1,0)</f>
        <v>0</v>
      </c>
      <c r="AA7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/>
      <c r="AV732" s="2"/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45">
        <f>IF(AND(Table2[[#This Row],[GameIsOver]]=1,Table2[[#This Row],[ActualHomeScore]]*Table2[[#This Row],[ActualAwayScore]]=0), 1,0)</f>
        <v>0</v>
      </c>
      <c r="AA7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/>
      <c r="AV733" s="2"/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45">
        <f>IF(AND(Table2[[#This Row],[GameIsOver]]=1,Table2[[#This Row],[ActualHomeScore]]*Table2[[#This Row],[ActualAwayScore]]=0), 1,0)</f>
        <v>0</v>
      </c>
      <c r="AA7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4" s="2" t="str">
        <f>INDEX(Sheet5!$B$2:$AG$33, MATCH(Table2[[#This Row],[AwayTeam]],Sheet5!$A$2:$A$33, 0), MATCH(Table2[[#This Row],[HomeTeam]],Sheet5!$A$2:$A$33, 0))</f>
        <v>0-0-0</v>
      </c>
      <c r="AP734" s="2" t="str">
        <f>INDEX(Sheet5!$B$2:$AG$33, MATCH(Table2[[#This Row],[HomeTeam]],Sheet5!$A$2:$A$33, 0), MATCH(Table2[[#This Row],[AwayTeam]],Sheet5!$A$2:$A$33, 0))</f>
        <v>0-0-0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/>
      <c r="AV734" s="2"/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45">
        <f>IF(AND(Table2[[#This Row],[GameIsOver]]=1,Table2[[#This Row],[ActualHomeScore]]*Table2[[#This Row],[ActualAwayScore]]=0), 1,0)</f>
        <v>0</v>
      </c>
      <c r="AA7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/>
      <c r="AV735" s="2"/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45">
        <f>IF(AND(Table2[[#This Row],[GameIsOver]]=1,Table2[[#This Row],[ActualHomeScore]]*Table2[[#This Row],[ActualAwayScore]]=0), 1,0)</f>
        <v>0</v>
      </c>
      <c r="AA7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/>
      <c r="AV736" s="2"/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45">
        <f>IF(AND(Table2[[#This Row],[GameIsOver]]=1,Table2[[#This Row],[ActualHomeScore]]*Table2[[#This Row],[ActualAwayScore]]=0), 1,0)</f>
        <v>0</v>
      </c>
      <c r="AA7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/>
      <c r="AV737" s="2"/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45">
        <f>IF(AND(Table2[[#This Row],[GameIsOver]]=1,Table2[[#This Row],[ActualHomeScore]]*Table2[[#This Row],[ActualAwayScore]]=0), 1,0)</f>
        <v>0</v>
      </c>
      <c r="AA7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/>
      <c r="AV738" s="2"/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45">
        <f>IF(AND(Table2[[#This Row],[GameIsOver]]=1,Table2[[#This Row],[ActualHomeScore]]*Table2[[#This Row],[ActualAwayScore]]=0), 1,0)</f>
        <v>0</v>
      </c>
      <c r="AA7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/>
      <c r="AV739" s="2"/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45">
        <f>IF(AND(Table2[[#This Row],[GameIsOver]]=1,Table2[[#This Row],[ActualHomeScore]]*Table2[[#This Row],[ActualAwayScore]]=0), 1,0)</f>
        <v>0</v>
      </c>
      <c r="AA7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/>
      <c r="AV740" s="2"/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45">
        <f>IF(AND(Table2[[#This Row],[GameIsOver]]=1,Table2[[#This Row],[ActualHomeScore]]*Table2[[#This Row],[ActualAwayScore]]=0), 1,0)</f>
        <v>0</v>
      </c>
      <c r="AA7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/>
      <c r="AV741" s="2"/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45">
        <f>IF(AND(Table2[[#This Row],[GameIsOver]]=1,Table2[[#This Row],[ActualHomeScore]]*Table2[[#This Row],[ActualAwayScore]]=0), 1,0)</f>
        <v>0</v>
      </c>
      <c r="AA7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2" s="2" t="str">
        <f>INDEX(Sheet5!$B$2:$AG$33, MATCH(Table2[[#This Row],[AwayTeam]],Sheet5!$A$2:$A$33, 0), MATCH(Table2[[#This Row],[HomeTeam]],Sheet5!$A$2:$A$33, 0))</f>
        <v>0-0-0</v>
      </c>
      <c r="AP742" s="2" t="str">
        <f>INDEX(Sheet5!$B$2:$AG$33, MATCH(Table2[[#This Row],[HomeTeam]],Sheet5!$A$2:$A$33, 0), MATCH(Table2[[#This Row],[AwayTeam]],Sheet5!$A$2:$A$33, 0))</f>
        <v>0-0-0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/>
      <c r="AV742" s="2"/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45">
        <f>IF(AND(Table2[[#This Row],[GameIsOver]]=1,Table2[[#This Row],[ActualHomeScore]]*Table2[[#This Row],[ActualAwayScore]]=0), 1,0)</f>
        <v>0</v>
      </c>
      <c r="AA7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3" s="2" t="str">
        <f>INDEX(Sheet5!$B$2:$AG$33, MATCH(Table2[[#This Row],[AwayTeam]],Sheet5!$A$2:$A$33, 0), MATCH(Table2[[#This Row],[HomeTeam]],Sheet5!$A$2:$A$33, 0))</f>
        <v>0-0-0</v>
      </c>
      <c r="AP743" s="2" t="str">
        <f>INDEX(Sheet5!$B$2:$AG$33, MATCH(Table2[[#This Row],[HomeTeam]],Sheet5!$A$2:$A$33, 0), MATCH(Table2[[#This Row],[AwayTeam]],Sheet5!$A$2:$A$33, 0))</f>
        <v>0-0-0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/>
      <c r="AV743" s="2"/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45">
        <f>IF(AND(Table2[[#This Row],[GameIsOver]]=1,Table2[[#This Row],[ActualHomeScore]]*Table2[[#This Row],[ActualAwayScore]]=0), 1,0)</f>
        <v>0</v>
      </c>
      <c r="AA7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/>
      <c r="AV744" s="2"/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45">
        <f>IF(AND(Table2[[#This Row],[GameIsOver]]=1,Table2[[#This Row],[ActualHomeScore]]*Table2[[#This Row],[ActualAwayScore]]=0), 1,0)</f>
        <v>0</v>
      </c>
      <c r="AA7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/>
      <c r="AV745" s="2"/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45">
        <f>IF(AND(Table2[[#This Row],[GameIsOver]]=1,Table2[[#This Row],[ActualHomeScore]]*Table2[[#This Row],[ActualAwayScore]]=0), 1,0)</f>
        <v>0</v>
      </c>
      <c r="AA7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6" s="2" t="str">
        <f>INDEX(Sheet5!$B$2:$AG$33, MATCH(Table2[[#This Row],[AwayTeam]],Sheet5!$A$2:$A$33, 0), MATCH(Table2[[#This Row],[HomeTeam]],Sheet5!$A$2:$A$33, 0))</f>
        <v>0-0-0</v>
      </c>
      <c r="AP746" s="2" t="str">
        <f>INDEX(Sheet5!$B$2:$AG$33, MATCH(Table2[[#This Row],[HomeTeam]],Sheet5!$A$2:$A$33, 0), MATCH(Table2[[#This Row],[AwayTeam]],Sheet5!$A$2:$A$33, 0))</f>
        <v>0-0-0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/>
      <c r="AV746" s="2"/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45">
        <f>IF(AND(Table2[[#This Row],[GameIsOver]]=1,Table2[[#This Row],[ActualHomeScore]]*Table2[[#This Row],[ActualAwayScore]]=0), 1,0)</f>
        <v>0</v>
      </c>
      <c r="AA7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/>
      <c r="AV747" s="2"/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45">
        <f>IF(AND(Table2[[#This Row],[GameIsOver]]=1,Table2[[#This Row],[ActualHomeScore]]*Table2[[#This Row],[ActualAwayScore]]=0), 1,0)</f>
        <v>0</v>
      </c>
      <c r="AA7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/>
      <c r="AV748" s="2"/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45">
        <f>IF(AND(Table2[[#This Row],[GameIsOver]]=1,Table2[[#This Row],[ActualHomeScore]]*Table2[[#This Row],[ActualAwayScore]]=0), 1,0)</f>
        <v>0</v>
      </c>
      <c r="AA7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9" s="2" t="str">
        <f>INDEX(Sheet5!$B$2:$AG$33, MATCH(Table2[[#This Row],[AwayTeam]],Sheet5!$A$2:$A$33, 0), MATCH(Table2[[#This Row],[HomeTeam]],Sheet5!$A$2:$A$33, 0))</f>
        <v>0-0-0</v>
      </c>
      <c r="AP749" s="2" t="str">
        <f>INDEX(Sheet5!$B$2:$AG$33, MATCH(Table2[[#This Row],[HomeTeam]],Sheet5!$A$2:$A$33, 0), MATCH(Table2[[#This Row],[AwayTeam]],Sheet5!$A$2:$A$33, 0))</f>
        <v>0-0-0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/>
      <c r="AV749" s="2"/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45">
        <f>IF(AND(Table2[[#This Row],[GameIsOver]]=1,Table2[[#This Row],[ActualHomeScore]]*Table2[[#This Row],[ActualAwayScore]]=0), 1,0)</f>
        <v>0</v>
      </c>
      <c r="AA7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/>
      <c r="AV750" s="2"/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45">
        <f>IF(AND(Table2[[#This Row],[GameIsOver]]=1,Table2[[#This Row],[ActualHomeScore]]*Table2[[#This Row],[ActualAwayScore]]=0), 1,0)</f>
        <v>0</v>
      </c>
      <c r="AA7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/>
      <c r="AV751" s="2"/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45">
        <f>IF(AND(Table2[[#This Row],[GameIsOver]]=1,Table2[[#This Row],[ActualHomeScore]]*Table2[[#This Row],[ActualAwayScore]]=0), 1,0)</f>
        <v>0</v>
      </c>
      <c r="AA7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/>
      <c r="AV752" s="2"/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45">
        <f>IF(AND(Table2[[#This Row],[GameIsOver]]=1,Table2[[#This Row],[ActualHomeScore]]*Table2[[#This Row],[ActualAwayScore]]=0), 1,0)</f>
        <v>0</v>
      </c>
      <c r="AA7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/>
      <c r="AV753" s="2"/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45">
        <f>IF(AND(Table2[[#This Row],[GameIsOver]]=1,Table2[[#This Row],[ActualHomeScore]]*Table2[[#This Row],[ActualAwayScore]]=0), 1,0)</f>
        <v>0</v>
      </c>
      <c r="AA7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/>
      <c r="AV754" s="2"/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45">
        <f>IF(AND(Table2[[#This Row],[GameIsOver]]=1,Table2[[#This Row],[ActualHomeScore]]*Table2[[#This Row],[ActualAwayScore]]=0), 1,0)</f>
        <v>0</v>
      </c>
      <c r="AA7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/>
      <c r="AV755" s="2"/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45">
        <f>IF(AND(Table2[[#This Row],[GameIsOver]]=1,Table2[[#This Row],[ActualHomeScore]]*Table2[[#This Row],[ActualAwayScore]]=0), 1,0)</f>
        <v>0</v>
      </c>
      <c r="AA7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/>
      <c r="AV756" s="2"/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45">
        <f>IF(AND(Table2[[#This Row],[GameIsOver]]=1,Table2[[#This Row],[ActualHomeScore]]*Table2[[#This Row],[ActualAwayScore]]=0), 1,0)</f>
        <v>0</v>
      </c>
      <c r="AA7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/>
      <c r="AV757" s="2"/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45">
        <f>IF(AND(Table2[[#This Row],[GameIsOver]]=1,Table2[[#This Row],[ActualHomeScore]]*Table2[[#This Row],[ActualAwayScore]]=0), 1,0)</f>
        <v>0</v>
      </c>
      <c r="AA7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_xlfn.TEXTJOIN(";", 1, $BD$31:$BD$40)), 0) &gt; 0, 1, 0) + IF(IFERROR(FIND(Table2[[#This Row],[HomeTeam]], _xlfn.TEXTJOIN(";", 1, $BD$31:$BD$40)), 0) &gt; 0, 1, 0)</f>
        <v>1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/>
      <c r="AV758" s="2"/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45">
        <f>IF(AND(Table2[[#This Row],[GameIsOver]]=1,Table2[[#This Row],[ActualHomeScore]]*Table2[[#This Row],[ActualAwayScore]]=0), 1,0)</f>
        <v>0</v>
      </c>
      <c r="AA7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/>
      <c r="AV759" s="2"/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45">
        <f>IF(AND(Table2[[#This Row],[GameIsOver]]=1,Table2[[#This Row],[ActualHomeScore]]*Table2[[#This Row],[ActualAwayScore]]=0), 1,0)</f>
        <v>0</v>
      </c>
      <c r="AA7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/>
      <c r="AV760" s="2"/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45">
        <f>IF(AND(Table2[[#This Row],[GameIsOver]]=1,Table2[[#This Row],[ActualHomeScore]]*Table2[[#This Row],[ActualAwayScore]]=0), 1,0)</f>
        <v>0</v>
      </c>
      <c r="AA7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1" s="2" t="str">
        <f>INDEX(Sheet5!$B$2:$AG$33, MATCH(Table2[[#This Row],[AwayTeam]],Sheet5!$A$2:$A$33, 0), MATCH(Table2[[#This Row],[HomeTeam]],Sheet5!$A$2:$A$33, 0))</f>
        <v>0-0-0</v>
      </c>
      <c r="AP761" s="2" t="str">
        <f>INDEX(Sheet5!$B$2:$AG$33, MATCH(Table2[[#This Row],[HomeTeam]],Sheet5!$A$2:$A$33, 0), MATCH(Table2[[#This Row],[AwayTeam]],Sheet5!$A$2:$A$33, 0))</f>
        <v>0-0-0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/>
      <c r="AV761" s="2"/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45">
        <f>IF(AND(Table2[[#This Row],[GameIsOver]]=1,Table2[[#This Row],[ActualHomeScore]]*Table2[[#This Row],[ActualAwayScore]]=0), 1,0)</f>
        <v>0</v>
      </c>
      <c r="AA7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2" s="2" t="str">
        <f>INDEX(Sheet5!$B$2:$AG$33, MATCH(Table2[[#This Row],[AwayTeam]],Sheet5!$A$2:$A$33, 0), MATCH(Table2[[#This Row],[HomeTeam]],Sheet5!$A$2:$A$33, 0))</f>
        <v>0-0-0</v>
      </c>
      <c r="AP762" s="2" t="str">
        <f>INDEX(Sheet5!$B$2:$AG$33, MATCH(Table2[[#This Row],[HomeTeam]],Sheet5!$A$2:$A$33, 0), MATCH(Table2[[#This Row],[AwayTeam]],Sheet5!$A$2:$A$33, 0))</f>
        <v>0-0-0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/>
      <c r="AV762" s="2"/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45">
        <f>IF(AND(Table2[[#This Row],[GameIsOver]]=1,Table2[[#This Row],[ActualHomeScore]]*Table2[[#This Row],[ActualAwayScore]]=0), 1,0)</f>
        <v>0</v>
      </c>
      <c r="AA7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/>
      <c r="AV763" s="2"/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45">
        <f>IF(AND(Table2[[#This Row],[GameIsOver]]=1,Table2[[#This Row],[ActualHomeScore]]*Table2[[#This Row],[ActualAwayScore]]=0), 1,0)</f>
        <v>0</v>
      </c>
      <c r="AA7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/>
      <c r="AV764" s="2"/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45">
        <f>IF(AND(Table2[[#This Row],[GameIsOver]]=1,Table2[[#This Row],[ActualHomeScore]]*Table2[[#This Row],[ActualAwayScore]]=0), 1,0)</f>
        <v>0</v>
      </c>
      <c r="AA7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5" s="2" t="str">
        <f>INDEX(Sheet5!$B$2:$AG$33, MATCH(Table2[[#This Row],[AwayTeam]],Sheet5!$A$2:$A$33, 0), MATCH(Table2[[#This Row],[HomeTeam]],Sheet5!$A$2:$A$33, 0))</f>
        <v>0-0-0</v>
      </c>
      <c r="AP765" s="2" t="str">
        <f>INDEX(Sheet5!$B$2:$AG$33, MATCH(Table2[[#This Row],[HomeTeam]],Sheet5!$A$2:$A$33, 0), MATCH(Table2[[#This Row],[AwayTeam]],Sheet5!$A$2:$A$33, 0))</f>
        <v>0-0-0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/>
      <c r="AV765" s="2"/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45">
        <f>IF(AND(Table2[[#This Row],[GameIsOver]]=1,Table2[[#This Row],[ActualHomeScore]]*Table2[[#This Row],[ActualAwayScore]]=0), 1,0)</f>
        <v>0</v>
      </c>
      <c r="AA7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6" s="2" t="str">
        <f>INDEX(Sheet5!$B$2:$AG$33, MATCH(Table2[[#This Row],[AwayTeam]],Sheet5!$A$2:$A$33, 0), MATCH(Table2[[#This Row],[HomeTeam]],Sheet5!$A$2:$A$33, 0))</f>
        <v>0-0-0</v>
      </c>
      <c r="AP766" s="2" t="str">
        <f>INDEX(Sheet5!$B$2:$AG$33, MATCH(Table2[[#This Row],[HomeTeam]],Sheet5!$A$2:$A$33, 0), MATCH(Table2[[#This Row],[AwayTeam]],Sheet5!$A$2:$A$33, 0))</f>
        <v>0-0-0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/>
      <c r="AV766" s="2"/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45">
        <f>IF(AND(Table2[[#This Row],[GameIsOver]]=1,Table2[[#This Row],[ActualHomeScore]]*Table2[[#This Row],[ActualAwayScore]]=0), 1,0)</f>
        <v>0</v>
      </c>
      <c r="AA7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/>
      <c r="AV767" s="2"/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45">
        <f>IF(AND(Table2[[#This Row],[GameIsOver]]=1,Table2[[#This Row],[ActualHomeScore]]*Table2[[#This Row],[ActualAwayScore]]=0), 1,0)</f>
        <v>0</v>
      </c>
      <c r="AA7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/>
      <c r="AV768" s="2"/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45">
        <f>IF(AND(Table2[[#This Row],[GameIsOver]]=1,Table2[[#This Row],[ActualHomeScore]]*Table2[[#This Row],[ActualAwayScore]]=0), 1,0)</f>
        <v>0</v>
      </c>
      <c r="AA7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/>
      <c r="AV769" s="2"/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45">
        <f>IF(AND(Table2[[#This Row],[GameIsOver]]=1,Table2[[#This Row],[ActualHomeScore]]*Table2[[#This Row],[ActualAwayScore]]=0), 1,0)</f>
        <v>0</v>
      </c>
      <c r="AA7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/>
      <c r="AV770" s="2"/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45">
        <f>IF(AND(Table2[[#This Row],[GameIsOver]]=1,Table2[[#This Row],[ActualHomeScore]]*Table2[[#This Row],[ActualAwayScore]]=0), 1,0)</f>
        <v>0</v>
      </c>
      <c r="AA7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/>
      <c r="AV771" s="2"/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45">
        <f>IF(AND(Table2[[#This Row],[GameIsOver]]=1,Table2[[#This Row],[ActualHomeScore]]*Table2[[#This Row],[ActualAwayScore]]=0), 1,0)</f>
        <v>0</v>
      </c>
      <c r="AA7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/>
      <c r="AV772" s="2"/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45">
        <f>IF(AND(Table2[[#This Row],[GameIsOver]]=1,Table2[[#This Row],[ActualHomeScore]]*Table2[[#This Row],[ActualAwayScore]]=0), 1,0)</f>
        <v>0</v>
      </c>
      <c r="AA7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/>
      <c r="AV773" s="2"/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45">
        <f>IF(AND(Table2[[#This Row],[GameIsOver]]=1,Table2[[#This Row],[ActualHomeScore]]*Table2[[#This Row],[ActualAwayScore]]=0), 1,0)</f>
        <v>0</v>
      </c>
      <c r="AA7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/>
      <c r="AV774" s="2"/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45">
        <f>IF(AND(Table2[[#This Row],[GameIsOver]]=1,Table2[[#This Row],[ActualHomeScore]]*Table2[[#This Row],[ActualAwayScore]]=0), 1,0)</f>
        <v>0</v>
      </c>
      <c r="AA7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/>
      <c r="AV775" s="2"/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45">
        <f>IF(AND(Table2[[#This Row],[GameIsOver]]=1,Table2[[#This Row],[ActualHomeScore]]*Table2[[#This Row],[ActualAwayScore]]=0), 1,0)</f>
        <v>0</v>
      </c>
      <c r="AA7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/>
      <c r="AV776" s="2"/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45">
        <f>IF(AND(Table2[[#This Row],[GameIsOver]]=1,Table2[[#This Row],[ActualHomeScore]]*Table2[[#This Row],[ActualAwayScore]]=0), 1,0)</f>
        <v>0</v>
      </c>
      <c r="AA7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/>
      <c r="AV777" s="2"/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45">
        <f>IF(AND(Table2[[#This Row],[GameIsOver]]=1,Table2[[#This Row],[ActualHomeScore]]*Table2[[#This Row],[ActualAwayScore]]=0), 1,0)</f>
        <v>0</v>
      </c>
      <c r="AA7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/>
      <c r="AV778" s="2"/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45">
        <f>IF(AND(Table2[[#This Row],[GameIsOver]]=1,Table2[[#This Row],[ActualHomeScore]]*Table2[[#This Row],[ActualAwayScore]]=0), 1,0)</f>
        <v>0</v>
      </c>
      <c r="AA7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/>
      <c r="AV779" s="2"/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45">
        <f>IF(AND(Table2[[#This Row],[GameIsOver]]=1,Table2[[#This Row],[ActualHomeScore]]*Table2[[#This Row],[ActualAwayScore]]=0), 1,0)</f>
        <v>0</v>
      </c>
      <c r="AA7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/>
      <c r="AV780" s="2"/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45">
        <f>IF(AND(Table2[[#This Row],[GameIsOver]]=1,Table2[[#This Row],[ActualHomeScore]]*Table2[[#This Row],[ActualAwayScore]]=0), 1,0)</f>
        <v>0</v>
      </c>
      <c r="AA7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/>
      <c r="AV781" s="2"/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45">
        <f>IF(AND(Table2[[#This Row],[GameIsOver]]=1,Table2[[#This Row],[ActualHomeScore]]*Table2[[#This Row],[ActualAwayScore]]=0), 1,0)</f>
        <v>0</v>
      </c>
      <c r="AA7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/>
      <c r="AV782" s="2"/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45">
        <f>IF(AND(Table2[[#This Row],[GameIsOver]]=1,Table2[[#This Row],[ActualHomeScore]]*Table2[[#This Row],[ActualAwayScore]]=0), 1,0)</f>
        <v>0</v>
      </c>
      <c r="AA7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/>
      <c r="AV783" s="2"/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45">
        <f>IF(AND(Table2[[#This Row],[GameIsOver]]=1,Table2[[#This Row],[ActualHomeScore]]*Table2[[#This Row],[ActualAwayScore]]=0), 1,0)</f>
        <v>0</v>
      </c>
      <c r="AA7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/>
      <c r="AV784" s="2"/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45">
        <f>IF(AND(Table2[[#This Row],[GameIsOver]]=1,Table2[[#This Row],[ActualHomeScore]]*Table2[[#This Row],[ActualAwayScore]]=0), 1,0)</f>
        <v>0</v>
      </c>
      <c r="AA7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/>
      <c r="AV785" s="2"/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45">
        <f>IF(AND(Table2[[#This Row],[GameIsOver]]=1,Table2[[#This Row],[ActualHomeScore]]*Table2[[#This Row],[ActualAwayScore]]=0), 1,0)</f>
        <v>0</v>
      </c>
      <c r="AA7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/>
      <c r="AV786" s="2"/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45">
        <f>IF(AND(Table2[[#This Row],[GameIsOver]]=1,Table2[[#This Row],[ActualHomeScore]]*Table2[[#This Row],[ActualAwayScore]]=0), 1,0)</f>
        <v>0</v>
      </c>
      <c r="AA7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/>
      <c r="AV787" s="2"/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45">
        <f>IF(AND(Table2[[#This Row],[GameIsOver]]=1,Table2[[#This Row],[ActualHomeScore]]*Table2[[#This Row],[ActualAwayScore]]=0), 1,0)</f>
        <v>0</v>
      </c>
      <c r="AA7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8" s="2" t="str">
        <f>INDEX(Sheet5!$B$2:$AG$33, MATCH(Table2[[#This Row],[AwayTeam]],Sheet5!$A$2:$A$33, 0), MATCH(Table2[[#This Row],[HomeTeam]],Sheet5!$A$2:$A$33, 0))</f>
        <v>0-0-0</v>
      </c>
      <c r="AP788" s="2" t="str">
        <f>INDEX(Sheet5!$B$2:$AG$33, MATCH(Table2[[#This Row],[HomeTeam]],Sheet5!$A$2:$A$33, 0), MATCH(Table2[[#This Row],[AwayTeam]],Sheet5!$A$2:$A$33, 0))</f>
        <v>0-0-0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/>
      <c r="AV788" s="2"/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45">
        <f>IF(AND(Table2[[#This Row],[GameIsOver]]=1,Table2[[#This Row],[ActualHomeScore]]*Table2[[#This Row],[ActualAwayScore]]=0), 1,0)</f>
        <v>0</v>
      </c>
      <c r="AA7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/>
      <c r="AV789" s="2"/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45">
        <f>IF(AND(Table2[[#This Row],[GameIsOver]]=1,Table2[[#This Row],[ActualHomeScore]]*Table2[[#This Row],[ActualAwayScore]]=0), 1,0)</f>
        <v>0</v>
      </c>
      <c r="AA7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0" s="2" t="str">
        <f>INDEX(Sheet5!$B$2:$AG$33, MATCH(Table2[[#This Row],[AwayTeam]],Sheet5!$A$2:$A$33, 0), MATCH(Table2[[#This Row],[HomeTeam]],Sheet5!$A$2:$A$33, 0))</f>
        <v>0-0-0</v>
      </c>
      <c r="AP790" s="2" t="str">
        <f>INDEX(Sheet5!$B$2:$AG$33, MATCH(Table2[[#This Row],[HomeTeam]],Sheet5!$A$2:$A$33, 0), MATCH(Table2[[#This Row],[AwayTeam]],Sheet5!$A$2:$A$33, 0))</f>
        <v>0-0-0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/>
      <c r="AV790" s="2"/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45">
        <f>IF(AND(Table2[[#This Row],[GameIsOver]]=1,Table2[[#This Row],[ActualHomeScore]]*Table2[[#This Row],[ActualAwayScore]]=0), 1,0)</f>
        <v>0</v>
      </c>
      <c r="AA7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/>
      <c r="AV791" s="2"/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45">
        <f>IF(AND(Table2[[#This Row],[GameIsOver]]=1,Table2[[#This Row],[ActualHomeScore]]*Table2[[#This Row],[ActualAwayScore]]=0), 1,0)</f>
        <v>0</v>
      </c>
      <c r="AA7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/>
      <c r="AV792" s="2"/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45">
        <f>IF(AND(Table2[[#This Row],[GameIsOver]]=1,Table2[[#This Row],[ActualHomeScore]]*Table2[[#This Row],[ActualAwayScore]]=0), 1,0)</f>
        <v>0</v>
      </c>
      <c r="AA7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/>
      <c r="AV793" s="2"/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45">
        <f>IF(AND(Table2[[#This Row],[GameIsOver]]=1,Table2[[#This Row],[ActualHomeScore]]*Table2[[#This Row],[ActualAwayScore]]=0), 1,0)</f>
        <v>0</v>
      </c>
      <c r="AA7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4" s="2" t="str">
        <f>INDEX(Sheet5!$B$2:$AG$33, MATCH(Table2[[#This Row],[AwayTeam]],Sheet5!$A$2:$A$33, 0), MATCH(Table2[[#This Row],[HomeTeam]],Sheet5!$A$2:$A$33, 0))</f>
        <v>0-0-0</v>
      </c>
      <c r="AP794" s="2" t="str">
        <f>INDEX(Sheet5!$B$2:$AG$33, MATCH(Table2[[#This Row],[HomeTeam]],Sheet5!$A$2:$A$33, 0), MATCH(Table2[[#This Row],[AwayTeam]],Sheet5!$A$2:$A$33, 0))</f>
        <v>0-0-0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/>
      <c r="AV794" s="2"/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45">
        <f>IF(AND(Table2[[#This Row],[GameIsOver]]=1,Table2[[#This Row],[ActualHomeScore]]*Table2[[#This Row],[ActualAwayScore]]=0), 1,0)</f>
        <v>0</v>
      </c>
      <c r="AA7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/>
      <c r="AV795" s="2"/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45">
        <f>IF(AND(Table2[[#This Row],[GameIsOver]]=1,Table2[[#This Row],[ActualHomeScore]]*Table2[[#This Row],[ActualAwayScore]]=0), 1,0)</f>
        <v>0</v>
      </c>
      <c r="AA7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6" s="2" t="str">
        <f>INDEX(Sheet5!$B$2:$AG$33, MATCH(Table2[[#This Row],[AwayTeam]],Sheet5!$A$2:$A$33, 0), MATCH(Table2[[#This Row],[HomeTeam]],Sheet5!$A$2:$A$33, 0))</f>
        <v>0-0-0</v>
      </c>
      <c r="AP796" s="2" t="str">
        <f>INDEX(Sheet5!$B$2:$AG$33, MATCH(Table2[[#This Row],[HomeTeam]],Sheet5!$A$2:$A$33, 0), MATCH(Table2[[#This Row],[AwayTeam]],Sheet5!$A$2:$A$33, 0))</f>
        <v>0-0-0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/>
      <c r="AV796" s="2"/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45">
        <f>IF(AND(Table2[[#This Row],[GameIsOver]]=1,Table2[[#This Row],[ActualHomeScore]]*Table2[[#This Row],[ActualAwayScore]]=0), 1,0)</f>
        <v>0</v>
      </c>
      <c r="AA7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7" s="2" t="str">
        <f>INDEX(Sheet5!$B$2:$AG$33, MATCH(Table2[[#This Row],[AwayTeam]],Sheet5!$A$2:$A$33, 0), MATCH(Table2[[#This Row],[HomeTeam]],Sheet5!$A$2:$A$33, 0))</f>
        <v>0-0-0</v>
      </c>
      <c r="AP797" s="2" t="str">
        <f>INDEX(Sheet5!$B$2:$AG$33, MATCH(Table2[[#This Row],[HomeTeam]],Sheet5!$A$2:$A$33, 0), MATCH(Table2[[#This Row],[AwayTeam]],Sheet5!$A$2:$A$33, 0))</f>
        <v>0-0-0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/>
      <c r="AV797" s="2"/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45">
        <f>IF(AND(Table2[[#This Row],[GameIsOver]]=1,Table2[[#This Row],[ActualHomeScore]]*Table2[[#This Row],[ActualAwayScore]]=0), 1,0)</f>
        <v>0</v>
      </c>
      <c r="AA7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/>
      <c r="AV798" s="2"/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45">
        <f>IF(AND(Table2[[#This Row],[GameIsOver]]=1,Table2[[#This Row],[ActualHomeScore]]*Table2[[#This Row],[ActualAwayScore]]=0), 1,0)</f>
        <v>0</v>
      </c>
      <c r="AA7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9" s="2" t="str">
        <f>INDEX(Sheet5!$B$2:$AG$33, MATCH(Table2[[#This Row],[AwayTeam]],Sheet5!$A$2:$A$33, 0), MATCH(Table2[[#This Row],[HomeTeam]],Sheet5!$A$2:$A$33, 0))</f>
        <v>0-0-0</v>
      </c>
      <c r="AP799" s="2" t="str">
        <f>INDEX(Sheet5!$B$2:$AG$33, MATCH(Table2[[#This Row],[HomeTeam]],Sheet5!$A$2:$A$33, 0), MATCH(Table2[[#This Row],[AwayTeam]],Sheet5!$A$2:$A$33, 0))</f>
        <v>0-0-0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/>
      <c r="AV799" s="2"/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45">
        <f>IF(AND(Table2[[#This Row],[GameIsOver]]=1,Table2[[#This Row],[ActualHomeScore]]*Table2[[#This Row],[ActualAwayScore]]=0), 1,0)</f>
        <v>0</v>
      </c>
      <c r="AA8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0" s="2" t="str">
        <f>INDEX(Sheet5!$B$2:$AG$33, MATCH(Table2[[#This Row],[AwayTeam]],Sheet5!$A$2:$A$33, 0), MATCH(Table2[[#This Row],[HomeTeam]],Sheet5!$A$2:$A$33, 0))</f>
        <v>0-0-0</v>
      </c>
      <c r="AP800" s="2" t="str">
        <f>INDEX(Sheet5!$B$2:$AG$33, MATCH(Table2[[#This Row],[HomeTeam]],Sheet5!$A$2:$A$33, 0), MATCH(Table2[[#This Row],[AwayTeam]],Sheet5!$A$2:$A$33, 0))</f>
        <v>0-0-0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/>
      <c r="AV800" s="2"/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45">
        <f>IF(AND(Table2[[#This Row],[GameIsOver]]=1,Table2[[#This Row],[ActualHomeScore]]*Table2[[#This Row],[ActualAwayScore]]=0), 1,0)</f>
        <v>0</v>
      </c>
      <c r="AA8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/>
      <c r="AV801" s="2"/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45">
        <f>IF(AND(Table2[[#This Row],[GameIsOver]]=1,Table2[[#This Row],[ActualHomeScore]]*Table2[[#This Row],[ActualAwayScore]]=0), 1,0)</f>
        <v>0</v>
      </c>
      <c r="AA8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/>
      <c r="AV802" s="2"/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45">
        <f>IF(AND(Table2[[#This Row],[GameIsOver]]=1,Table2[[#This Row],[ActualHomeScore]]*Table2[[#This Row],[ActualAwayScore]]=0), 1,0)</f>
        <v>0</v>
      </c>
      <c r="AA8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/>
      <c r="AV803" s="2"/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45">
        <f>IF(AND(Table2[[#This Row],[GameIsOver]]=1,Table2[[#This Row],[ActualHomeScore]]*Table2[[#This Row],[ActualAwayScore]]=0), 1,0)</f>
        <v>0</v>
      </c>
      <c r="AA8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/>
      <c r="AV804" s="2"/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45">
        <f>IF(AND(Table2[[#This Row],[GameIsOver]]=1,Table2[[#This Row],[ActualHomeScore]]*Table2[[#This Row],[ActualAwayScore]]=0), 1,0)</f>
        <v>0</v>
      </c>
      <c r="AA8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5" s="2" t="str">
        <f>INDEX(Sheet5!$B$2:$AG$33, MATCH(Table2[[#This Row],[AwayTeam]],Sheet5!$A$2:$A$33, 0), MATCH(Table2[[#This Row],[HomeTeam]],Sheet5!$A$2:$A$33, 0))</f>
        <v>0-0-0</v>
      </c>
      <c r="AP805" s="2" t="str">
        <f>INDEX(Sheet5!$B$2:$AG$33, MATCH(Table2[[#This Row],[HomeTeam]],Sheet5!$A$2:$A$33, 0), MATCH(Table2[[#This Row],[AwayTeam]],Sheet5!$A$2:$A$33, 0))</f>
        <v>0-0-0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/>
      <c r="AV805" s="2"/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45">
        <f>IF(AND(Table2[[#This Row],[GameIsOver]]=1,Table2[[#This Row],[ActualHomeScore]]*Table2[[#This Row],[ActualAwayScore]]=0), 1,0)</f>
        <v>0</v>
      </c>
      <c r="AA8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6" s="2" t="str">
        <f>INDEX(Sheet5!$B$2:$AG$33, MATCH(Table2[[#This Row],[AwayTeam]],Sheet5!$A$2:$A$33, 0), MATCH(Table2[[#This Row],[HomeTeam]],Sheet5!$A$2:$A$33, 0))</f>
        <v>0-0-0</v>
      </c>
      <c r="AP806" s="2" t="str">
        <f>INDEX(Sheet5!$B$2:$AG$33, MATCH(Table2[[#This Row],[HomeTeam]],Sheet5!$A$2:$A$33, 0), MATCH(Table2[[#This Row],[AwayTeam]],Sheet5!$A$2:$A$33, 0))</f>
        <v>0-0-0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/>
      <c r="AV806" s="2"/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45">
        <f>IF(AND(Table2[[#This Row],[GameIsOver]]=1,Table2[[#This Row],[ActualHomeScore]]*Table2[[#This Row],[ActualAwayScore]]=0), 1,0)</f>
        <v>0</v>
      </c>
      <c r="AA8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/>
      <c r="AV807" s="2"/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45">
        <f>IF(AND(Table2[[#This Row],[GameIsOver]]=1,Table2[[#This Row],[ActualHomeScore]]*Table2[[#This Row],[ActualAwayScore]]=0), 1,0)</f>
        <v>0</v>
      </c>
      <c r="AA8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/>
      <c r="AV808" s="2"/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45">
        <f>IF(AND(Table2[[#This Row],[GameIsOver]]=1,Table2[[#This Row],[ActualHomeScore]]*Table2[[#This Row],[ActualAwayScore]]=0), 1,0)</f>
        <v>0</v>
      </c>
      <c r="AA8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/>
      <c r="AV809" s="2"/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45">
        <f>IF(AND(Table2[[#This Row],[GameIsOver]]=1,Table2[[#This Row],[ActualHomeScore]]*Table2[[#This Row],[ActualAwayScore]]=0), 1,0)</f>
        <v>0</v>
      </c>
      <c r="AA8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0" s="2" t="str">
        <f>INDEX(Sheet5!$B$2:$AG$33, MATCH(Table2[[#This Row],[AwayTeam]],Sheet5!$A$2:$A$33, 0), MATCH(Table2[[#This Row],[HomeTeam]],Sheet5!$A$2:$A$33, 0))</f>
        <v>0-0-0</v>
      </c>
      <c r="AP810" s="2" t="str">
        <f>INDEX(Sheet5!$B$2:$AG$33, MATCH(Table2[[#This Row],[HomeTeam]],Sheet5!$A$2:$A$33, 0), MATCH(Table2[[#This Row],[AwayTeam]],Sheet5!$A$2:$A$33, 0))</f>
        <v>0-0-0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/>
      <c r="AV810" s="2"/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45">
        <f>IF(AND(Table2[[#This Row],[GameIsOver]]=1,Table2[[#This Row],[ActualHomeScore]]*Table2[[#This Row],[ActualAwayScore]]=0), 1,0)</f>
        <v>0</v>
      </c>
      <c r="AA8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1" s="2" t="str">
        <f>INDEX(Sheet5!$B$2:$AG$33, MATCH(Table2[[#This Row],[AwayTeam]],Sheet5!$A$2:$A$33, 0), MATCH(Table2[[#This Row],[HomeTeam]],Sheet5!$A$2:$A$33, 0))</f>
        <v>0-0-0</v>
      </c>
      <c r="AP811" s="2" t="str">
        <f>INDEX(Sheet5!$B$2:$AG$33, MATCH(Table2[[#This Row],[HomeTeam]],Sheet5!$A$2:$A$33, 0), MATCH(Table2[[#This Row],[AwayTeam]],Sheet5!$A$2:$A$33, 0))</f>
        <v>0-0-0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/>
      <c r="AV811" s="2"/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45">
        <f>IF(AND(Table2[[#This Row],[GameIsOver]]=1,Table2[[#This Row],[ActualHomeScore]]*Table2[[#This Row],[ActualAwayScore]]=0), 1,0)</f>
        <v>0</v>
      </c>
      <c r="AA8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/>
      <c r="AV812" s="2"/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45">
        <f>IF(AND(Table2[[#This Row],[GameIsOver]]=1,Table2[[#This Row],[ActualHomeScore]]*Table2[[#This Row],[ActualAwayScore]]=0), 1,0)</f>
        <v>0</v>
      </c>
      <c r="AA8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3" s="2" t="str">
        <f>INDEX(Sheet5!$B$2:$AG$33, MATCH(Table2[[#This Row],[AwayTeam]],Sheet5!$A$2:$A$33, 0), MATCH(Table2[[#This Row],[HomeTeam]],Sheet5!$A$2:$A$33, 0))</f>
        <v>0-0-0</v>
      </c>
      <c r="AP813" s="2" t="str">
        <f>INDEX(Sheet5!$B$2:$AG$33, MATCH(Table2[[#This Row],[HomeTeam]],Sheet5!$A$2:$A$33, 0), MATCH(Table2[[#This Row],[AwayTeam]],Sheet5!$A$2:$A$33, 0))</f>
        <v>0-0-0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/>
      <c r="AV813" s="2"/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45">
        <f>IF(AND(Table2[[#This Row],[GameIsOver]]=1,Table2[[#This Row],[ActualHomeScore]]*Table2[[#This Row],[ActualAwayScore]]=0), 1,0)</f>
        <v>0</v>
      </c>
      <c r="AA8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/>
      <c r="AV814" s="2"/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45">
        <f>IF(AND(Table2[[#This Row],[GameIsOver]]=1,Table2[[#This Row],[ActualHomeScore]]*Table2[[#This Row],[ActualAwayScore]]=0), 1,0)</f>
        <v>0</v>
      </c>
      <c r="AA8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/>
      <c r="AV815" s="2"/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45">
        <f>IF(AND(Table2[[#This Row],[GameIsOver]]=1,Table2[[#This Row],[ActualHomeScore]]*Table2[[#This Row],[ActualAwayScore]]=0), 1,0)</f>
        <v>0</v>
      </c>
      <c r="AA8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6" s="2" t="str">
        <f>INDEX(Sheet5!$B$2:$AG$33, MATCH(Table2[[#This Row],[AwayTeam]],Sheet5!$A$2:$A$33, 0), MATCH(Table2[[#This Row],[HomeTeam]],Sheet5!$A$2:$A$33, 0))</f>
        <v>0-0-0</v>
      </c>
      <c r="AP816" s="2" t="str">
        <f>INDEX(Sheet5!$B$2:$AG$33, MATCH(Table2[[#This Row],[HomeTeam]],Sheet5!$A$2:$A$33, 0), MATCH(Table2[[#This Row],[AwayTeam]],Sheet5!$A$2:$A$33, 0))</f>
        <v>0-0-0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/>
      <c r="AV816" s="2"/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45">
        <f>IF(AND(Table2[[#This Row],[GameIsOver]]=1,Table2[[#This Row],[ActualHomeScore]]*Table2[[#This Row],[ActualAwayScore]]=0), 1,0)</f>
        <v>0</v>
      </c>
      <c r="AA8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/>
      <c r="AV817" s="2"/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45">
        <f>IF(AND(Table2[[#This Row],[GameIsOver]]=1,Table2[[#This Row],[ActualHomeScore]]*Table2[[#This Row],[ActualAwayScore]]=0), 1,0)</f>
        <v>0</v>
      </c>
      <c r="AA8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8" s="2" t="str">
        <f>INDEX(Sheet5!$B$2:$AG$33, MATCH(Table2[[#This Row],[AwayTeam]],Sheet5!$A$2:$A$33, 0), MATCH(Table2[[#This Row],[HomeTeam]],Sheet5!$A$2:$A$33, 0))</f>
        <v>0-0-0</v>
      </c>
      <c r="AP818" s="2" t="str">
        <f>INDEX(Sheet5!$B$2:$AG$33, MATCH(Table2[[#This Row],[HomeTeam]],Sheet5!$A$2:$A$33, 0), MATCH(Table2[[#This Row],[AwayTeam]],Sheet5!$A$2:$A$33, 0))</f>
        <v>0-0-0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/>
      <c r="AV818" s="2"/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45">
        <f>IF(AND(Table2[[#This Row],[GameIsOver]]=1,Table2[[#This Row],[ActualHomeScore]]*Table2[[#This Row],[ActualAwayScore]]=0), 1,0)</f>
        <v>0</v>
      </c>
      <c r="AA8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/>
      <c r="AV819" s="2"/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45">
        <f>IF(AND(Table2[[#This Row],[GameIsOver]]=1,Table2[[#This Row],[ActualHomeScore]]*Table2[[#This Row],[ActualAwayScore]]=0), 1,0)</f>
        <v>0</v>
      </c>
      <c r="AA8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/>
      <c r="AV820" s="2"/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45">
        <f>IF(AND(Table2[[#This Row],[GameIsOver]]=1,Table2[[#This Row],[ActualHomeScore]]*Table2[[#This Row],[ActualAwayScore]]=0), 1,0)</f>
        <v>0</v>
      </c>
      <c r="AA8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/>
      <c r="AV821" s="2"/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45">
        <f>IF(AND(Table2[[#This Row],[GameIsOver]]=1,Table2[[#This Row],[ActualHomeScore]]*Table2[[#This Row],[ActualAwayScore]]=0), 1,0)</f>
        <v>0</v>
      </c>
      <c r="AA8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/>
      <c r="AV822" s="2"/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45">
        <f>IF(AND(Table2[[#This Row],[GameIsOver]]=1,Table2[[#This Row],[ActualHomeScore]]*Table2[[#This Row],[ActualAwayScore]]=0), 1,0)</f>
        <v>0</v>
      </c>
      <c r="AA8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/>
      <c r="AV823" s="2"/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45">
        <f>IF(AND(Table2[[#This Row],[GameIsOver]]=1,Table2[[#This Row],[ActualHomeScore]]*Table2[[#This Row],[ActualAwayScore]]=0), 1,0)</f>
        <v>0</v>
      </c>
      <c r="AA8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4" s="2" t="str">
        <f>INDEX(Sheet5!$B$2:$AG$33, MATCH(Table2[[#This Row],[AwayTeam]],Sheet5!$A$2:$A$33, 0), MATCH(Table2[[#This Row],[HomeTeam]],Sheet5!$A$2:$A$33, 0))</f>
        <v>0-0-0</v>
      </c>
      <c r="AP824" s="2" t="str">
        <f>INDEX(Sheet5!$B$2:$AG$33, MATCH(Table2[[#This Row],[HomeTeam]],Sheet5!$A$2:$A$33, 0), MATCH(Table2[[#This Row],[AwayTeam]],Sheet5!$A$2:$A$33, 0))</f>
        <v>0-0-0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/>
      <c r="AV824" s="2"/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45">
        <f>IF(AND(Table2[[#This Row],[GameIsOver]]=1,Table2[[#This Row],[ActualHomeScore]]*Table2[[#This Row],[ActualAwayScore]]=0), 1,0)</f>
        <v>0</v>
      </c>
      <c r="AA8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/>
      <c r="AV825" s="2"/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45">
        <f>IF(AND(Table2[[#This Row],[GameIsOver]]=1,Table2[[#This Row],[ActualHomeScore]]*Table2[[#This Row],[ActualAwayScore]]=0), 1,0)</f>
        <v>0</v>
      </c>
      <c r="AA8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/>
      <c r="AV826" s="2"/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45">
        <f>IF(AND(Table2[[#This Row],[GameIsOver]]=1,Table2[[#This Row],[ActualHomeScore]]*Table2[[#This Row],[ActualAwayScore]]=0), 1,0)</f>
        <v>0</v>
      </c>
      <c r="AA8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/>
      <c r="AV827" s="2"/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45">
        <f>IF(AND(Table2[[#This Row],[GameIsOver]]=1,Table2[[#This Row],[ActualHomeScore]]*Table2[[#This Row],[ActualAwayScore]]=0), 1,0)</f>
        <v>0</v>
      </c>
      <c r="AA8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/>
      <c r="AV828" s="2"/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45">
        <f>IF(AND(Table2[[#This Row],[GameIsOver]]=1,Table2[[#This Row],[ActualHomeScore]]*Table2[[#This Row],[ActualAwayScore]]=0), 1,0)</f>
        <v>0</v>
      </c>
      <c r="AA8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9" s="2" t="str">
        <f>INDEX(Sheet5!$B$2:$AG$33, MATCH(Table2[[#This Row],[AwayTeam]],Sheet5!$A$2:$A$33, 0), MATCH(Table2[[#This Row],[HomeTeam]],Sheet5!$A$2:$A$33, 0))</f>
        <v>0-0-0</v>
      </c>
      <c r="AP829" s="2" t="str">
        <f>INDEX(Sheet5!$B$2:$AG$33, MATCH(Table2[[#This Row],[HomeTeam]],Sheet5!$A$2:$A$33, 0), MATCH(Table2[[#This Row],[AwayTeam]],Sheet5!$A$2:$A$33, 0))</f>
        <v>0-0-0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/>
      <c r="AV829" s="2"/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45">
        <f>IF(AND(Table2[[#This Row],[GameIsOver]]=1,Table2[[#This Row],[ActualHomeScore]]*Table2[[#This Row],[ActualAwayScore]]=0), 1,0)</f>
        <v>0</v>
      </c>
      <c r="AA8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/>
      <c r="AV830" s="2"/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45">
        <f>IF(AND(Table2[[#This Row],[GameIsOver]]=1,Table2[[#This Row],[ActualHomeScore]]*Table2[[#This Row],[ActualAwayScore]]=0), 1,0)</f>
        <v>0</v>
      </c>
      <c r="AA8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/>
      <c r="AV831" s="2"/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45">
        <f>IF(AND(Table2[[#This Row],[GameIsOver]]=1,Table2[[#This Row],[ActualHomeScore]]*Table2[[#This Row],[ActualAwayScore]]=0), 1,0)</f>
        <v>0</v>
      </c>
      <c r="AA8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/>
      <c r="AV832" s="2"/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45">
        <f>IF(AND(Table2[[#This Row],[GameIsOver]]=1,Table2[[#This Row],[ActualHomeScore]]*Table2[[#This Row],[ActualAwayScore]]=0), 1,0)</f>
        <v>0</v>
      </c>
      <c r="AA8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3" s="2" t="str">
        <f>INDEX(Sheet5!$B$2:$AG$33, MATCH(Table2[[#This Row],[AwayTeam]],Sheet5!$A$2:$A$33, 0), MATCH(Table2[[#This Row],[HomeTeam]],Sheet5!$A$2:$A$33, 0))</f>
        <v>0-0-0</v>
      </c>
      <c r="AP833" s="2" t="str">
        <f>INDEX(Sheet5!$B$2:$AG$33, MATCH(Table2[[#This Row],[HomeTeam]],Sheet5!$A$2:$A$33, 0), MATCH(Table2[[#This Row],[AwayTeam]],Sheet5!$A$2:$A$33, 0))</f>
        <v>0-0-0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/>
      <c r="AV833" s="2"/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45">
        <f>IF(AND(Table2[[#This Row],[GameIsOver]]=1,Table2[[#This Row],[ActualHomeScore]]*Table2[[#This Row],[ActualAwayScore]]=0), 1,0)</f>
        <v>0</v>
      </c>
      <c r="AA8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/>
      <c r="AV834" s="2"/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45">
        <f>IF(AND(Table2[[#This Row],[GameIsOver]]=1,Table2[[#This Row],[ActualHomeScore]]*Table2[[#This Row],[ActualAwayScore]]=0), 1,0)</f>
        <v>0</v>
      </c>
      <c r="AA8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/>
      <c r="AV835" s="2"/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45">
        <f>IF(AND(Table2[[#This Row],[GameIsOver]]=1,Table2[[#This Row],[ActualHomeScore]]*Table2[[#This Row],[ActualAwayScore]]=0), 1,0)</f>
        <v>0</v>
      </c>
      <c r="AA8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/>
      <c r="AV836" s="2"/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45">
        <f>IF(AND(Table2[[#This Row],[GameIsOver]]=1,Table2[[#This Row],[ActualHomeScore]]*Table2[[#This Row],[ActualAwayScore]]=0), 1,0)</f>
        <v>0</v>
      </c>
      <c r="AA8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/>
      <c r="AV837" s="2"/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45">
        <f>IF(AND(Table2[[#This Row],[GameIsOver]]=1,Table2[[#This Row],[ActualHomeScore]]*Table2[[#This Row],[ActualAwayScore]]=0), 1,0)</f>
        <v>0</v>
      </c>
      <c r="AA8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8" s="2" t="str">
        <f>INDEX(Sheet5!$B$2:$AG$33, MATCH(Table2[[#This Row],[AwayTeam]],Sheet5!$A$2:$A$33, 0), MATCH(Table2[[#This Row],[HomeTeam]],Sheet5!$A$2:$A$33, 0))</f>
        <v>0-0-0</v>
      </c>
      <c r="AP838" s="2" t="str">
        <f>INDEX(Sheet5!$B$2:$AG$33, MATCH(Table2[[#This Row],[HomeTeam]],Sheet5!$A$2:$A$33, 0), MATCH(Table2[[#This Row],[AwayTeam]],Sheet5!$A$2:$A$33, 0))</f>
        <v>0-0-0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/>
      <c r="AV838" s="2"/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45">
        <f>IF(AND(Table2[[#This Row],[GameIsOver]]=1,Table2[[#This Row],[ActualHomeScore]]*Table2[[#This Row],[ActualAwayScore]]=0), 1,0)</f>
        <v>0</v>
      </c>
      <c r="AA8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/>
      <c r="AV839" s="2"/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45">
        <f>IF(AND(Table2[[#This Row],[GameIsOver]]=1,Table2[[#This Row],[ActualHomeScore]]*Table2[[#This Row],[ActualAwayScore]]=0), 1,0)</f>
        <v>0</v>
      </c>
      <c r="AA8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/>
      <c r="AV840" s="2"/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45">
        <f>IF(AND(Table2[[#This Row],[GameIsOver]]=1,Table2[[#This Row],[ActualHomeScore]]*Table2[[#This Row],[ActualAwayScore]]=0), 1,0)</f>
        <v>0</v>
      </c>
      <c r="AA8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1" s="2" t="str">
        <f>INDEX(Sheet5!$B$2:$AG$33, MATCH(Table2[[#This Row],[AwayTeam]],Sheet5!$A$2:$A$33, 0), MATCH(Table2[[#This Row],[HomeTeam]],Sheet5!$A$2:$A$33, 0))</f>
        <v>0-0-0</v>
      </c>
      <c r="AP841" s="2" t="str">
        <f>INDEX(Sheet5!$B$2:$AG$33, MATCH(Table2[[#This Row],[HomeTeam]],Sheet5!$A$2:$A$33, 0), MATCH(Table2[[#This Row],[AwayTeam]],Sheet5!$A$2:$A$33, 0))</f>
        <v>0-0-0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/>
      <c r="AV841" s="2"/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45">
        <f>IF(AND(Table2[[#This Row],[GameIsOver]]=1,Table2[[#This Row],[ActualHomeScore]]*Table2[[#This Row],[ActualAwayScore]]=0), 1,0)</f>
        <v>0</v>
      </c>
      <c r="AA8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/>
      <c r="AV842" s="2"/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45">
        <f>IF(AND(Table2[[#This Row],[GameIsOver]]=1,Table2[[#This Row],[ActualHomeScore]]*Table2[[#This Row],[ActualAwayScore]]=0), 1,0)</f>
        <v>0</v>
      </c>
      <c r="AA8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/>
      <c r="AV843" s="2"/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45">
        <f>IF(AND(Table2[[#This Row],[GameIsOver]]=1,Table2[[#This Row],[ActualHomeScore]]*Table2[[#This Row],[ActualAwayScore]]=0), 1,0)</f>
        <v>0</v>
      </c>
      <c r="AA8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/>
      <c r="AV844" s="2"/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45">
        <f>IF(AND(Table2[[#This Row],[GameIsOver]]=1,Table2[[#This Row],[ActualHomeScore]]*Table2[[#This Row],[ActualAwayScore]]=0), 1,0)</f>
        <v>0</v>
      </c>
      <c r="AA8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/>
      <c r="AV845" s="2"/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45">
        <f>IF(AND(Table2[[#This Row],[GameIsOver]]=1,Table2[[#This Row],[ActualHomeScore]]*Table2[[#This Row],[ActualAwayScore]]=0), 1,0)</f>
        <v>0</v>
      </c>
      <c r="AA8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/>
      <c r="AV846" s="2"/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45">
        <f>IF(AND(Table2[[#This Row],[GameIsOver]]=1,Table2[[#This Row],[ActualHomeScore]]*Table2[[#This Row],[ActualAwayScore]]=0), 1,0)</f>
        <v>0</v>
      </c>
      <c r="AA8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/>
      <c r="AV847" s="2"/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45">
        <f>IF(AND(Table2[[#This Row],[GameIsOver]]=1,Table2[[#This Row],[ActualHomeScore]]*Table2[[#This Row],[ActualAwayScore]]=0), 1,0)</f>
        <v>0</v>
      </c>
      <c r="AA8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/>
      <c r="AV848" s="2"/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45">
        <f>IF(AND(Table2[[#This Row],[GameIsOver]]=1,Table2[[#This Row],[ActualHomeScore]]*Table2[[#This Row],[ActualAwayScore]]=0), 1,0)</f>
        <v>0</v>
      </c>
      <c r="AA8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/>
      <c r="AV849" s="2"/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45">
        <f>IF(AND(Table2[[#This Row],[GameIsOver]]=1,Table2[[#This Row],[ActualHomeScore]]*Table2[[#This Row],[ActualAwayScore]]=0), 1,0)</f>
        <v>0</v>
      </c>
      <c r="AA8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/>
      <c r="AV850" s="2"/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45">
        <f>IF(AND(Table2[[#This Row],[GameIsOver]]=1,Table2[[#This Row],[ActualHomeScore]]*Table2[[#This Row],[ActualAwayScore]]=0), 1,0)</f>
        <v>0</v>
      </c>
      <c r="AA8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/>
      <c r="AV851" s="2"/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45">
        <f>IF(AND(Table2[[#This Row],[GameIsOver]]=1,Table2[[#This Row],[ActualHomeScore]]*Table2[[#This Row],[ActualAwayScore]]=0), 1,0)</f>
        <v>0</v>
      </c>
      <c r="AA8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/>
      <c r="AV852" s="2"/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45">
        <f>IF(AND(Table2[[#This Row],[GameIsOver]]=1,Table2[[#This Row],[ActualHomeScore]]*Table2[[#This Row],[ActualAwayScore]]=0), 1,0)</f>
        <v>0</v>
      </c>
      <c r="AA8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/>
      <c r="AV853" s="2"/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45">
        <f>IF(AND(Table2[[#This Row],[GameIsOver]]=1,Table2[[#This Row],[ActualHomeScore]]*Table2[[#This Row],[ActualAwayScore]]=0), 1,0)</f>
        <v>0</v>
      </c>
      <c r="AA8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/>
      <c r="AV854" s="2"/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45">
        <f>IF(AND(Table2[[#This Row],[GameIsOver]]=1,Table2[[#This Row],[ActualHomeScore]]*Table2[[#This Row],[ActualAwayScore]]=0), 1,0)</f>
        <v>0</v>
      </c>
      <c r="AA8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/>
      <c r="AV855" s="2"/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45">
        <f>IF(AND(Table2[[#This Row],[GameIsOver]]=1,Table2[[#This Row],[ActualHomeScore]]*Table2[[#This Row],[ActualAwayScore]]=0), 1,0)</f>
        <v>0</v>
      </c>
      <c r="AA8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/>
      <c r="AV856" s="2"/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45">
        <f>IF(AND(Table2[[#This Row],[GameIsOver]]=1,Table2[[#This Row],[ActualHomeScore]]*Table2[[#This Row],[ActualAwayScore]]=0), 1,0)</f>
        <v>0</v>
      </c>
      <c r="AA8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/>
      <c r="AV857" s="2"/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45">
        <f>IF(AND(Table2[[#This Row],[GameIsOver]]=1,Table2[[#This Row],[ActualHomeScore]]*Table2[[#This Row],[ActualAwayScore]]=0), 1,0)</f>
        <v>0</v>
      </c>
      <c r="AA8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/>
      <c r="AV858" s="2"/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45">
        <f>IF(AND(Table2[[#This Row],[GameIsOver]]=1,Table2[[#This Row],[ActualHomeScore]]*Table2[[#This Row],[ActualAwayScore]]=0), 1,0)</f>
        <v>0</v>
      </c>
      <c r="AA8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9" s="2" t="str">
        <f>INDEX(Sheet5!$B$2:$AG$33, MATCH(Table2[[#This Row],[AwayTeam]],Sheet5!$A$2:$A$33, 0), MATCH(Table2[[#This Row],[HomeTeam]],Sheet5!$A$2:$A$33, 0))</f>
        <v>0-0-0</v>
      </c>
      <c r="AP859" s="2" t="str">
        <f>INDEX(Sheet5!$B$2:$AG$33, MATCH(Table2[[#This Row],[HomeTeam]],Sheet5!$A$2:$A$33, 0), MATCH(Table2[[#This Row],[AwayTeam]],Sheet5!$A$2:$A$33, 0))</f>
        <v>0-0-0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/>
      <c r="AV859" s="2"/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45">
        <f>IF(AND(Table2[[#This Row],[GameIsOver]]=1,Table2[[#This Row],[ActualHomeScore]]*Table2[[#This Row],[ActualAwayScore]]=0), 1,0)</f>
        <v>0</v>
      </c>
      <c r="AA8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/>
      <c r="AV860" s="2"/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45">
        <f>IF(AND(Table2[[#This Row],[GameIsOver]]=1,Table2[[#This Row],[ActualHomeScore]]*Table2[[#This Row],[ActualAwayScore]]=0), 1,0)</f>
        <v>0</v>
      </c>
      <c r="AA8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/>
      <c r="AV861" s="2"/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45">
        <f>IF(AND(Table2[[#This Row],[GameIsOver]]=1,Table2[[#This Row],[ActualHomeScore]]*Table2[[#This Row],[ActualAwayScore]]=0), 1,0)</f>
        <v>0</v>
      </c>
      <c r="AA8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/>
      <c r="AV862" s="2"/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45">
        <f>IF(AND(Table2[[#This Row],[GameIsOver]]=1,Table2[[#This Row],[ActualHomeScore]]*Table2[[#This Row],[ActualAwayScore]]=0), 1,0)</f>
        <v>0</v>
      </c>
      <c r="AA8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3" s="2" t="str">
        <f>INDEX(Sheet5!$B$2:$AG$33, MATCH(Table2[[#This Row],[AwayTeam]],Sheet5!$A$2:$A$33, 0), MATCH(Table2[[#This Row],[HomeTeam]],Sheet5!$A$2:$A$33, 0))</f>
        <v>0-1-0</v>
      </c>
      <c r="AP863" s="2" t="str">
        <f>INDEX(Sheet5!$B$2:$AG$33, MATCH(Table2[[#This Row],[HomeTeam]],Sheet5!$A$2:$A$33, 0), MATCH(Table2[[#This Row],[AwayTeam]],Sheet5!$A$2:$A$33, 0))</f>
        <v>1-0-0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/>
      <c r="AV863" s="2"/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45">
        <f>IF(AND(Table2[[#This Row],[GameIsOver]]=1,Table2[[#This Row],[ActualHomeScore]]*Table2[[#This Row],[ActualAwayScore]]=0), 1,0)</f>
        <v>0</v>
      </c>
      <c r="AA8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/>
      <c r="AV864" s="2"/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45">
        <f>IF(AND(Table2[[#This Row],[GameIsOver]]=1,Table2[[#This Row],[ActualHomeScore]]*Table2[[#This Row],[ActualAwayScore]]=0), 1,0)</f>
        <v>0</v>
      </c>
      <c r="AA8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/>
      <c r="AV865" s="2"/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45">
        <f>IF(AND(Table2[[#This Row],[GameIsOver]]=1,Table2[[#This Row],[ActualHomeScore]]*Table2[[#This Row],[ActualAwayScore]]=0), 1,0)</f>
        <v>0</v>
      </c>
      <c r="AA8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/>
      <c r="AV866" s="2"/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45">
        <f>IF(AND(Table2[[#This Row],[GameIsOver]]=1,Table2[[#This Row],[ActualHomeScore]]*Table2[[#This Row],[ActualAwayScore]]=0), 1,0)</f>
        <v>0</v>
      </c>
      <c r="AA8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7" s="2" t="str">
        <f>INDEX(Sheet5!$B$2:$AG$33, MATCH(Table2[[#This Row],[AwayTeam]],Sheet5!$A$2:$A$33, 0), MATCH(Table2[[#This Row],[HomeTeam]],Sheet5!$A$2:$A$33, 0))</f>
        <v>0-0-0</v>
      </c>
      <c r="AP867" s="2" t="str">
        <f>INDEX(Sheet5!$B$2:$AG$33, MATCH(Table2[[#This Row],[HomeTeam]],Sheet5!$A$2:$A$33, 0), MATCH(Table2[[#This Row],[AwayTeam]],Sheet5!$A$2:$A$33, 0))</f>
        <v>0-0-0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/>
      <c r="AV867" s="2"/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45">
        <f>IF(AND(Table2[[#This Row],[GameIsOver]]=1,Table2[[#This Row],[ActualHomeScore]]*Table2[[#This Row],[ActualAwayScore]]=0), 1,0)</f>
        <v>0</v>
      </c>
      <c r="AA8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/>
      <c r="AV868" s="2"/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45">
        <f>IF(AND(Table2[[#This Row],[GameIsOver]]=1,Table2[[#This Row],[ActualHomeScore]]*Table2[[#This Row],[ActualAwayScore]]=0), 1,0)</f>
        <v>0</v>
      </c>
      <c r="AA8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/>
      <c r="AV869" s="2"/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45">
        <f>IF(AND(Table2[[#This Row],[GameIsOver]]=1,Table2[[#This Row],[ActualHomeScore]]*Table2[[#This Row],[ActualAwayScore]]=0), 1,0)</f>
        <v>0</v>
      </c>
      <c r="AA8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/>
      <c r="AV870" s="2"/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45">
        <f>IF(AND(Table2[[#This Row],[GameIsOver]]=1,Table2[[#This Row],[ActualHomeScore]]*Table2[[#This Row],[ActualAwayScore]]=0), 1,0)</f>
        <v>0</v>
      </c>
      <c r="AA8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/>
      <c r="AV871" s="2"/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45">
        <f>IF(AND(Table2[[#This Row],[GameIsOver]]=1,Table2[[#This Row],[ActualHomeScore]]*Table2[[#This Row],[ActualAwayScore]]=0), 1,0)</f>
        <v>0</v>
      </c>
      <c r="AA8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/>
      <c r="AV872" s="2"/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45">
        <f>IF(AND(Table2[[#This Row],[GameIsOver]]=1,Table2[[#This Row],[ActualHomeScore]]*Table2[[#This Row],[ActualAwayScore]]=0), 1,0)</f>
        <v>0</v>
      </c>
      <c r="AA8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/>
      <c r="AV873" s="2"/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45">
        <f>IF(AND(Table2[[#This Row],[GameIsOver]]=1,Table2[[#This Row],[ActualHomeScore]]*Table2[[#This Row],[ActualAwayScore]]=0), 1,0)</f>
        <v>0</v>
      </c>
      <c r="AA8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4" s="2" t="str">
        <f>INDEX(Sheet5!$B$2:$AG$33, MATCH(Table2[[#This Row],[AwayTeam]],Sheet5!$A$2:$A$33, 0), MATCH(Table2[[#This Row],[HomeTeam]],Sheet5!$A$2:$A$33, 0))</f>
        <v>0-0-0</v>
      </c>
      <c r="AP874" s="2" t="str">
        <f>INDEX(Sheet5!$B$2:$AG$33, MATCH(Table2[[#This Row],[HomeTeam]],Sheet5!$A$2:$A$33, 0), MATCH(Table2[[#This Row],[AwayTeam]],Sheet5!$A$2:$A$33, 0))</f>
        <v>0-0-0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/>
      <c r="AV874" s="2"/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45">
        <f>IF(AND(Table2[[#This Row],[GameIsOver]]=1,Table2[[#This Row],[ActualHomeScore]]*Table2[[#This Row],[ActualAwayScore]]=0), 1,0)</f>
        <v>0</v>
      </c>
      <c r="AA8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5" s="2" t="str">
        <f>INDEX(Sheet5!$B$2:$AG$33, MATCH(Table2[[#This Row],[AwayTeam]],Sheet5!$A$2:$A$33, 0), MATCH(Table2[[#This Row],[HomeTeam]],Sheet5!$A$2:$A$33, 0))</f>
        <v>0-0-0</v>
      </c>
      <c r="AP875" s="2" t="str">
        <f>INDEX(Sheet5!$B$2:$AG$33, MATCH(Table2[[#This Row],[HomeTeam]],Sheet5!$A$2:$A$33, 0), MATCH(Table2[[#This Row],[AwayTeam]],Sheet5!$A$2:$A$33, 0))</f>
        <v>0-0-0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/>
      <c r="AV875" s="2"/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45">
        <f>IF(AND(Table2[[#This Row],[GameIsOver]]=1,Table2[[#This Row],[ActualHomeScore]]*Table2[[#This Row],[ActualAwayScore]]=0), 1,0)</f>
        <v>0</v>
      </c>
      <c r="AA8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6" s="2" t="str">
        <f>INDEX(Sheet5!$B$2:$AG$33, MATCH(Table2[[#This Row],[AwayTeam]],Sheet5!$A$2:$A$33, 0), MATCH(Table2[[#This Row],[HomeTeam]],Sheet5!$A$2:$A$33, 0))</f>
        <v>0-0-0</v>
      </c>
      <c r="AP876" s="2" t="str">
        <f>INDEX(Sheet5!$B$2:$AG$33, MATCH(Table2[[#This Row],[HomeTeam]],Sheet5!$A$2:$A$33, 0), MATCH(Table2[[#This Row],[AwayTeam]],Sheet5!$A$2:$A$33, 0))</f>
        <v>0-0-0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/>
      <c r="AV876" s="2"/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45">
        <f>IF(AND(Table2[[#This Row],[GameIsOver]]=1,Table2[[#This Row],[ActualHomeScore]]*Table2[[#This Row],[ActualAwayScore]]=0), 1,0)</f>
        <v>0</v>
      </c>
      <c r="AA8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/>
      <c r="AV877" s="2"/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45">
        <f>IF(AND(Table2[[#This Row],[GameIsOver]]=1,Table2[[#This Row],[ActualHomeScore]]*Table2[[#This Row],[ActualAwayScore]]=0), 1,0)</f>
        <v>0</v>
      </c>
      <c r="AA8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8" s="2" t="str">
        <f>INDEX(Sheet5!$B$2:$AG$33, MATCH(Table2[[#This Row],[AwayTeam]],Sheet5!$A$2:$A$33, 0), MATCH(Table2[[#This Row],[HomeTeam]],Sheet5!$A$2:$A$33, 0))</f>
        <v>0-0-0</v>
      </c>
      <c r="AP878" s="2" t="str">
        <f>INDEX(Sheet5!$B$2:$AG$33, MATCH(Table2[[#This Row],[HomeTeam]],Sheet5!$A$2:$A$33, 0), MATCH(Table2[[#This Row],[AwayTeam]],Sheet5!$A$2:$A$33, 0))</f>
        <v>0-0-0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/>
      <c r="AV878" s="2"/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45">
        <f>IF(AND(Table2[[#This Row],[GameIsOver]]=1,Table2[[#This Row],[ActualHomeScore]]*Table2[[#This Row],[ActualAwayScore]]=0), 1,0)</f>
        <v>0</v>
      </c>
      <c r="AA8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/>
      <c r="AV879" s="2"/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45">
        <f>IF(AND(Table2[[#This Row],[GameIsOver]]=1,Table2[[#This Row],[ActualHomeScore]]*Table2[[#This Row],[ActualAwayScore]]=0), 1,0)</f>
        <v>0</v>
      </c>
      <c r="AA8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0" s="2" t="str">
        <f>INDEX(Sheet5!$B$2:$AG$33, MATCH(Table2[[#This Row],[AwayTeam]],Sheet5!$A$2:$A$33, 0), MATCH(Table2[[#This Row],[HomeTeam]],Sheet5!$A$2:$A$33, 0))</f>
        <v>0-0-0</v>
      </c>
      <c r="AP880" s="2" t="str">
        <f>INDEX(Sheet5!$B$2:$AG$33, MATCH(Table2[[#This Row],[HomeTeam]],Sheet5!$A$2:$A$33, 0), MATCH(Table2[[#This Row],[AwayTeam]],Sheet5!$A$2:$A$33, 0))</f>
        <v>0-0-0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/>
      <c r="AV880" s="2"/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45">
        <f>IF(AND(Table2[[#This Row],[GameIsOver]]=1,Table2[[#This Row],[ActualHomeScore]]*Table2[[#This Row],[ActualAwayScore]]=0), 1,0)</f>
        <v>0</v>
      </c>
      <c r="AA8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/>
      <c r="AV881" s="2"/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45">
        <f>IF(AND(Table2[[#This Row],[GameIsOver]]=1,Table2[[#This Row],[ActualHomeScore]]*Table2[[#This Row],[ActualAwayScore]]=0), 1,0)</f>
        <v>0</v>
      </c>
      <c r="AA8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/>
      <c r="AV882" s="2"/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45">
        <f>IF(AND(Table2[[#This Row],[GameIsOver]]=1,Table2[[#This Row],[ActualHomeScore]]*Table2[[#This Row],[ActualAwayScore]]=0), 1,0)</f>
        <v>0</v>
      </c>
      <c r="AA8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/>
      <c r="AV883" s="2"/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45">
        <f>IF(AND(Table2[[#This Row],[GameIsOver]]=1,Table2[[#This Row],[ActualHomeScore]]*Table2[[#This Row],[ActualAwayScore]]=0), 1,0)</f>
        <v>0</v>
      </c>
      <c r="AA8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4" s="2" t="str">
        <f>INDEX(Sheet5!$B$2:$AG$33, MATCH(Table2[[#This Row],[AwayTeam]],Sheet5!$A$2:$A$33, 0), MATCH(Table2[[#This Row],[HomeTeam]],Sheet5!$A$2:$A$33, 0))</f>
        <v>0-0-0</v>
      </c>
      <c r="AP884" s="2" t="str">
        <f>INDEX(Sheet5!$B$2:$AG$33, MATCH(Table2[[#This Row],[HomeTeam]],Sheet5!$A$2:$A$33, 0), MATCH(Table2[[#This Row],[AwayTeam]],Sheet5!$A$2:$A$33, 0))</f>
        <v>0-0-0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/>
      <c r="AV884" s="2"/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45">
        <f>IF(AND(Table2[[#This Row],[GameIsOver]]=1,Table2[[#This Row],[ActualHomeScore]]*Table2[[#This Row],[ActualAwayScore]]=0), 1,0)</f>
        <v>0</v>
      </c>
      <c r="AA8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/>
      <c r="AV885" s="2"/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45">
        <f>IF(AND(Table2[[#This Row],[GameIsOver]]=1,Table2[[#This Row],[ActualHomeScore]]*Table2[[#This Row],[ActualAwayScore]]=0), 1,0)</f>
        <v>0</v>
      </c>
      <c r="AA8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/>
      <c r="AV886" s="2"/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45">
        <f>IF(AND(Table2[[#This Row],[GameIsOver]]=1,Table2[[#This Row],[ActualHomeScore]]*Table2[[#This Row],[ActualAwayScore]]=0), 1,0)</f>
        <v>0</v>
      </c>
      <c r="AA8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_xlfn.TEXTJOIN(";", 1, $BD$31:$BD$40)), 0) &gt; 0, 1, 0) + IF(IFERROR(FIND(Table2[[#This Row],[HomeTeam]], _xlfn.TEXTJOIN(";", 1, $BD$31:$BD$40)), 0) &gt; 0, 1, 0)</f>
        <v>1</v>
      </c>
      <c r="AO887" s="2" t="str">
        <f>INDEX(Sheet5!$B$2:$AG$33, MATCH(Table2[[#This Row],[AwayTeam]],Sheet5!$A$2:$A$33, 0), MATCH(Table2[[#This Row],[HomeTeam]],Sheet5!$A$2:$A$33, 0))</f>
        <v>0-0-0</v>
      </c>
      <c r="AP887" s="2" t="str">
        <f>INDEX(Sheet5!$B$2:$AG$33, MATCH(Table2[[#This Row],[HomeTeam]],Sheet5!$A$2:$A$33, 0), MATCH(Table2[[#This Row],[AwayTeam]],Sheet5!$A$2:$A$33, 0))</f>
        <v>0-0-0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/>
      <c r="AV887" s="2"/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45">
        <f>IF(AND(Table2[[#This Row],[GameIsOver]]=1,Table2[[#This Row],[ActualHomeScore]]*Table2[[#This Row],[ActualAwayScore]]=0), 1,0)</f>
        <v>0</v>
      </c>
      <c r="AA8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/>
      <c r="AV888" s="2"/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45">
        <f>IF(AND(Table2[[#This Row],[GameIsOver]]=1,Table2[[#This Row],[ActualHomeScore]]*Table2[[#This Row],[ActualAwayScore]]=0), 1,0)</f>
        <v>0</v>
      </c>
      <c r="AA8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9" s="2" t="str">
        <f>INDEX(Sheet5!$B$2:$AG$33, MATCH(Table2[[#This Row],[AwayTeam]],Sheet5!$A$2:$A$33, 0), MATCH(Table2[[#This Row],[HomeTeam]],Sheet5!$A$2:$A$33, 0))</f>
        <v>0-0-0</v>
      </c>
      <c r="AP889" s="2" t="str">
        <f>INDEX(Sheet5!$B$2:$AG$33, MATCH(Table2[[#This Row],[HomeTeam]],Sheet5!$A$2:$A$33, 0), MATCH(Table2[[#This Row],[AwayTeam]],Sheet5!$A$2:$A$33, 0))</f>
        <v>0-0-0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/>
      <c r="AV889" s="2"/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45">
        <f>IF(AND(Table2[[#This Row],[GameIsOver]]=1,Table2[[#This Row],[ActualHomeScore]]*Table2[[#This Row],[ActualAwayScore]]=0), 1,0)</f>
        <v>0</v>
      </c>
      <c r="AA8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0" s="2" t="str">
        <f>INDEX(Sheet5!$B$2:$AG$33, MATCH(Table2[[#This Row],[AwayTeam]],Sheet5!$A$2:$A$33, 0), MATCH(Table2[[#This Row],[HomeTeam]],Sheet5!$A$2:$A$33, 0))</f>
        <v>0-0-0</v>
      </c>
      <c r="AP890" s="2" t="str">
        <f>INDEX(Sheet5!$B$2:$AG$33, MATCH(Table2[[#This Row],[HomeTeam]],Sheet5!$A$2:$A$33, 0), MATCH(Table2[[#This Row],[AwayTeam]],Sheet5!$A$2:$A$33, 0))</f>
        <v>0-0-0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/>
      <c r="AV890" s="2"/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45">
        <f>IF(AND(Table2[[#This Row],[GameIsOver]]=1,Table2[[#This Row],[ActualHomeScore]]*Table2[[#This Row],[ActualAwayScore]]=0), 1,0)</f>
        <v>0</v>
      </c>
      <c r="AA8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/>
      <c r="AV891" s="2"/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45">
        <f>IF(AND(Table2[[#This Row],[GameIsOver]]=1,Table2[[#This Row],[ActualHomeScore]]*Table2[[#This Row],[ActualAwayScore]]=0), 1,0)</f>
        <v>0</v>
      </c>
      <c r="AA8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/>
      <c r="AV892" s="2"/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45">
        <f>IF(AND(Table2[[#This Row],[GameIsOver]]=1,Table2[[#This Row],[ActualHomeScore]]*Table2[[#This Row],[ActualAwayScore]]=0), 1,0)</f>
        <v>0</v>
      </c>
      <c r="AA8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/>
      <c r="AV893" s="2"/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45">
        <f>IF(AND(Table2[[#This Row],[GameIsOver]]=1,Table2[[#This Row],[ActualHomeScore]]*Table2[[#This Row],[ActualAwayScore]]=0), 1,0)</f>
        <v>0</v>
      </c>
      <c r="AA8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4" s="2" t="str">
        <f>INDEX(Sheet5!$B$2:$AG$33, MATCH(Table2[[#This Row],[AwayTeam]],Sheet5!$A$2:$A$33, 0), MATCH(Table2[[#This Row],[HomeTeam]],Sheet5!$A$2:$A$33, 0))</f>
        <v>0-0-0</v>
      </c>
      <c r="AP894" s="2" t="str">
        <f>INDEX(Sheet5!$B$2:$AG$33, MATCH(Table2[[#This Row],[HomeTeam]],Sheet5!$A$2:$A$33, 0), MATCH(Table2[[#This Row],[AwayTeam]],Sheet5!$A$2:$A$33, 0))</f>
        <v>0-0-0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/>
      <c r="AV894" s="2"/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45">
        <f>IF(AND(Table2[[#This Row],[GameIsOver]]=1,Table2[[#This Row],[ActualHomeScore]]*Table2[[#This Row],[ActualAwayScore]]=0), 1,0)</f>
        <v>0</v>
      </c>
      <c r="AA8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5" s="2" t="str">
        <f>INDEX(Sheet5!$B$2:$AG$33, MATCH(Table2[[#This Row],[AwayTeam]],Sheet5!$A$2:$A$33, 0), MATCH(Table2[[#This Row],[HomeTeam]],Sheet5!$A$2:$A$33, 0))</f>
        <v>0-0-0</v>
      </c>
      <c r="AP895" s="2" t="str">
        <f>INDEX(Sheet5!$B$2:$AG$33, MATCH(Table2[[#This Row],[HomeTeam]],Sheet5!$A$2:$A$33, 0), MATCH(Table2[[#This Row],[AwayTeam]],Sheet5!$A$2:$A$33, 0))</f>
        <v>0-0-0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/>
      <c r="AV895" s="2"/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45">
        <f>IF(AND(Table2[[#This Row],[GameIsOver]]=1,Table2[[#This Row],[ActualHomeScore]]*Table2[[#This Row],[ActualAwayScore]]=0), 1,0)</f>
        <v>0</v>
      </c>
      <c r="AA8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/>
      <c r="AV896" s="2"/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45">
        <f>IF(AND(Table2[[#This Row],[GameIsOver]]=1,Table2[[#This Row],[ActualHomeScore]]*Table2[[#This Row],[ActualAwayScore]]=0), 1,0)</f>
        <v>0</v>
      </c>
      <c r="AA8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/>
      <c r="AV897" s="2"/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45">
        <f>IF(AND(Table2[[#This Row],[GameIsOver]]=1,Table2[[#This Row],[ActualHomeScore]]*Table2[[#This Row],[ActualAwayScore]]=0), 1,0)</f>
        <v>0</v>
      </c>
      <c r="AA8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/>
      <c r="AV898" s="2"/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45">
        <f>IF(AND(Table2[[#This Row],[GameIsOver]]=1,Table2[[#This Row],[ActualHomeScore]]*Table2[[#This Row],[ActualAwayScore]]=0), 1,0)</f>
        <v>0</v>
      </c>
      <c r="AA8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/>
      <c r="AV899" s="2"/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45">
        <f>IF(AND(Table2[[#This Row],[GameIsOver]]=1,Table2[[#This Row],[ActualHomeScore]]*Table2[[#This Row],[ActualAwayScore]]=0), 1,0)</f>
        <v>0</v>
      </c>
      <c r="AA9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/>
      <c r="AV900" s="2"/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45">
        <f>IF(AND(Table2[[#This Row],[GameIsOver]]=1,Table2[[#This Row],[ActualHomeScore]]*Table2[[#This Row],[ActualAwayScore]]=0), 1,0)</f>
        <v>0</v>
      </c>
      <c r="AA9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1" s="2" t="str">
        <f>INDEX(Sheet5!$B$2:$AG$33, MATCH(Table2[[#This Row],[AwayTeam]],Sheet5!$A$2:$A$33, 0), MATCH(Table2[[#This Row],[HomeTeam]],Sheet5!$A$2:$A$33, 0))</f>
        <v>0-0-0</v>
      </c>
      <c r="AP901" s="2" t="str">
        <f>INDEX(Sheet5!$B$2:$AG$33, MATCH(Table2[[#This Row],[HomeTeam]],Sheet5!$A$2:$A$33, 0), MATCH(Table2[[#This Row],[AwayTeam]],Sheet5!$A$2:$A$33, 0))</f>
        <v>0-0-0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/>
      <c r="AV901" s="2"/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45">
        <f>IF(AND(Table2[[#This Row],[GameIsOver]]=1,Table2[[#This Row],[ActualHomeScore]]*Table2[[#This Row],[ActualAwayScore]]=0), 1,0)</f>
        <v>0</v>
      </c>
      <c r="AA9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_xlfn.TEXTJOIN(";", 1, $BD$31:$BD$40)), 0) &gt; 0, 1, 0) + IF(IFERROR(FIND(Table2[[#This Row],[HomeTeam]], _xlfn.TEXTJOIN(";", 1, $BD$31:$BD$40)), 0) &gt; 0, 1, 0)</f>
        <v>1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/>
      <c r="AV902" s="2"/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45">
        <f>IF(AND(Table2[[#This Row],[GameIsOver]]=1,Table2[[#This Row],[ActualHomeScore]]*Table2[[#This Row],[ActualAwayScore]]=0), 1,0)</f>
        <v>0</v>
      </c>
      <c r="AA9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/>
      <c r="AV903" s="2"/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45">
        <f>IF(AND(Table2[[#This Row],[GameIsOver]]=1,Table2[[#This Row],[ActualHomeScore]]*Table2[[#This Row],[ActualAwayScore]]=0), 1,0)</f>
        <v>0</v>
      </c>
      <c r="AA9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/>
      <c r="AV904" s="2"/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45">
        <f>IF(AND(Table2[[#This Row],[GameIsOver]]=1,Table2[[#This Row],[ActualHomeScore]]*Table2[[#This Row],[ActualAwayScore]]=0), 1,0)</f>
        <v>0</v>
      </c>
      <c r="AA9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/>
      <c r="AV905" s="2"/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45">
        <f>IF(AND(Table2[[#This Row],[GameIsOver]]=1,Table2[[#This Row],[ActualHomeScore]]*Table2[[#This Row],[ActualAwayScore]]=0), 1,0)</f>
        <v>0</v>
      </c>
      <c r="AA9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/>
      <c r="AV906" s="2"/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45">
        <f>IF(AND(Table2[[#This Row],[GameIsOver]]=1,Table2[[#This Row],[ActualHomeScore]]*Table2[[#This Row],[ActualAwayScore]]=0), 1,0)</f>
        <v>0</v>
      </c>
      <c r="AA9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/>
      <c r="AV907" s="2"/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45">
        <f>IF(AND(Table2[[#This Row],[GameIsOver]]=1,Table2[[#This Row],[ActualHomeScore]]*Table2[[#This Row],[ActualAwayScore]]=0), 1,0)</f>
        <v>0</v>
      </c>
      <c r="AA9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/>
      <c r="AV908" s="2"/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45">
        <f>IF(AND(Table2[[#This Row],[GameIsOver]]=1,Table2[[#This Row],[ActualHomeScore]]*Table2[[#This Row],[ActualAwayScore]]=0), 1,0)</f>
        <v>0</v>
      </c>
      <c r="AA9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9" s="2" t="str">
        <f>INDEX(Sheet5!$B$2:$AG$33, MATCH(Table2[[#This Row],[AwayTeam]],Sheet5!$A$2:$A$33, 0), MATCH(Table2[[#This Row],[HomeTeam]],Sheet5!$A$2:$A$33, 0))</f>
        <v>0-0-0</v>
      </c>
      <c r="AP909" s="2" t="str">
        <f>INDEX(Sheet5!$B$2:$AG$33, MATCH(Table2[[#This Row],[HomeTeam]],Sheet5!$A$2:$A$33, 0), MATCH(Table2[[#This Row],[AwayTeam]],Sheet5!$A$2:$A$33, 0))</f>
        <v>0-0-0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/>
      <c r="AV909" s="2"/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45">
        <f>IF(AND(Table2[[#This Row],[GameIsOver]]=1,Table2[[#This Row],[ActualHomeScore]]*Table2[[#This Row],[ActualAwayScore]]=0), 1,0)</f>
        <v>0</v>
      </c>
      <c r="AA9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/>
      <c r="AV910" s="2"/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45">
        <f>IF(AND(Table2[[#This Row],[GameIsOver]]=1,Table2[[#This Row],[ActualHomeScore]]*Table2[[#This Row],[ActualAwayScore]]=0), 1,0)</f>
        <v>0</v>
      </c>
      <c r="AA9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/>
      <c r="AV911" s="2"/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45">
        <f>IF(AND(Table2[[#This Row],[GameIsOver]]=1,Table2[[#This Row],[ActualHomeScore]]*Table2[[#This Row],[ActualAwayScore]]=0), 1,0)</f>
        <v>0</v>
      </c>
      <c r="AA9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/>
      <c r="AV912" s="2"/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45">
        <f>IF(AND(Table2[[#This Row],[GameIsOver]]=1,Table2[[#This Row],[ActualHomeScore]]*Table2[[#This Row],[ActualAwayScore]]=0), 1,0)</f>
        <v>0</v>
      </c>
      <c r="AA9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/>
      <c r="AV913" s="2"/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45">
        <f>IF(AND(Table2[[#This Row],[GameIsOver]]=1,Table2[[#This Row],[ActualHomeScore]]*Table2[[#This Row],[ActualAwayScore]]=0), 1,0)</f>
        <v>0</v>
      </c>
      <c r="AA9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/>
      <c r="AV914" s="2"/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45">
        <f>IF(AND(Table2[[#This Row],[GameIsOver]]=1,Table2[[#This Row],[ActualHomeScore]]*Table2[[#This Row],[ActualAwayScore]]=0), 1,0)</f>
        <v>0</v>
      </c>
      <c r="AA9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/>
      <c r="AV915" s="2"/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45">
        <f>IF(AND(Table2[[#This Row],[GameIsOver]]=1,Table2[[#This Row],[ActualHomeScore]]*Table2[[#This Row],[ActualAwayScore]]=0), 1,0)</f>
        <v>0</v>
      </c>
      <c r="AA9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6" s="2" t="str">
        <f>INDEX(Sheet5!$B$2:$AG$33, MATCH(Table2[[#This Row],[AwayTeam]],Sheet5!$A$2:$A$33, 0), MATCH(Table2[[#This Row],[HomeTeam]],Sheet5!$A$2:$A$33, 0))</f>
        <v>0-0-0</v>
      </c>
      <c r="AP916" s="2" t="str">
        <f>INDEX(Sheet5!$B$2:$AG$33, MATCH(Table2[[#This Row],[HomeTeam]],Sheet5!$A$2:$A$33, 0), MATCH(Table2[[#This Row],[AwayTeam]],Sheet5!$A$2:$A$33, 0))</f>
        <v>0-0-0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/>
      <c r="AV916" s="2"/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45">
        <f>IF(AND(Table2[[#This Row],[GameIsOver]]=1,Table2[[#This Row],[ActualHomeScore]]*Table2[[#This Row],[ActualAwayScore]]=0), 1,0)</f>
        <v>0</v>
      </c>
      <c r="AA9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/>
      <c r="AV917" s="2"/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45">
        <f>IF(AND(Table2[[#This Row],[GameIsOver]]=1,Table2[[#This Row],[ActualHomeScore]]*Table2[[#This Row],[ActualAwayScore]]=0), 1,0)</f>
        <v>0</v>
      </c>
      <c r="AA9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/>
      <c r="AV918" s="2"/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45">
        <f>IF(AND(Table2[[#This Row],[GameIsOver]]=1,Table2[[#This Row],[ActualHomeScore]]*Table2[[#This Row],[ActualAwayScore]]=0), 1,0)</f>
        <v>0</v>
      </c>
      <c r="AA9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/>
      <c r="AV919" s="2"/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45">
        <f>IF(AND(Table2[[#This Row],[GameIsOver]]=1,Table2[[#This Row],[ActualHomeScore]]*Table2[[#This Row],[ActualAwayScore]]=0), 1,0)</f>
        <v>0</v>
      </c>
      <c r="AA9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/>
      <c r="AV920" s="2"/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45">
        <f>IF(AND(Table2[[#This Row],[GameIsOver]]=1,Table2[[#This Row],[ActualHomeScore]]*Table2[[#This Row],[ActualAwayScore]]=0), 1,0)</f>
        <v>0</v>
      </c>
      <c r="AA9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/>
      <c r="AV921" s="2"/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45">
        <f>IF(AND(Table2[[#This Row],[GameIsOver]]=1,Table2[[#This Row],[ActualHomeScore]]*Table2[[#This Row],[ActualAwayScore]]=0), 1,0)</f>
        <v>0</v>
      </c>
      <c r="AA9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/>
      <c r="AV922" s="2"/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45">
        <f>IF(AND(Table2[[#This Row],[GameIsOver]]=1,Table2[[#This Row],[ActualHomeScore]]*Table2[[#This Row],[ActualAwayScore]]=0), 1,0)</f>
        <v>0</v>
      </c>
      <c r="AA9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/>
      <c r="AV923" s="2"/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45">
        <f>IF(AND(Table2[[#This Row],[GameIsOver]]=1,Table2[[#This Row],[ActualHomeScore]]*Table2[[#This Row],[ActualAwayScore]]=0), 1,0)</f>
        <v>0</v>
      </c>
      <c r="AA9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/>
      <c r="AV924" s="2"/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45">
        <f>IF(AND(Table2[[#This Row],[GameIsOver]]=1,Table2[[#This Row],[ActualHomeScore]]*Table2[[#This Row],[ActualAwayScore]]=0), 1,0)</f>
        <v>0</v>
      </c>
      <c r="AA9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/>
      <c r="AV925" s="2"/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45">
        <f>IF(AND(Table2[[#This Row],[GameIsOver]]=1,Table2[[#This Row],[ActualHomeScore]]*Table2[[#This Row],[ActualAwayScore]]=0), 1,0)</f>
        <v>0</v>
      </c>
      <c r="AA9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/>
      <c r="AV926" s="2"/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45">
        <f>IF(AND(Table2[[#This Row],[GameIsOver]]=1,Table2[[#This Row],[ActualHomeScore]]*Table2[[#This Row],[ActualAwayScore]]=0), 1,0)</f>
        <v>0</v>
      </c>
      <c r="AA9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/>
      <c r="AV927" s="2"/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45">
        <f>IF(AND(Table2[[#This Row],[GameIsOver]]=1,Table2[[#This Row],[ActualHomeScore]]*Table2[[#This Row],[ActualAwayScore]]=0), 1,0)</f>
        <v>0</v>
      </c>
      <c r="AA9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/>
      <c r="AV928" s="2"/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45">
        <f>IF(AND(Table2[[#This Row],[GameIsOver]]=1,Table2[[#This Row],[ActualHomeScore]]*Table2[[#This Row],[ActualAwayScore]]=0), 1,0)</f>
        <v>0</v>
      </c>
      <c r="AA9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/>
      <c r="AV929" s="2"/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45">
        <f>IF(AND(Table2[[#This Row],[GameIsOver]]=1,Table2[[#This Row],[ActualHomeScore]]*Table2[[#This Row],[ActualAwayScore]]=0), 1,0)</f>
        <v>0</v>
      </c>
      <c r="AA9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/>
      <c r="AV930" s="2"/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45">
        <f>IF(AND(Table2[[#This Row],[GameIsOver]]=1,Table2[[#This Row],[ActualHomeScore]]*Table2[[#This Row],[ActualAwayScore]]=0), 1,0)</f>
        <v>0</v>
      </c>
      <c r="AA9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/>
      <c r="AV931" s="2"/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45">
        <f>IF(AND(Table2[[#This Row],[GameIsOver]]=1,Table2[[#This Row],[ActualHomeScore]]*Table2[[#This Row],[ActualAwayScore]]=0), 1,0)</f>
        <v>0</v>
      </c>
      <c r="AA9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2" s="2" t="str">
        <f>INDEX(Sheet5!$B$2:$AG$33, MATCH(Table2[[#This Row],[AwayTeam]],Sheet5!$A$2:$A$33, 0), MATCH(Table2[[#This Row],[HomeTeam]],Sheet5!$A$2:$A$33, 0))</f>
        <v>0-0-0</v>
      </c>
      <c r="AP932" s="2" t="str">
        <f>INDEX(Sheet5!$B$2:$AG$33, MATCH(Table2[[#This Row],[HomeTeam]],Sheet5!$A$2:$A$33, 0), MATCH(Table2[[#This Row],[AwayTeam]],Sheet5!$A$2:$A$33, 0))</f>
        <v>0-0-0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/>
      <c r="AV932" s="2"/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45">
        <f>IF(AND(Table2[[#This Row],[GameIsOver]]=1,Table2[[#This Row],[ActualHomeScore]]*Table2[[#This Row],[ActualAwayScore]]=0), 1,0)</f>
        <v>0</v>
      </c>
      <c r="AA9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/>
      <c r="AV933" s="2"/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45">
        <f>IF(AND(Table2[[#This Row],[GameIsOver]]=1,Table2[[#This Row],[ActualHomeScore]]*Table2[[#This Row],[ActualAwayScore]]=0), 1,0)</f>
        <v>0</v>
      </c>
      <c r="AA9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4" s="2" t="str">
        <f>INDEX(Sheet5!$B$2:$AG$33, MATCH(Table2[[#This Row],[AwayTeam]],Sheet5!$A$2:$A$33, 0), MATCH(Table2[[#This Row],[HomeTeam]],Sheet5!$A$2:$A$33, 0))</f>
        <v>0-0-0</v>
      </c>
      <c r="AP934" s="2" t="str">
        <f>INDEX(Sheet5!$B$2:$AG$33, MATCH(Table2[[#This Row],[HomeTeam]],Sheet5!$A$2:$A$33, 0), MATCH(Table2[[#This Row],[AwayTeam]],Sheet5!$A$2:$A$33, 0))</f>
        <v>0-0-0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/>
      <c r="AV934" s="2"/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45">
        <f>IF(AND(Table2[[#This Row],[GameIsOver]]=1,Table2[[#This Row],[ActualHomeScore]]*Table2[[#This Row],[ActualAwayScore]]=0), 1,0)</f>
        <v>0</v>
      </c>
      <c r="AA9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/>
      <c r="AV935" s="2"/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45">
        <f>IF(AND(Table2[[#This Row],[GameIsOver]]=1,Table2[[#This Row],[ActualHomeScore]]*Table2[[#This Row],[ActualAwayScore]]=0), 1,0)</f>
        <v>0</v>
      </c>
      <c r="AA9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6" s="2" t="str">
        <f>INDEX(Sheet5!$B$2:$AG$33, MATCH(Table2[[#This Row],[AwayTeam]],Sheet5!$A$2:$A$33, 0), MATCH(Table2[[#This Row],[HomeTeam]],Sheet5!$A$2:$A$33, 0))</f>
        <v>1-0-0</v>
      </c>
      <c r="AP936" s="2" t="str">
        <f>INDEX(Sheet5!$B$2:$AG$33, MATCH(Table2[[#This Row],[HomeTeam]],Sheet5!$A$2:$A$33, 0), MATCH(Table2[[#This Row],[AwayTeam]],Sheet5!$A$2:$A$33, 0))</f>
        <v>0-1-0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/>
      <c r="AV936" s="2"/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45">
        <f>IF(AND(Table2[[#This Row],[GameIsOver]]=1,Table2[[#This Row],[ActualHomeScore]]*Table2[[#This Row],[ActualAwayScore]]=0), 1,0)</f>
        <v>0</v>
      </c>
      <c r="AA9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/>
      <c r="AV937" s="2"/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45">
        <f>IF(AND(Table2[[#This Row],[GameIsOver]]=1,Table2[[#This Row],[ActualHomeScore]]*Table2[[#This Row],[ActualAwayScore]]=0), 1,0)</f>
        <v>0</v>
      </c>
      <c r="AA9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/>
      <c r="AV938" s="2"/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45">
        <f>IF(AND(Table2[[#This Row],[GameIsOver]]=1,Table2[[#This Row],[ActualHomeScore]]*Table2[[#This Row],[ActualAwayScore]]=0), 1,0)</f>
        <v>0</v>
      </c>
      <c r="AA9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/>
      <c r="AV939" s="2"/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45">
        <f>IF(AND(Table2[[#This Row],[GameIsOver]]=1,Table2[[#This Row],[ActualHomeScore]]*Table2[[#This Row],[ActualAwayScore]]=0), 1,0)</f>
        <v>0</v>
      </c>
      <c r="AA9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/>
      <c r="AV940" s="2"/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45">
        <f>IF(AND(Table2[[#This Row],[GameIsOver]]=1,Table2[[#This Row],[ActualHomeScore]]*Table2[[#This Row],[ActualAwayScore]]=0), 1,0)</f>
        <v>0</v>
      </c>
      <c r="AA9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/>
      <c r="AV941" s="2"/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45">
        <f>IF(AND(Table2[[#This Row],[GameIsOver]]=1,Table2[[#This Row],[ActualHomeScore]]*Table2[[#This Row],[ActualAwayScore]]=0), 1,0)</f>
        <v>0</v>
      </c>
      <c r="AA9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/>
      <c r="AV942" s="2"/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45">
        <f>IF(AND(Table2[[#This Row],[GameIsOver]]=1,Table2[[#This Row],[ActualHomeScore]]*Table2[[#This Row],[ActualAwayScore]]=0), 1,0)</f>
        <v>0</v>
      </c>
      <c r="AA9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/>
      <c r="AV943" s="2"/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45">
        <f>IF(AND(Table2[[#This Row],[GameIsOver]]=1,Table2[[#This Row],[ActualHomeScore]]*Table2[[#This Row],[ActualAwayScore]]=0), 1,0)</f>
        <v>0</v>
      </c>
      <c r="AA9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/>
      <c r="AV944" s="2"/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45">
        <f>IF(AND(Table2[[#This Row],[GameIsOver]]=1,Table2[[#This Row],[ActualHomeScore]]*Table2[[#This Row],[ActualAwayScore]]=0), 1,0)</f>
        <v>0</v>
      </c>
      <c r="AA9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/>
      <c r="AV945" s="2"/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45">
        <f>IF(AND(Table2[[#This Row],[GameIsOver]]=1,Table2[[#This Row],[ActualHomeScore]]*Table2[[#This Row],[ActualAwayScore]]=0), 1,0)</f>
        <v>0</v>
      </c>
      <c r="AA9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/>
      <c r="AV946" s="2"/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45">
        <f>IF(AND(Table2[[#This Row],[GameIsOver]]=1,Table2[[#This Row],[ActualHomeScore]]*Table2[[#This Row],[ActualAwayScore]]=0), 1,0)</f>
        <v>0</v>
      </c>
      <c r="AA9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7" s="2" t="str">
        <f>INDEX(Sheet5!$B$2:$AG$33, MATCH(Table2[[#This Row],[AwayTeam]],Sheet5!$A$2:$A$33, 0), MATCH(Table2[[#This Row],[HomeTeam]],Sheet5!$A$2:$A$33, 0))</f>
        <v>0-0-0</v>
      </c>
      <c r="AP947" s="2" t="str">
        <f>INDEX(Sheet5!$B$2:$AG$33, MATCH(Table2[[#This Row],[HomeTeam]],Sheet5!$A$2:$A$33, 0), MATCH(Table2[[#This Row],[AwayTeam]],Sheet5!$A$2:$A$33, 0))</f>
        <v>0-0-0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/>
      <c r="AV947" s="2"/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45">
        <f>IF(AND(Table2[[#This Row],[GameIsOver]]=1,Table2[[#This Row],[ActualHomeScore]]*Table2[[#This Row],[ActualAwayScore]]=0), 1,0)</f>
        <v>0</v>
      </c>
      <c r="AA9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/>
      <c r="AV948" s="2"/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45">
        <f>IF(AND(Table2[[#This Row],[GameIsOver]]=1,Table2[[#This Row],[ActualHomeScore]]*Table2[[#This Row],[ActualAwayScore]]=0), 1,0)</f>
        <v>0</v>
      </c>
      <c r="AA9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/>
      <c r="AV949" s="2"/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45">
        <f>IF(AND(Table2[[#This Row],[GameIsOver]]=1,Table2[[#This Row],[ActualHomeScore]]*Table2[[#This Row],[ActualAwayScore]]=0), 1,0)</f>
        <v>0</v>
      </c>
      <c r="AA9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/>
      <c r="AV950" s="2"/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45">
        <f>IF(AND(Table2[[#This Row],[GameIsOver]]=1,Table2[[#This Row],[ActualHomeScore]]*Table2[[#This Row],[ActualAwayScore]]=0), 1,0)</f>
        <v>0</v>
      </c>
      <c r="AA9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1" s="2" t="str">
        <f>INDEX(Sheet5!$B$2:$AG$33, MATCH(Table2[[#This Row],[AwayTeam]],Sheet5!$A$2:$A$33, 0), MATCH(Table2[[#This Row],[HomeTeam]],Sheet5!$A$2:$A$33, 0))</f>
        <v>0-0-0</v>
      </c>
      <c r="AP951" s="2" t="str">
        <f>INDEX(Sheet5!$B$2:$AG$33, MATCH(Table2[[#This Row],[HomeTeam]],Sheet5!$A$2:$A$33, 0), MATCH(Table2[[#This Row],[AwayTeam]],Sheet5!$A$2:$A$33, 0))</f>
        <v>0-0-0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/>
      <c r="AV951" s="2"/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45">
        <f>IF(AND(Table2[[#This Row],[GameIsOver]]=1,Table2[[#This Row],[ActualHomeScore]]*Table2[[#This Row],[ActualAwayScore]]=0), 1,0)</f>
        <v>0</v>
      </c>
      <c r="AA9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/>
      <c r="AV952" s="2"/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45">
        <f>IF(AND(Table2[[#This Row],[GameIsOver]]=1,Table2[[#This Row],[ActualHomeScore]]*Table2[[#This Row],[ActualAwayScore]]=0), 1,0)</f>
        <v>0</v>
      </c>
      <c r="AA9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3" s="2" t="str">
        <f>INDEX(Sheet5!$B$2:$AG$33, MATCH(Table2[[#This Row],[AwayTeam]],Sheet5!$A$2:$A$33, 0), MATCH(Table2[[#This Row],[HomeTeam]],Sheet5!$A$2:$A$33, 0))</f>
        <v>0-0-0</v>
      </c>
      <c r="AP953" s="2" t="str">
        <f>INDEX(Sheet5!$B$2:$AG$33, MATCH(Table2[[#This Row],[HomeTeam]],Sheet5!$A$2:$A$33, 0), MATCH(Table2[[#This Row],[AwayTeam]],Sheet5!$A$2:$A$33, 0))</f>
        <v>0-0-0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/>
      <c r="AV953" s="2"/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45">
        <f>IF(AND(Table2[[#This Row],[GameIsOver]]=1,Table2[[#This Row],[ActualHomeScore]]*Table2[[#This Row],[ActualAwayScore]]=0), 1,0)</f>
        <v>0</v>
      </c>
      <c r="AA9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/>
      <c r="AV954" s="2"/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45">
        <f>IF(AND(Table2[[#This Row],[GameIsOver]]=1,Table2[[#This Row],[ActualHomeScore]]*Table2[[#This Row],[ActualAwayScore]]=0), 1,0)</f>
        <v>0</v>
      </c>
      <c r="AA9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/>
      <c r="AV955" s="2"/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45">
        <f>IF(AND(Table2[[#This Row],[GameIsOver]]=1,Table2[[#This Row],[ActualHomeScore]]*Table2[[#This Row],[ActualAwayScore]]=0), 1,0)</f>
        <v>0</v>
      </c>
      <c r="AA9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/>
      <c r="AV956" s="2"/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45">
        <f>IF(AND(Table2[[#This Row],[GameIsOver]]=1,Table2[[#This Row],[ActualHomeScore]]*Table2[[#This Row],[ActualAwayScore]]=0), 1,0)</f>
        <v>0</v>
      </c>
      <c r="AA9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/>
      <c r="AV957" s="2"/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45">
        <f>IF(AND(Table2[[#This Row],[GameIsOver]]=1,Table2[[#This Row],[ActualHomeScore]]*Table2[[#This Row],[ActualAwayScore]]=0), 1,0)</f>
        <v>0</v>
      </c>
      <c r="AA9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8" s="2" t="str">
        <f>INDEX(Sheet5!$B$2:$AG$33, MATCH(Table2[[#This Row],[AwayTeam]],Sheet5!$A$2:$A$33, 0), MATCH(Table2[[#This Row],[HomeTeam]],Sheet5!$A$2:$A$33, 0))</f>
        <v>0-0-0</v>
      </c>
      <c r="AP958" s="2" t="str">
        <f>INDEX(Sheet5!$B$2:$AG$33, MATCH(Table2[[#This Row],[HomeTeam]],Sheet5!$A$2:$A$33, 0), MATCH(Table2[[#This Row],[AwayTeam]],Sheet5!$A$2:$A$33, 0))</f>
        <v>0-0-0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/>
      <c r="AV958" s="2"/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45">
        <f>IF(AND(Table2[[#This Row],[GameIsOver]]=1,Table2[[#This Row],[ActualHomeScore]]*Table2[[#This Row],[ActualAwayScore]]=0), 1,0)</f>
        <v>0</v>
      </c>
      <c r="AA9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/>
      <c r="AV959" s="2"/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45">
        <f>IF(AND(Table2[[#This Row],[GameIsOver]]=1,Table2[[#This Row],[ActualHomeScore]]*Table2[[#This Row],[ActualAwayScore]]=0), 1,0)</f>
        <v>0</v>
      </c>
      <c r="AA9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/>
      <c r="AV960" s="2"/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45">
        <f>IF(AND(Table2[[#This Row],[GameIsOver]]=1,Table2[[#This Row],[ActualHomeScore]]*Table2[[#This Row],[ActualAwayScore]]=0), 1,0)</f>
        <v>0</v>
      </c>
      <c r="AA9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/>
      <c r="AV961" s="2"/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45">
        <f>IF(AND(Table2[[#This Row],[GameIsOver]]=1,Table2[[#This Row],[ActualHomeScore]]*Table2[[#This Row],[ActualAwayScore]]=0), 1,0)</f>
        <v>0</v>
      </c>
      <c r="AA9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/>
      <c r="AV962" s="2"/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45">
        <f>IF(AND(Table2[[#This Row],[GameIsOver]]=1,Table2[[#This Row],[ActualHomeScore]]*Table2[[#This Row],[ActualAwayScore]]=0), 1,0)</f>
        <v>0</v>
      </c>
      <c r="AA9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3" s="2" t="str">
        <f>INDEX(Sheet5!$B$2:$AG$33, MATCH(Table2[[#This Row],[AwayTeam]],Sheet5!$A$2:$A$33, 0), MATCH(Table2[[#This Row],[HomeTeam]],Sheet5!$A$2:$A$33, 0))</f>
        <v>0-0-0</v>
      </c>
      <c r="AP963" s="2" t="str">
        <f>INDEX(Sheet5!$B$2:$AG$33, MATCH(Table2[[#This Row],[HomeTeam]],Sheet5!$A$2:$A$33, 0), MATCH(Table2[[#This Row],[AwayTeam]],Sheet5!$A$2:$A$33, 0))</f>
        <v>0-0-0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/>
      <c r="AV963" s="2"/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45">
        <f>IF(AND(Table2[[#This Row],[GameIsOver]]=1,Table2[[#This Row],[ActualHomeScore]]*Table2[[#This Row],[ActualAwayScore]]=0), 1,0)</f>
        <v>0</v>
      </c>
      <c r="AA9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/>
      <c r="AV964" s="2"/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45">
        <f>IF(AND(Table2[[#This Row],[GameIsOver]]=1,Table2[[#This Row],[ActualHomeScore]]*Table2[[#This Row],[ActualAwayScore]]=0), 1,0)</f>
        <v>0</v>
      </c>
      <c r="AA9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5" s="2" t="str">
        <f>INDEX(Sheet5!$B$2:$AG$33, MATCH(Table2[[#This Row],[AwayTeam]],Sheet5!$A$2:$A$33, 0), MATCH(Table2[[#This Row],[HomeTeam]],Sheet5!$A$2:$A$33, 0))</f>
        <v>0-0-0</v>
      </c>
      <c r="AP965" s="2" t="str">
        <f>INDEX(Sheet5!$B$2:$AG$33, MATCH(Table2[[#This Row],[HomeTeam]],Sheet5!$A$2:$A$33, 0), MATCH(Table2[[#This Row],[AwayTeam]],Sheet5!$A$2:$A$33, 0))</f>
        <v>0-0-0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/>
      <c r="AV965" s="2"/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45">
        <f>IF(AND(Table2[[#This Row],[GameIsOver]]=1,Table2[[#This Row],[ActualHomeScore]]*Table2[[#This Row],[ActualAwayScore]]=0), 1,0)</f>
        <v>0</v>
      </c>
      <c r="AA9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/>
      <c r="AV966" s="2"/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45">
        <f>IF(AND(Table2[[#This Row],[GameIsOver]]=1,Table2[[#This Row],[ActualHomeScore]]*Table2[[#This Row],[ActualAwayScore]]=0), 1,0)</f>
        <v>0</v>
      </c>
      <c r="AA9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/>
      <c r="AV967" s="2"/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45">
        <f>IF(AND(Table2[[#This Row],[GameIsOver]]=1,Table2[[#This Row],[ActualHomeScore]]*Table2[[#This Row],[ActualAwayScore]]=0), 1,0)</f>
        <v>0</v>
      </c>
      <c r="AA9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8" s="2" t="str">
        <f>INDEX(Sheet5!$B$2:$AG$33, MATCH(Table2[[#This Row],[AwayTeam]],Sheet5!$A$2:$A$33, 0), MATCH(Table2[[#This Row],[HomeTeam]],Sheet5!$A$2:$A$33, 0))</f>
        <v>0-0-0</v>
      </c>
      <c r="AP968" s="2" t="str">
        <f>INDEX(Sheet5!$B$2:$AG$33, MATCH(Table2[[#This Row],[HomeTeam]],Sheet5!$A$2:$A$33, 0), MATCH(Table2[[#This Row],[AwayTeam]],Sheet5!$A$2:$A$33, 0))</f>
        <v>0-0-0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/>
      <c r="AV968" s="2"/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45">
        <f>IF(AND(Table2[[#This Row],[GameIsOver]]=1,Table2[[#This Row],[ActualHomeScore]]*Table2[[#This Row],[ActualAwayScore]]=0), 1,0)</f>
        <v>0</v>
      </c>
      <c r="AA9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/>
      <c r="AV969" s="2"/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45">
        <f>IF(AND(Table2[[#This Row],[GameIsOver]]=1,Table2[[#This Row],[ActualHomeScore]]*Table2[[#This Row],[ActualAwayScore]]=0), 1,0)</f>
        <v>0</v>
      </c>
      <c r="AA9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/>
      <c r="AV970" s="2"/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45">
        <f>IF(AND(Table2[[#This Row],[GameIsOver]]=1,Table2[[#This Row],[ActualHomeScore]]*Table2[[#This Row],[ActualAwayScore]]=0), 1,0)</f>
        <v>0</v>
      </c>
      <c r="AA9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/>
      <c r="AV971" s="2"/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45">
        <f>IF(AND(Table2[[#This Row],[GameIsOver]]=1,Table2[[#This Row],[ActualHomeScore]]*Table2[[#This Row],[ActualAwayScore]]=0), 1,0)</f>
        <v>0</v>
      </c>
      <c r="AA9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/>
      <c r="AV972" s="2"/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45">
        <f>IF(AND(Table2[[#This Row],[GameIsOver]]=1,Table2[[#This Row],[ActualHomeScore]]*Table2[[#This Row],[ActualAwayScore]]=0), 1,0)</f>
        <v>0</v>
      </c>
      <c r="AA9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3" s="2" t="str">
        <f>INDEX(Sheet5!$B$2:$AG$33, MATCH(Table2[[#This Row],[AwayTeam]],Sheet5!$A$2:$A$33, 0), MATCH(Table2[[#This Row],[HomeTeam]],Sheet5!$A$2:$A$33, 0))</f>
        <v>0-0-0</v>
      </c>
      <c r="AP973" s="2" t="str">
        <f>INDEX(Sheet5!$B$2:$AG$33, MATCH(Table2[[#This Row],[HomeTeam]],Sheet5!$A$2:$A$33, 0), MATCH(Table2[[#This Row],[AwayTeam]],Sheet5!$A$2:$A$33, 0))</f>
        <v>0-0-0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/>
      <c r="AV973" s="2"/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45">
        <f>IF(AND(Table2[[#This Row],[GameIsOver]]=1,Table2[[#This Row],[ActualHomeScore]]*Table2[[#This Row],[ActualAwayScore]]=0), 1,0)</f>
        <v>0</v>
      </c>
      <c r="AA9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/>
      <c r="AV974" s="2"/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45">
        <f>IF(AND(Table2[[#This Row],[GameIsOver]]=1,Table2[[#This Row],[ActualHomeScore]]*Table2[[#This Row],[ActualAwayScore]]=0), 1,0)</f>
        <v>0</v>
      </c>
      <c r="AA9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/>
      <c r="AV975" s="2"/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45">
        <f>IF(AND(Table2[[#This Row],[GameIsOver]]=1,Table2[[#This Row],[ActualHomeScore]]*Table2[[#This Row],[ActualAwayScore]]=0), 1,0)</f>
        <v>0</v>
      </c>
      <c r="AA9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/>
      <c r="AV976" s="2"/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45">
        <f>IF(AND(Table2[[#This Row],[GameIsOver]]=1,Table2[[#This Row],[ActualHomeScore]]*Table2[[#This Row],[ActualAwayScore]]=0), 1,0)</f>
        <v>0</v>
      </c>
      <c r="AA9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7" s="2" t="str">
        <f>INDEX(Sheet5!$B$2:$AG$33, MATCH(Table2[[#This Row],[AwayTeam]],Sheet5!$A$2:$A$33, 0), MATCH(Table2[[#This Row],[HomeTeam]],Sheet5!$A$2:$A$33, 0))</f>
        <v>0-0-0</v>
      </c>
      <c r="AP977" s="2" t="str">
        <f>INDEX(Sheet5!$B$2:$AG$33, MATCH(Table2[[#This Row],[HomeTeam]],Sheet5!$A$2:$A$33, 0), MATCH(Table2[[#This Row],[AwayTeam]],Sheet5!$A$2:$A$33, 0))</f>
        <v>0-0-0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/>
      <c r="AV977" s="2"/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45">
        <f>IF(AND(Table2[[#This Row],[GameIsOver]]=1,Table2[[#This Row],[ActualHomeScore]]*Table2[[#This Row],[ActualAwayScore]]=0), 1,0)</f>
        <v>0</v>
      </c>
      <c r="AA9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/>
      <c r="AV978" s="2"/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45">
        <f>IF(AND(Table2[[#This Row],[GameIsOver]]=1,Table2[[#This Row],[ActualHomeScore]]*Table2[[#This Row],[ActualAwayScore]]=0), 1,0)</f>
        <v>0</v>
      </c>
      <c r="AA9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/>
      <c r="AV979" s="2"/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45">
        <f>IF(AND(Table2[[#This Row],[GameIsOver]]=1,Table2[[#This Row],[ActualHomeScore]]*Table2[[#This Row],[ActualAwayScore]]=0), 1,0)</f>
        <v>0</v>
      </c>
      <c r="AA9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/>
      <c r="AV980" s="2"/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45">
        <f>IF(AND(Table2[[#This Row],[GameIsOver]]=1,Table2[[#This Row],[ActualHomeScore]]*Table2[[#This Row],[ActualAwayScore]]=0), 1,0)</f>
        <v>0</v>
      </c>
      <c r="AA9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/>
      <c r="AV981" s="2"/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45">
        <f>IF(AND(Table2[[#This Row],[GameIsOver]]=1,Table2[[#This Row],[ActualHomeScore]]*Table2[[#This Row],[ActualAwayScore]]=0), 1,0)</f>
        <v>0</v>
      </c>
      <c r="AA9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/>
      <c r="AV982" s="2"/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45">
        <f>IF(AND(Table2[[#This Row],[GameIsOver]]=1,Table2[[#This Row],[ActualHomeScore]]*Table2[[#This Row],[ActualAwayScore]]=0), 1,0)</f>
        <v>0</v>
      </c>
      <c r="AA9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/>
      <c r="AV983" s="2"/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45">
        <f>IF(AND(Table2[[#This Row],[GameIsOver]]=1,Table2[[#This Row],[ActualHomeScore]]*Table2[[#This Row],[ActualAwayScore]]=0), 1,0)</f>
        <v>0</v>
      </c>
      <c r="AA9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/>
      <c r="AV984" s="2"/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45">
        <f>IF(AND(Table2[[#This Row],[GameIsOver]]=1,Table2[[#This Row],[ActualHomeScore]]*Table2[[#This Row],[ActualAwayScore]]=0), 1,0)</f>
        <v>0</v>
      </c>
      <c r="AA9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5" s="2" t="str">
        <f>INDEX(Sheet5!$B$2:$AG$33, MATCH(Table2[[#This Row],[AwayTeam]],Sheet5!$A$2:$A$33, 0), MATCH(Table2[[#This Row],[HomeTeam]],Sheet5!$A$2:$A$33, 0))</f>
        <v>0-0-0</v>
      </c>
      <c r="AP985" s="2" t="str">
        <f>INDEX(Sheet5!$B$2:$AG$33, MATCH(Table2[[#This Row],[HomeTeam]],Sheet5!$A$2:$A$33, 0), MATCH(Table2[[#This Row],[AwayTeam]],Sheet5!$A$2:$A$33, 0))</f>
        <v>0-0-0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/>
      <c r="AV985" s="2"/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45">
        <f>IF(AND(Table2[[#This Row],[GameIsOver]]=1,Table2[[#This Row],[ActualHomeScore]]*Table2[[#This Row],[ActualAwayScore]]=0), 1,0)</f>
        <v>0</v>
      </c>
      <c r="AA9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6" s="2" t="str">
        <f>INDEX(Sheet5!$B$2:$AG$33, MATCH(Table2[[#This Row],[AwayTeam]],Sheet5!$A$2:$A$33, 0), MATCH(Table2[[#This Row],[HomeTeam]],Sheet5!$A$2:$A$33, 0))</f>
        <v>0-0-0</v>
      </c>
      <c r="AP986" s="2" t="str">
        <f>INDEX(Sheet5!$B$2:$AG$33, MATCH(Table2[[#This Row],[HomeTeam]],Sheet5!$A$2:$A$33, 0), MATCH(Table2[[#This Row],[AwayTeam]],Sheet5!$A$2:$A$33, 0))</f>
        <v>0-0-0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/>
      <c r="AV986" s="2"/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45">
        <f>IF(AND(Table2[[#This Row],[GameIsOver]]=1,Table2[[#This Row],[ActualHomeScore]]*Table2[[#This Row],[ActualAwayScore]]=0), 1,0)</f>
        <v>0</v>
      </c>
      <c r="AA9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7" s="2" t="str">
        <f>INDEX(Sheet5!$B$2:$AG$33, MATCH(Table2[[#This Row],[AwayTeam]],Sheet5!$A$2:$A$33, 0), MATCH(Table2[[#This Row],[HomeTeam]],Sheet5!$A$2:$A$33, 0))</f>
        <v>0-0-0</v>
      </c>
      <c r="AP987" s="2" t="str">
        <f>INDEX(Sheet5!$B$2:$AG$33, MATCH(Table2[[#This Row],[HomeTeam]],Sheet5!$A$2:$A$33, 0), MATCH(Table2[[#This Row],[AwayTeam]],Sheet5!$A$2:$A$33, 0))</f>
        <v>0-0-0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/>
      <c r="AV987" s="2"/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45">
        <f>IF(AND(Table2[[#This Row],[GameIsOver]]=1,Table2[[#This Row],[ActualHomeScore]]*Table2[[#This Row],[ActualAwayScore]]=0), 1,0)</f>
        <v>0</v>
      </c>
      <c r="AA9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/>
      <c r="AV988" s="2"/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45">
        <f>IF(AND(Table2[[#This Row],[GameIsOver]]=1,Table2[[#This Row],[ActualHomeScore]]*Table2[[#This Row],[ActualAwayScore]]=0), 1,0)</f>
        <v>0</v>
      </c>
      <c r="AA9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/>
      <c r="AV989" s="2"/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45">
        <f>IF(AND(Table2[[#This Row],[GameIsOver]]=1,Table2[[#This Row],[ActualHomeScore]]*Table2[[#This Row],[ActualAwayScore]]=0), 1,0)</f>
        <v>0</v>
      </c>
      <c r="AA9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/>
      <c r="AV990" s="2"/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45">
        <f>IF(AND(Table2[[#This Row],[GameIsOver]]=1,Table2[[#This Row],[ActualHomeScore]]*Table2[[#This Row],[ActualAwayScore]]=0), 1,0)</f>
        <v>0</v>
      </c>
      <c r="AA9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/>
      <c r="AV991" s="2"/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45">
        <f>IF(AND(Table2[[#This Row],[GameIsOver]]=1,Table2[[#This Row],[ActualHomeScore]]*Table2[[#This Row],[ActualAwayScore]]=0), 1,0)</f>
        <v>0</v>
      </c>
      <c r="AA9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/>
      <c r="AV992" s="2"/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45">
        <f>IF(AND(Table2[[#This Row],[GameIsOver]]=1,Table2[[#This Row],[ActualHomeScore]]*Table2[[#This Row],[ActualAwayScore]]=0), 1,0)</f>
        <v>0</v>
      </c>
      <c r="AA9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/>
      <c r="AV993" s="2"/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45">
        <f>IF(AND(Table2[[#This Row],[GameIsOver]]=1,Table2[[#This Row],[ActualHomeScore]]*Table2[[#This Row],[ActualAwayScore]]=0), 1,0)</f>
        <v>0</v>
      </c>
      <c r="AA9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/>
      <c r="AV994" s="2"/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45">
        <f>IF(AND(Table2[[#This Row],[GameIsOver]]=1,Table2[[#This Row],[ActualHomeScore]]*Table2[[#This Row],[ActualAwayScore]]=0), 1,0)</f>
        <v>0</v>
      </c>
      <c r="AA9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5" s="2" t="str">
        <f>INDEX(Sheet5!$B$2:$AG$33, MATCH(Table2[[#This Row],[AwayTeam]],Sheet5!$A$2:$A$33, 0), MATCH(Table2[[#This Row],[HomeTeam]],Sheet5!$A$2:$A$33, 0))</f>
        <v>0-0-0</v>
      </c>
      <c r="AP995" s="2" t="str">
        <f>INDEX(Sheet5!$B$2:$AG$33, MATCH(Table2[[#This Row],[HomeTeam]],Sheet5!$A$2:$A$33, 0), MATCH(Table2[[#This Row],[AwayTeam]],Sheet5!$A$2:$A$33, 0))</f>
        <v>0-0-0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/>
      <c r="AV995" s="2"/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45">
        <f>IF(AND(Table2[[#This Row],[GameIsOver]]=1,Table2[[#This Row],[ActualHomeScore]]*Table2[[#This Row],[ActualAwayScore]]=0), 1,0)</f>
        <v>0</v>
      </c>
      <c r="AA9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/>
      <c r="AV996" s="2"/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45">
        <f>IF(AND(Table2[[#This Row],[GameIsOver]]=1,Table2[[#This Row],[ActualHomeScore]]*Table2[[#This Row],[ActualAwayScore]]=0), 1,0)</f>
        <v>0</v>
      </c>
      <c r="AA9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/>
      <c r="AV997" s="2"/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45">
        <f>IF(AND(Table2[[#This Row],[GameIsOver]]=1,Table2[[#This Row],[ActualHomeScore]]*Table2[[#This Row],[ActualAwayScore]]=0), 1,0)</f>
        <v>0</v>
      </c>
      <c r="AA9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/>
      <c r="AV998" s="2"/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45">
        <f>IF(AND(Table2[[#This Row],[GameIsOver]]=1,Table2[[#This Row],[ActualHomeScore]]*Table2[[#This Row],[ActualAwayScore]]=0), 1,0)</f>
        <v>0</v>
      </c>
      <c r="AA9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/>
      <c r="AV999" s="2"/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45">
        <f>IF(AND(Table2[[#This Row],[GameIsOver]]=1,Table2[[#This Row],[ActualHomeScore]]*Table2[[#This Row],[ActualAwayScore]]=0), 1,0)</f>
        <v>0</v>
      </c>
      <c r="AA10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/>
      <c r="AV1000" s="2"/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45">
        <f>IF(AND(Table2[[#This Row],[GameIsOver]]=1,Table2[[#This Row],[ActualHomeScore]]*Table2[[#This Row],[ActualAwayScore]]=0), 1,0)</f>
        <v>0</v>
      </c>
      <c r="AA10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1" s="2" t="str">
        <f>INDEX(Sheet5!$B$2:$AG$33, MATCH(Table2[[#This Row],[AwayTeam]],Sheet5!$A$2:$A$33, 0), MATCH(Table2[[#This Row],[HomeTeam]],Sheet5!$A$2:$A$33, 0))</f>
        <v>0-0-0</v>
      </c>
      <c r="AP1001" s="2" t="str">
        <f>INDEX(Sheet5!$B$2:$AG$33, MATCH(Table2[[#This Row],[HomeTeam]],Sheet5!$A$2:$A$33, 0), MATCH(Table2[[#This Row],[AwayTeam]],Sheet5!$A$2:$A$33, 0))</f>
        <v>0-0-0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/>
      <c r="AV1001" s="2"/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45">
        <f>IF(AND(Table2[[#This Row],[GameIsOver]]=1,Table2[[#This Row],[ActualHomeScore]]*Table2[[#This Row],[ActualAwayScore]]=0), 1,0)</f>
        <v>0</v>
      </c>
      <c r="AA10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2" s="2" t="str">
        <f>INDEX(Sheet5!$B$2:$AG$33, MATCH(Table2[[#This Row],[AwayTeam]],Sheet5!$A$2:$A$33, 0), MATCH(Table2[[#This Row],[HomeTeam]],Sheet5!$A$2:$A$33, 0))</f>
        <v>0-0-0</v>
      </c>
      <c r="AP1002" s="2" t="str">
        <f>INDEX(Sheet5!$B$2:$AG$33, MATCH(Table2[[#This Row],[HomeTeam]],Sheet5!$A$2:$A$33, 0), MATCH(Table2[[#This Row],[AwayTeam]],Sheet5!$A$2:$A$33, 0))</f>
        <v>0-0-0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/>
      <c r="AV1002" s="2"/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45">
        <f>IF(AND(Table2[[#This Row],[GameIsOver]]=1,Table2[[#This Row],[ActualHomeScore]]*Table2[[#This Row],[ActualAwayScore]]=0), 1,0)</f>
        <v>0</v>
      </c>
      <c r="AA10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/>
      <c r="AV1003" s="2"/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45">
        <f>IF(AND(Table2[[#This Row],[GameIsOver]]=1,Table2[[#This Row],[ActualHomeScore]]*Table2[[#This Row],[ActualAwayScore]]=0), 1,0)</f>
        <v>0</v>
      </c>
      <c r="AA10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/>
      <c r="AV1004" s="2"/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45">
        <f>IF(AND(Table2[[#This Row],[GameIsOver]]=1,Table2[[#This Row],[ActualHomeScore]]*Table2[[#This Row],[ActualAwayScore]]=0), 1,0)</f>
        <v>0</v>
      </c>
      <c r="AA10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/>
      <c r="AV1005" s="2"/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45">
        <f>IF(AND(Table2[[#This Row],[GameIsOver]]=1,Table2[[#This Row],[ActualHomeScore]]*Table2[[#This Row],[ActualAwayScore]]=0), 1,0)</f>
        <v>0</v>
      </c>
      <c r="AA10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/>
      <c r="AV1006" s="2"/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45">
        <f>IF(AND(Table2[[#This Row],[GameIsOver]]=1,Table2[[#This Row],[ActualHomeScore]]*Table2[[#This Row],[ActualAwayScore]]=0), 1,0)</f>
        <v>0</v>
      </c>
      <c r="AA10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/>
      <c r="AV1007" s="2"/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45">
        <f>IF(AND(Table2[[#This Row],[GameIsOver]]=1,Table2[[#This Row],[ActualHomeScore]]*Table2[[#This Row],[ActualAwayScore]]=0), 1,0)</f>
        <v>0</v>
      </c>
      <c r="AA10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/>
      <c r="AV1008" s="2"/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45">
        <f>IF(AND(Table2[[#This Row],[GameIsOver]]=1,Table2[[#This Row],[ActualHomeScore]]*Table2[[#This Row],[ActualAwayScore]]=0), 1,0)</f>
        <v>0</v>
      </c>
      <c r="AA10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/>
      <c r="AV1009" s="2"/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45">
        <f>IF(AND(Table2[[#This Row],[GameIsOver]]=1,Table2[[#This Row],[ActualHomeScore]]*Table2[[#This Row],[ActualAwayScore]]=0), 1,0)</f>
        <v>0</v>
      </c>
      <c r="AA10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/>
      <c r="AV1010" s="2"/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45">
        <f>IF(AND(Table2[[#This Row],[GameIsOver]]=1,Table2[[#This Row],[ActualHomeScore]]*Table2[[#This Row],[ActualAwayScore]]=0), 1,0)</f>
        <v>0</v>
      </c>
      <c r="AA10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/>
      <c r="AV1011" s="2"/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45">
        <f>IF(AND(Table2[[#This Row],[GameIsOver]]=1,Table2[[#This Row],[ActualHomeScore]]*Table2[[#This Row],[ActualAwayScore]]=0), 1,0)</f>
        <v>0</v>
      </c>
      <c r="AA10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2" s="2" t="str">
        <f>INDEX(Sheet5!$B$2:$AG$33, MATCH(Table2[[#This Row],[AwayTeam]],Sheet5!$A$2:$A$33, 0), MATCH(Table2[[#This Row],[HomeTeam]],Sheet5!$A$2:$A$33, 0))</f>
        <v>0-0-0</v>
      </c>
      <c r="AP1012" s="2" t="str">
        <f>INDEX(Sheet5!$B$2:$AG$33, MATCH(Table2[[#This Row],[HomeTeam]],Sheet5!$A$2:$A$33, 0), MATCH(Table2[[#This Row],[AwayTeam]],Sheet5!$A$2:$A$33, 0))</f>
        <v>0-0-0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/>
      <c r="AV1012" s="2"/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45">
        <f>IF(AND(Table2[[#This Row],[GameIsOver]]=1,Table2[[#This Row],[ActualHomeScore]]*Table2[[#This Row],[ActualAwayScore]]=0), 1,0)</f>
        <v>0</v>
      </c>
      <c r="AA10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/>
      <c r="AV1013" s="2"/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45">
        <f>IF(AND(Table2[[#This Row],[GameIsOver]]=1,Table2[[#This Row],[ActualHomeScore]]*Table2[[#This Row],[ActualAwayScore]]=0), 1,0)</f>
        <v>0</v>
      </c>
      <c r="AA10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/>
      <c r="AV1014" s="2"/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45">
        <f>IF(AND(Table2[[#This Row],[GameIsOver]]=1,Table2[[#This Row],[ActualHomeScore]]*Table2[[#This Row],[ActualAwayScore]]=0), 1,0)</f>
        <v>0</v>
      </c>
      <c r="AA10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/>
      <c r="AV1015" s="2"/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45">
        <f>IF(AND(Table2[[#This Row],[GameIsOver]]=1,Table2[[#This Row],[ActualHomeScore]]*Table2[[#This Row],[ActualAwayScore]]=0), 1,0)</f>
        <v>0</v>
      </c>
      <c r="AA10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/>
      <c r="AV1016" s="2"/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45">
        <f>IF(AND(Table2[[#This Row],[GameIsOver]]=1,Table2[[#This Row],[ActualHomeScore]]*Table2[[#This Row],[ActualAwayScore]]=0), 1,0)</f>
        <v>0</v>
      </c>
      <c r="AA10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7" s="2" t="str">
        <f>INDEX(Sheet5!$B$2:$AG$33, MATCH(Table2[[#This Row],[AwayTeam]],Sheet5!$A$2:$A$33, 0), MATCH(Table2[[#This Row],[HomeTeam]],Sheet5!$A$2:$A$33, 0))</f>
        <v>0-0-0</v>
      </c>
      <c r="AP1017" s="2" t="str">
        <f>INDEX(Sheet5!$B$2:$AG$33, MATCH(Table2[[#This Row],[HomeTeam]],Sheet5!$A$2:$A$33, 0), MATCH(Table2[[#This Row],[AwayTeam]],Sheet5!$A$2:$A$33, 0))</f>
        <v>0-0-0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/>
      <c r="AV1017" s="2"/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45">
        <f>IF(AND(Table2[[#This Row],[GameIsOver]]=1,Table2[[#This Row],[ActualHomeScore]]*Table2[[#This Row],[ActualAwayScore]]=0), 1,0)</f>
        <v>0</v>
      </c>
      <c r="AA10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8" s="2" t="str">
        <f>INDEX(Sheet5!$B$2:$AG$33, MATCH(Table2[[#This Row],[AwayTeam]],Sheet5!$A$2:$A$33, 0), MATCH(Table2[[#This Row],[HomeTeam]],Sheet5!$A$2:$A$33, 0))</f>
        <v>0-0-0</v>
      </c>
      <c r="AP1018" s="2" t="str">
        <f>INDEX(Sheet5!$B$2:$AG$33, MATCH(Table2[[#This Row],[HomeTeam]],Sheet5!$A$2:$A$33, 0), MATCH(Table2[[#This Row],[AwayTeam]],Sheet5!$A$2:$A$33, 0))</f>
        <v>0-0-0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/>
      <c r="AV1018" s="2"/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45">
        <f>IF(AND(Table2[[#This Row],[GameIsOver]]=1,Table2[[#This Row],[ActualHomeScore]]*Table2[[#This Row],[ActualAwayScore]]=0), 1,0)</f>
        <v>0</v>
      </c>
      <c r="AA10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9" s="2" t="str">
        <f>INDEX(Sheet5!$B$2:$AG$33, MATCH(Table2[[#This Row],[AwayTeam]],Sheet5!$A$2:$A$33, 0), MATCH(Table2[[#This Row],[HomeTeam]],Sheet5!$A$2:$A$33, 0))</f>
        <v>0-0-0</v>
      </c>
      <c r="AP1019" s="2" t="str">
        <f>INDEX(Sheet5!$B$2:$AG$33, MATCH(Table2[[#This Row],[HomeTeam]],Sheet5!$A$2:$A$33, 0), MATCH(Table2[[#This Row],[AwayTeam]],Sheet5!$A$2:$A$33, 0))</f>
        <v>0-0-0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/>
      <c r="AV1019" s="2"/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45">
        <f>IF(AND(Table2[[#This Row],[GameIsOver]]=1,Table2[[#This Row],[ActualHomeScore]]*Table2[[#This Row],[ActualAwayScore]]=0), 1,0)</f>
        <v>0</v>
      </c>
      <c r="AA10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/>
      <c r="AV1020" s="2"/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45">
        <f>IF(AND(Table2[[#This Row],[GameIsOver]]=1,Table2[[#This Row],[ActualHomeScore]]*Table2[[#This Row],[ActualAwayScore]]=0), 1,0)</f>
        <v>0</v>
      </c>
      <c r="AA10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/>
      <c r="AV1021" s="2"/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45">
        <f>IF(AND(Table2[[#This Row],[GameIsOver]]=1,Table2[[#This Row],[ActualHomeScore]]*Table2[[#This Row],[ActualAwayScore]]=0), 1,0)</f>
        <v>0</v>
      </c>
      <c r="AA10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/>
      <c r="AV1022" s="2"/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45">
        <f>IF(AND(Table2[[#This Row],[GameIsOver]]=1,Table2[[#This Row],[ActualHomeScore]]*Table2[[#This Row],[ActualAwayScore]]=0), 1,0)</f>
        <v>0</v>
      </c>
      <c r="AA10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3" s="2" t="str">
        <f>INDEX(Sheet5!$B$2:$AG$33, MATCH(Table2[[#This Row],[AwayTeam]],Sheet5!$A$2:$A$33, 0), MATCH(Table2[[#This Row],[HomeTeam]],Sheet5!$A$2:$A$33, 0))</f>
        <v>0-0-0</v>
      </c>
      <c r="AP1023" s="2" t="str">
        <f>INDEX(Sheet5!$B$2:$AG$33, MATCH(Table2[[#This Row],[HomeTeam]],Sheet5!$A$2:$A$33, 0), MATCH(Table2[[#This Row],[AwayTeam]],Sheet5!$A$2:$A$33, 0))</f>
        <v>0-0-0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/>
      <c r="AV1023" s="2"/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45">
        <f>IF(AND(Table2[[#This Row],[GameIsOver]]=1,Table2[[#This Row],[ActualHomeScore]]*Table2[[#This Row],[ActualAwayScore]]=0), 1,0)</f>
        <v>0</v>
      </c>
      <c r="AA10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/>
      <c r="AV1024" s="2"/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45">
        <f>IF(AND(Table2[[#This Row],[GameIsOver]]=1,Table2[[#This Row],[ActualHomeScore]]*Table2[[#This Row],[ActualAwayScore]]=0), 1,0)</f>
        <v>0</v>
      </c>
      <c r="AA10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/>
      <c r="AV1025" s="2"/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45">
        <f>IF(AND(Table2[[#This Row],[GameIsOver]]=1,Table2[[#This Row],[ActualHomeScore]]*Table2[[#This Row],[ActualAwayScore]]=0), 1,0)</f>
        <v>0</v>
      </c>
      <c r="AA10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/>
      <c r="AV1026" s="2"/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45">
        <f>IF(AND(Table2[[#This Row],[GameIsOver]]=1,Table2[[#This Row],[ActualHomeScore]]*Table2[[#This Row],[ActualAwayScore]]=0), 1,0)</f>
        <v>0</v>
      </c>
      <c r="AA10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/>
      <c r="AV1027" s="2"/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45">
        <f>IF(AND(Table2[[#This Row],[GameIsOver]]=1,Table2[[#This Row],[ActualHomeScore]]*Table2[[#This Row],[ActualAwayScore]]=0), 1,0)</f>
        <v>0</v>
      </c>
      <c r="AA10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/>
      <c r="AV1028" s="2"/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45">
        <f>IF(AND(Table2[[#This Row],[GameIsOver]]=1,Table2[[#This Row],[ActualHomeScore]]*Table2[[#This Row],[ActualAwayScore]]=0), 1,0)</f>
        <v>0</v>
      </c>
      <c r="AA10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/>
      <c r="AV1029" s="2"/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45">
        <f>IF(AND(Table2[[#This Row],[GameIsOver]]=1,Table2[[#This Row],[ActualHomeScore]]*Table2[[#This Row],[ActualAwayScore]]=0), 1,0)</f>
        <v>0</v>
      </c>
      <c r="AA10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/>
      <c r="AV1030" s="2"/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45">
        <f>IF(AND(Table2[[#This Row],[GameIsOver]]=1,Table2[[#This Row],[ActualHomeScore]]*Table2[[#This Row],[ActualAwayScore]]=0), 1,0)</f>
        <v>0</v>
      </c>
      <c r="AA10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/>
      <c r="AV1031" s="2"/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45">
        <f>IF(AND(Table2[[#This Row],[GameIsOver]]=1,Table2[[#This Row],[ActualHomeScore]]*Table2[[#This Row],[ActualAwayScore]]=0), 1,0)</f>
        <v>0</v>
      </c>
      <c r="AA10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2" s="2" t="str">
        <f>INDEX(Sheet5!$B$2:$AG$33, MATCH(Table2[[#This Row],[AwayTeam]],Sheet5!$A$2:$A$33, 0), MATCH(Table2[[#This Row],[HomeTeam]],Sheet5!$A$2:$A$33, 0))</f>
        <v>0-0-0</v>
      </c>
      <c r="AP1032" s="2" t="str">
        <f>INDEX(Sheet5!$B$2:$AG$33, MATCH(Table2[[#This Row],[HomeTeam]],Sheet5!$A$2:$A$33, 0), MATCH(Table2[[#This Row],[AwayTeam]],Sheet5!$A$2:$A$33, 0))</f>
        <v>0-0-0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/>
      <c r="AV1032" s="2"/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45">
        <f>IF(AND(Table2[[#This Row],[GameIsOver]]=1,Table2[[#This Row],[ActualHomeScore]]*Table2[[#This Row],[ActualAwayScore]]=0), 1,0)</f>
        <v>0</v>
      </c>
      <c r="AA10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/>
      <c r="AV1033" s="2"/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45">
        <f>IF(AND(Table2[[#This Row],[GameIsOver]]=1,Table2[[#This Row],[ActualHomeScore]]*Table2[[#This Row],[ActualAwayScore]]=0), 1,0)</f>
        <v>0</v>
      </c>
      <c r="AA10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/>
      <c r="AV1034" s="2"/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45">
        <f>IF(AND(Table2[[#This Row],[GameIsOver]]=1,Table2[[#This Row],[ActualHomeScore]]*Table2[[#This Row],[ActualAwayScore]]=0), 1,0)</f>
        <v>0</v>
      </c>
      <c r="AA10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/>
      <c r="AV1035" s="2"/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45">
        <f>IF(AND(Table2[[#This Row],[GameIsOver]]=1,Table2[[#This Row],[ActualHomeScore]]*Table2[[#This Row],[ActualAwayScore]]=0), 1,0)</f>
        <v>0</v>
      </c>
      <c r="AA10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/>
      <c r="AV1036" s="2"/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45">
        <f>IF(AND(Table2[[#This Row],[GameIsOver]]=1,Table2[[#This Row],[ActualHomeScore]]*Table2[[#This Row],[ActualAwayScore]]=0), 1,0)</f>
        <v>0</v>
      </c>
      <c r="AA10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7" s="2" t="str">
        <f>INDEX(Sheet5!$B$2:$AG$33, MATCH(Table2[[#This Row],[AwayTeam]],Sheet5!$A$2:$A$33, 0), MATCH(Table2[[#This Row],[HomeTeam]],Sheet5!$A$2:$A$33, 0))</f>
        <v>0-0-0</v>
      </c>
      <c r="AP1037" s="2" t="str">
        <f>INDEX(Sheet5!$B$2:$AG$33, MATCH(Table2[[#This Row],[HomeTeam]],Sheet5!$A$2:$A$33, 0), MATCH(Table2[[#This Row],[AwayTeam]],Sheet5!$A$2:$A$33, 0))</f>
        <v>0-0-0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/>
      <c r="AV1037" s="2"/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45">
        <f>IF(AND(Table2[[#This Row],[GameIsOver]]=1,Table2[[#This Row],[ActualHomeScore]]*Table2[[#This Row],[ActualAwayScore]]=0), 1,0)</f>
        <v>0</v>
      </c>
      <c r="AA10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/>
      <c r="AV1038" s="2"/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45">
        <f>IF(AND(Table2[[#This Row],[GameIsOver]]=1,Table2[[#This Row],[ActualHomeScore]]*Table2[[#This Row],[ActualAwayScore]]=0), 1,0)</f>
        <v>0</v>
      </c>
      <c r="AA10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9" s="2" t="str">
        <f>INDEX(Sheet5!$B$2:$AG$33, MATCH(Table2[[#This Row],[AwayTeam]],Sheet5!$A$2:$A$33, 0), MATCH(Table2[[#This Row],[HomeTeam]],Sheet5!$A$2:$A$33, 0))</f>
        <v>0-0-0</v>
      </c>
      <c r="AP1039" s="2" t="str">
        <f>INDEX(Sheet5!$B$2:$AG$33, MATCH(Table2[[#This Row],[HomeTeam]],Sheet5!$A$2:$A$33, 0), MATCH(Table2[[#This Row],[AwayTeam]],Sheet5!$A$2:$A$33, 0))</f>
        <v>0-0-0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/>
      <c r="AV1039" s="2"/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45">
        <f>IF(AND(Table2[[#This Row],[GameIsOver]]=1,Table2[[#This Row],[ActualHomeScore]]*Table2[[#This Row],[ActualAwayScore]]=0), 1,0)</f>
        <v>0</v>
      </c>
      <c r="AA10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0" s="2" t="str">
        <f>INDEX(Sheet5!$B$2:$AG$33, MATCH(Table2[[#This Row],[AwayTeam]],Sheet5!$A$2:$A$33, 0), MATCH(Table2[[#This Row],[HomeTeam]],Sheet5!$A$2:$A$33, 0))</f>
        <v>0-0-0</v>
      </c>
      <c r="AP1040" s="2" t="str">
        <f>INDEX(Sheet5!$B$2:$AG$33, MATCH(Table2[[#This Row],[HomeTeam]],Sheet5!$A$2:$A$33, 0), MATCH(Table2[[#This Row],[AwayTeam]],Sheet5!$A$2:$A$33, 0))</f>
        <v>0-0-0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/>
      <c r="AV1040" s="2"/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45">
        <f>IF(AND(Table2[[#This Row],[GameIsOver]]=1,Table2[[#This Row],[ActualHomeScore]]*Table2[[#This Row],[ActualAwayScore]]=0), 1,0)</f>
        <v>0</v>
      </c>
      <c r="AA10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/>
      <c r="AV1041" s="2"/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45">
        <f>IF(AND(Table2[[#This Row],[GameIsOver]]=1,Table2[[#This Row],[ActualHomeScore]]*Table2[[#This Row],[ActualAwayScore]]=0), 1,0)</f>
        <v>0</v>
      </c>
      <c r="AA10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/>
      <c r="AV1042" s="2"/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45">
        <f>IF(AND(Table2[[#This Row],[GameIsOver]]=1,Table2[[#This Row],[ActualHomeScore]]*Table2[[#This Row],[ActualAwayScore]]=0), 1,0)</f>
        <v>0</v>
      </c>
      <c r="AA10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/>
      <c r="AV1043" s="2"/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45">
        <f>IF(AND(Table2[[#This Row],[GameIsOver]]=1,Table2[[#This Row],[ActualHomeScore]]*Table2[[#This Row],[ActualAwayScore]]=0), 1,0)</f>
        <v>0</v>
      </c>
      <c r="AA10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/>
      <c r="AV1044" s="2"/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45">
        <f>IF(AND(Table2[[#This Row],[GameIsOver]]=1,Table2[[#This Row],[ActualHomeScore]]*Table2[[#This Row],[ActualAwayScore]]=0), 1,0)</f>
        <v>0</v>
      </c>
      <c r="AA10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/>
      <c r="AV1045" s="2"/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45">
        <f>IF(AND(Table2[[#This Row],[GameIsOver]]=1,Table2[[#This Row],[ActualHomeScore]]*Table2[[#This Row],[ActualAwayScore]]=0), 1,0)</f>
        <v>0</v>
      </c>
      <c r="AA10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/>
      <c r="AV1046" s="2"/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45">
        <f>IF(AND(Table2[[#This Row],[GameIsOver]]=1,Table2[[#This Row],[ActualHomeScore]]*Table2[[#This Row],[ActualAwayScore]]=0), 1,0)</f>
        <v>0</v>
      </c>
      <c r="AA10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/>
      <c r="AV1047" s="2"/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45">
        <f>IF(AND(Table2[[#This Row],[GameIsOver]]=1,Table2[[#This Row],[ActualHomeScore]]*Table2[[#This Row],[ActualAwayScore]]=0), 1,0)</f>
        <v>0</v>
      </c>
      <c r="AA10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8" s="2" t="str">
        <f>INDEX(Sheet5!$B$2:$AG$33, MATCH(Table2[[#This Row],[AwayTeam]],Sheet5!$A$2:$A$33, 0), MATCH(Table2[[#This Row],[HomeTeam]],Sheet5!$A$2:$A$33, 0))</f>
        <v>0-0-0</v>
      </c>
      <c r="AP1048" s="2" t="str">
        <f>INDEX(Sheet5!$B$2:$AG$33, MATCH(Table2[[#This Row],[HomeTeam]],Sheet5!$A$2:$A$33, 0), MATCH(Table2[[#This Row],[AwayTeam]],Sheet5!$A$2:$A$33, 0))</f>
        <v>0-0-0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/>
      <c r="AV1048" s="2"/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45">
        <f>IF(AND(Table2[[#This Row],[GameIsOver]]=1,Table2[[#This Row],[ActualHomeScore]]*Table2[[#This Row],[ActualAwayScore]]=0), 1,0)</f>
        <v>0</v>
      </c>
      <c r="AA10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9" s="2" t="str">
        <f>INDEX(Sheet5!$B$2:$AG$33, MATCH(Table2[[#This Row],[AwayTeam]],Sheet5!$A$2:$A$33, 0), MATCH(Table2[[#This Row],[HomeTeam]],Sheet5!$A$2:$A$33, 0))</f>
        <v>0-0-0</v>
      </c>
      <c r="AP1049" s="2" t="str">
        <f>INDEX(Sheet5!$B$2:$AG$33, MATCH(Table2[[#This Row],[HomeTeam]],Sheet5!$A$2:$A$33, 0), MATCH(Table2[[#This Row],[AwayTeam]],Sheet5!$A$2:$A$33, 0))</f>
        <v>0-0-0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/>
      <c r="AV1049" s="2"/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45">
        <f>IF(AND(Table2[[#This Row],[GameIsOver]]=1,Table2[[#This Row],[ActualHomeScore]]*Table2[[#This Row],[ActualAwayScore]]=0), 1,0)</f>
        <v>0</v>
      </c>
      <c r="AA10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/>
      <c r="AV1050" s="2"/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45">
        <f>IF(AND(Table2[[#This Row],[GameIsOver]]=1,Table2[[#This Row],[ActualHomeScore]]*Table2[[#This Row],[ActualAwayScore]]=0), 1,0)</f>
        <v>0</v>
      </c>
      <c r="AA10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/>
      <c r="AV1051" s="2"/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45">
        <f>IF(AND(Table2[[#This Row],[GameIsOver]]=1,Table2[[#This Row],[ActualHomeScore]]*Table2[[#This Row],[ActualAwayScore]]=0), 1,0)</f>
        <v>0</v>
      </c>
      <c r="AA10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/>
      <c r="AV1052" s="2"/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45">
        <f>IF(AND(Table2[[#This Row],[GameIsOver]]=1,Table2[[#This Row],[ActualHomeScore]]*Table2[[#This Row],[ActualAwayScore]]=0), 1,0)</f>
        <v>0</v>
      </c>
      <c r="AA10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/>
      <c r="AV1053" s="2"/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45">
        <f>IF(AND(Table2[[#This Row],[GameIsOver]]=1,Table2[[#This Row],[ActualHomeScore]]*Table2[[#This Row],[ActualAwayScore]]=0), 1,0)</f>
        <v>0</v>
      </c>
      <c r="AA10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/>
      <c r="AV1054" s="2"/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45">
        <f>IF(AND(Table2[[#This Row],[GameIsOver]]=1,Table2[[#This Row],[ActualHomeScore]]*Table2[[#This Row],[ActualAwayScore]]=0), 1,0)</f>
        <v>0</v>
      </c>
      <c r="AA10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/>
      <c r="AV1055" s="2"/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45">
        <f>IF(AND(Table2[[#This Row],[GameIsOver]]=1,Table2[[#This Row],[ActualHomeScore]]*Table2[[#This Row],[ActualAwayScore]]=0), 1,0)</f>
        <v>0</v>
      </c>
      <c r="AA10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/>
      <c r="AV1056" s="2"/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45">
        <f>IF(AND(Table2[[#This Row],[GameIsOver]]=1,Table2[[#This Row],[ActualHomeScore]]*Table2[[#This Row],[ActualAwayScore]]=0), 1,0)</f>
        <v>0</v>
      </c>
      <c r="AA10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/>
      <c r="AV1057" s="2"/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45">
        <f>IF(AND(Table2[[#This Row],[GameIsOver]]=1,Table2[[#This Row],[ActualHomeScore]]*Table2[[#This Row],[ActualAwayScore]]=0), 1,0)</f>
        <v>0</v>
      </c>
      <c r="AA10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/>
      <c r="AV1058" s="2"/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45">
        <f>IF(AND(Table2[[#This Row],[GameIsOver]]=1,Table2[[#This Row],[ActualHomeScore]]*Table2[[#This Row],[ActualAwayScore]]=0), 1,0)</f>
        <v>0</v>
      </c>
      <c r="AA10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/>
      <c r="AV1059" s="2"/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45">
        <f>IF(AND(Table2[[#This Row],[GameIsOver]]=1,Table2[[#This Row],[ActualHomeScore]]*Table2[[#This Row],[ActualAwayScore]]=0), 1,0)</f>
        <v>0</v>
      </c>
      <c r="AA10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/>
      <c r="AV1060" s="2"/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45">
        <f>IF(AND(Table2[[#This Row],[GameIsOver]]=1,Table2[[#This Row],[ActualHomeScore]]*Table2[[#This Row],[ActualAwayScore]]=0), 1,0)</f>
        <v>0</v>
      </c>
      <c r="AA10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/>
      <c r="AV1061" s="2"/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45">
        <f>IF(AND(Table2[[#This Row],[GameIsOver]]=1,Table2[[#This Row],[ActualHomeScore]]*Table2[[#This Row],[ActualAwayScore]]=0), 1,0)</f>
        <v>0</v>
      </c>
      <c r="AA10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/>
      <c r="AV1062" s="2"/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45">
        <f>IF(AND(Table2[[#This Row],[GameIsOver]]=1,Table2[[#This Row],[ActualHomeScore]]*Table2[[#This Row],[ActualAwayScore]]=0), 1,0)</f>
        <v>0</v>
      </c>
      <c r="AA10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/>
      <c r="AV1063" s="2"/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45">
        <f>IF(AND(Table2[[#This Row],[GameIsOver]]=1,Table2[[#This Row],[ActualHomeScore]]*Table2[[#This Row],[ActualAwayScore]]=0), 1,0)</f>
        <v>0</v>
      </c>
      <c r="AA10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/>
      <c r="AV1064" s="2"/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45">
        <f>IF(AND(Table2[[#This Row],[GameIsOver]]=1,Table2[[#This Row],[ActualHomeScore]]*Table2[[#This Row],[ActualAwayScore]]=0), 1,0)</f>
        <v>0</v>
      </c>
      <c r="AA10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/>
      <c r="AV1065" s="2"/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45">
        <f>IF(AND(Table2[[#This Row],[GameIsOver]]=1,Table2[[#This Row],[ActualHomeScore]]*Table2[[#This Row],[ActualAwayScore]]=0), 1,0)</f>
        <v>0</v>
      </c>
      <c r="AA10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/>
      <c r="AV1066" s="2"/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45">
        <f>IF(AND(Table2[[#This Row],[GameIsOver]]=1,Table2[[#This Row],[ActualHomeScore]]*Table2[[#This Row],[ActualAwayScore]]=0), 1,0)</f>
        <v>0</v>
      </c>
      <c r="AA10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/>
      <c r="AV1067" s="2"/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45">
        <f>IF(AND(Table2[[#This Row],[GameIsOver]]=1,Table2[[#This Row],[ActualHomeScore]]*Table2[[#This Row],[ActualAwayScore]]=0), 1,0)</f>
        <v>0</v>
      </c>
      <c r="AA10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/>
      <c r="AV1068" s="2"/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45">
        <f>IF(AND(Table2[[#This Row],[GameIsOver]]=1,Table2[[#This Row],[ActualHomeScore]]*Table2[[#This Row],[ActualAwayScore]]=0), 1,0)</f>
        <v>0</v>
      </c>
      <c r="AA10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/>
      <c r="AV1069" s="2"/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45">
        <f>IF(AND(Table2[[#This Row],[GameIsOver]]=1,Table2[[#This Row],[ActualHomeScore]]*Table2[[#This Row],[ActualAwayScore]]=0), 1,0)</f>
        <v>0</v>
      </c>
      <c r="AA10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/>
      <c r="AV1070" s="2"/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45">
        <f>IF(AND(Table2[[#This Row],[GameIsOver]]=1,Table2[[#This Row],[ActualHomeScore]]*Table2[[#This Row],[ActualAwayScore]]=0), 1,0)</f>
        <v>0</v>
      </c>
      <c r="AA10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/>
      <c r="AV1071" s="2"/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45">
        <f>IF(AND(Table2[[#This Row],[GameIsOver]]=1,Table2[[#This Row],[ActualHomeScore]]*Table2[[#This Row],[ActualAwayScore]]=0), 1,0)</f>
        <v>0</v>
      </c>
      <c r="AA10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/>
      <c r="AV1072" s="2"/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45">
        <f>IF(AND(Table2[[#This Row],[GameIsOver]]=1,Table2[[#This Row],[ActualHomeScore]]*Table2[[#This Row],[ActualAwayScore]]=0), 1,0)</f>
        <v>0</v>
      </c>
      <c r="AA10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3" s="2" t="str">
        <f>INDEX(Sheet5!$B$2:$AG$33, MATCH(Table2[[#This Row],[AwayTeam]],Sheet5!$A$2:$A$33, 0), MATCH(Table2[[#This Row],[HomeTeam]],Sheet5!$A$2:$A$33, 0))</f>
        <v>0-0-0</v>
      </c>
      <c r="AP1073" s="2" t="str">
        <f>INDEX(Sheet5!$B$2:$AG$33, MATCH(Table2[[#This Row],[HomeTeam]],Sheet5!$A$2:$A$33, 0), MATCH(Table2[[#This Row],[AwayTeam]],Sheet5!$A$2:$A$33, 0))</f>
        <v>0-0-0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/>
      <c r="AV1073" s="2"/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45">
        <f>IF(AND(Table2[[#This Row],[GameIsOver]]=1,Table2[[#This Row],[ActualHomeScore]]*Table2[[#This Row],[ActualAwayScore]]=0), 1,0)</f>
        <v>0</v>
      </c>
      <c r="AA10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/>
      <c r="AV1074" s="2"/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45">
        <f>IF(AND(Table2[[#This Row],[GameIsOver]]=1,Table2[[#This Row],[ActualHomeScore]]*Table2[[#This Row],[ActualAwayScore]]=0), 1,0)</f>
        <v>0</v>
      </c>
      <c r="AA10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/>
      <c r="AV1075" s="2"/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45">
        <f>IF(AND(Table2[[#This Row],[GameIsOver]]=1,Table2[[#This Row],[ActualHomeScore]]*Table2[[#This Row],[ActualAwayScore]]=0), 1,0)</f>
        <v>0</v>
      </c>
      <c r="AA10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/>
      <c r="AV1076" s="2"/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45">
        <f>IF(AND(Table2[[#This Row],[GameIsOver]]=1,Table2[[#This Row],[ActualHomeScore]]*Table2[[#This Row],[ActualAwayScore]]=0), 1,0)</f>
        <v>0</v>
      </c>
      <c r="AA10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/>
      <c r="AV1077" s="2"/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45">
        <f>IF(AND(Table2[[#This Row],[GameIsOver]]=1,Table2[[#This Row],[ActualHomeScore]]*Table2[[#This Row],[ActualAwayScore]]=0), 1,0)</f>
        <v>0</v>
      </c>
      <c r="AA10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/>
      <c r="AV1078" s="2"/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45">
        <f>IF(AND(Table2[[#This Row],[GameIsOver]]=1,Table2[[#This Row],[ActualHomeScore]]*Table2[[#This Row],[ActualAwayScore]]=0), 1,0)</f>
        <v>0</v>
      </c>
      <c r="AA10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/>
      <c r="AV1079" s="2"/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45">
        <f>IF(AND(Table2[[#This Row],[GameIsOver]]=1,Table2[[#This Row],[ActualHomeScore]]*Table2[[#This Row],[ActualAwayScore]]=0), 1,0)</f>
        <v>0</v>
      </c>
      <c r="AA10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/>
      <c r="AV1080" s="2"/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45">
        <f>IF(AND(Table2[[#This Row],[GameIsOver]]=1,Table2[[#This Row],[ActualHomeScore]]*Table2[[#This Row],[ActualAwayScore]]=0), 1,0)</f>
        <v>0</v>
      </c>
      <c r="AA10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1" s="2" t="str">
        <f>INDEX(Sheet5!$B$2:$AG$33, MATCH(Table2[[#This Row],[AwayTeam]],Sheet5!$A$2:$A$33, 0), MATCH(Table2[[#This Row],[HomeTeam]],Sheet5!$A$2:$A$33, 0))</f>
        <v>0-0-0</v>
      </c>
      <c r="AP1081" s="2" t="str">
        <f>INDEX(Sheet5!$B$2:$AG$33, MATCH(Table2[[#This Row],[HomeTeam]],Sheet5!$A$2:$A$33, 0), MATCH(Table2[[#This Row],[AwayTeam]],Sheet5!$A$2:$A$33, 0))</f>
        <v>0-0-0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/>
      <c r="AV1081" s="2"/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45">
        <f>IF(AND(Table2[[#This Row],[GameIsOver]]=1,Table2[[#This Row],[ActualHomeScore]]*Table2[[#This Row],[ActualAwayScore]]=0), 1,0)</f>
        <v>0</v>
      </c>
      <c r="AA10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2" s="2" t="str">
        <f>INDEX(Sheet5!$B$2:$AG$33, MATCH(Table2[[#This Row],[AwayTeam]],Sheet5!$A$2:$A$33, 0), MATCH(Table2[[#This Row],[HomeTeam]],Sheet5!$A$2:$A$33, 0))</f>
        <v>0-0-0</v>
      </c>
      <c r="AP1082" s="2" t="str">
        <f>INDEX(Sheet5!$B$2:$AG$33, MATCH(Table2[[#This Row],[HomeTeam]],Sheet5!$A$2:$A$33, 0), MATCH(Table2[[#This Row],[AwayTeam]],Sheet5!$A$2:$A$33, 0))</f>
        <v>0-0-0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/>
      <c r="AV1082" s="2"/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45">
        <f>IF(AND(Table2[[#This Row],[GameIsOver]]=1,Table2[[#This Row],[ActualHomeScore]]*Table2[[#This Row],[ActualAwayScore]]=0), 1,0)</f>
        <v>0</v>
      </c>
      <c r="AA10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83" s="2" t="str">
        <f>INDEX(Sheet5!$B$2:$AG$33, MATCH(Table2[[#This Row],[AwayTeam]],Sheet5!$A$2:$A$33, 0), MATCH(Table2[[#This Row],[HomeTeam]],Sheet5!$A$2:$A$33, 0))</f>
        <v>0-0-0</v>
      </c>
      <c r="AP1083" s="2" t="str">
        <f>INDEX(Sheet5!$B$2:$AG$33, MATCH(Table2[[#This Row],[HomeTeam]],Sheet5!$A$2:$A$33, 0), MATCH(Table2[[#This Row],[AwayTeam]],Sheet5!$A$2:$A$33, 0))</f>
        <v>0-0-0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/>
      <c r="AV1083" s="2"/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45">
        <f>IF(AND(Table2[[#This Row],[GameIsOver]]=1,Table2[[#This Row],[ActualHomeScore]]*Table2[[#This Row],[ActualAwayScore]]=0), 1,0)</f>
        <v>0</v>
      </c>
      <c r="AA10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/>
      <c r="AV1084" s="2"/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45">
        <f>IF(AND(Table2[[#This Row],[GameIsOver]]=1,Table2[[#This Row],[ActualHomeScore]]*Table2[[#This Row],[ActualAwayScore]]=0), 1,0)</f>
        <v>0</v>
      </c>
      <c r="AA10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/>
      <c r="AV1085" s="2"/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45">
        <f>IF(AND(Table2[[#This Row],[GameIsOver]]=1,Table2[[#This Row],[ActualHomeScore]]*Table2[[#This Row],[ActualAwayScore]]=0), 1,0)</f>
        <v>0</v>
      </c>
      <c r="AA10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6" s="2" t="str">
        <f>INDEX(Sheet5!$B$2:$AG$33, MATCH(Table2[[#This Row],[AwayTeam]],Sheet5!$A$2:$A$33, 0), MATCH(Table2[[#This Row],[HomeTeam]],Sheet5!$A$2:$A$33, 0))</f>
        <v>0-0-0</v>
      </c>
      <c r="AP1086" s="2" t="str">
        <f>INDEX(Sheet5!$B$2:$AG$33, MATCH(Table2[[#This Row],[HomeTeam]],Sheet5!$A$2:$A$33, 0), MATCH(Table2[[#This Row],[AwayTeam]],Sheet5!$A$2:$A$33, 0))</f>
        <v>0-0-0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/>
      <c r="AV1086" s="2"/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45">
        <f>IF(AND(Table2[[#This Row],[GameIsOver]]=1,Table2[[#This Row],[ActualHomeScore]]*Table2[[#This Row],[ActualAwayScore]]=0), 1,0)</f>
        <v>0</v>
      </c>
      <c r="AA10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7" s="2" t="str">
        <f>INDEX(Sheet5!$B$2:$AG$33, MATCH(Table2[[#This Row],[AwayTeam]],Sheet5!$A$2:$A$33, 0), MATCH(Table2[[#This Row],[HomeTeam]],Sheet5!$A$2:$A$33, 0))</f>
        <v>0-0-0</v>
      </c>
      <c r="AP1087" s="2" t="str">
        <f>INDEX(Sheet5!$B$2:$AG$33, MATCH(Table2[[#This Row],[HomeTeam]],Sheet5!$A$2:$A$33, 0), MATCH(Table2[[#This Row],[AwayTeam]],Sheet5!$A$2:$A$33, 0))</f>
        <v>0-0-0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/>
      <c r="AV1087" s="2"/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45">
        <f>IF(AND(Table2[[#This Row],[GameIsOver]]=1,Table2[[#This Row],[ActualHomeScore]]*Table2[[#This Row],[ActualAwayScore]]=0), 1,0)</f>
        <v>0</v>
      </c>
      <c r="AA10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/>
      <c r="AV1088" s="2"/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45">
        <f>IF(AND(Table2[[#This Row],[GameIsOver]]=1,Table2[[#This Row],[ActualHomeScore]]*Table2[[#This Row],[ActualAwayScore]]=0), 1,0)</f>
        <v>0</v>
      </c>
      <c r="AA10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/>
      <c r="AV1089" s="2"/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45">
        <f>IF(AND(Table2[[#This Row],[GameIsOver]]=1,Table2[[#This Row],[ActualHomeScore]]*Table2[[#This Row],[ActualAwayScore]]=0), 1,0)</f>
        <v>0</v>
      </c>
      <c r="AA10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/>
      <c r="AV1090" s="2"/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45">
        <f>IF(AND(Table2[[#This Row],[GameIsOver]]=1,Table2[[#This Row],[ActualHomeScore]]*Table2[[#This Row],[ActualAwayScore]]=0), 1,0)</f>
        <v>0</v>
      </c>
      <c r="AA10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/>
      <c r="AV1091" s="2"/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45">
        <f>IF(AND(Table2[[#This Row],[GameIsOver]]=1,Table2[[#This Row],[ActualHomeScore]]*Table2[[#This Row],[ActualAwayScore]]=0), 1,0)</f>
        <v>0</v>
      </c>
      <c r="AA10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/>
      <c r="AV1092" s="2"/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45">
        <f>IF(AND(Table2[[#This Row],[GameIsOver]]=1,Table2[[#This Row],[ActualHomeScore]]*Table2[[#This Row],[ActualAwayScore]]=0), 1,0)</f>
        <v>0</v>
      </c>
      <c r="AA10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/>
      <c r="AV1093" s="2"/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45">
        <f>IF(AND(Table2[[#This Row],[GameIsOver]]=1,Table2[[#This Row],[ActualHomeScore]]*Table2[[#This Row],[ActualAwayScore]]=0), 1,0)</f>
        <v>0</v>
      </c>
      <c r="AA10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/>
      <c r="AV1094" s="2"/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45">
        <f>IF(AND(Table2[[#This Row],[GameIsOver]]=1,Table2[[#This Row],[ActualHomeScore]]*Table2[[#This Row],[ActualAwayScore]]=0), 1,0)</f>
        <v>0</v>
      </c>
      <c r="AA10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/>
      <c r="AV1095" s="2"/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45">
        <f>IF(AND(Table2[[#This Row],[GameIsOver]]=1,Table2[[#This Row],[ActualHomeScore]]*Table2[[#This Row],[ActualAwayScore]]=0), 1,0)</f>
        <v>0</v>
      </c>
      <c r="AA10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/>
      <c r="AV1096" s="2"/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45">
        <f>IF(AND(Table2[[#This Row],[GameIsOver]]=1,Table2[[#This Row],[ActualHomeScore]]*Table2[[#This Row],[ActualAwayScore]]=0), 1,0)</f>
        <v>0</v>
      </c>
      <c r="AA10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/>
      <c r="AV1097" s="2"/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45">
        <f>IF(AND(Table2[[#This Row],[GameIsOver]]=1,Table2[[#This Row],[ActualHomeScore]]*Table2[[#This Row],[ActualAwayScore]]=0), 1,0)</f>
        <v>0</v>
      </c>
      <c r="AA10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/>
      <c r="AV1098" s="2"/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45">
        <f>IF(AND(Table2[[#This Row],[GameIsOver]]=1,Table2[[#This Row],[ActualHomeScore]]*Table2[[#This Row],[ActualAwayScore]]=0), 1,0)</f>
        <v>0</v>
      </c>
      <c r="AA10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/>
      <c r="AV1099" s="2"/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45">
        <f>IF(AND(Table2[[#This Row],[GameIsOver]]=1,Table2[[#This Row],[ActualHomeScore]]*Table2[[#This Row],[ActualAwayScore]]=0), 1,0)</f>
        <v>0</v>
      </c>
      <c r="AA1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/>
      <c r="AV1100" s="2"/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45">
        <f>IF(AND(Table2[[#This Row],[GameIsOver]]=1,Table2[[#This Row],[ActualHomeScore]]*Table2[[#This Row],[ActualAwayScore]]=0), 1,0)</f>
        <v>0</v>
      </c>
      <c r="AA1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/>
      <c r="AV1101" s="2"/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45">
        <f>IF(AND(Table2[[#This Row],[GameIsOver]]=1,Table2[[#This Row],[ActualHomeScore]]*Table2[[#This Row],[ActualAwayScore]]=0), 1,0)</f>
        <v>0</v>
      </c>
      <c r="AA1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/>
      <c r="AV1102" s="2"/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45">
        <f>IF(AND(Table2[[#This Row],[GameIsOver]]=1,Table2[[#This Row],[ActualHomeScore]]*Table2[[#This Row],[ActualAwayScore]]=0), 1,0)</f>
        <v>0</v>
      </c>
      <c r="AA1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3" s="2" t="str">
        <f>INDEX(Sheet5!$B$2:$AG$33, MATCH(Table2[[#This Row],[AwayTeam]],Sheet5!$A$2:$A$33, 0), MATCH(Table2[[#This Row],[HomeTeam]],Sheet5!$A$2:$A$33, 0))</f>
        <v>0-0-0</v>
      </c>
      <c r="AP1103" s="2" t="str">
        <f>INDEX(Sheet5!$B$2:$AG$33, MATCH(Table2[[#This Row],[HomeTeam]],Sheet5!$A$2:$A$33, 0), MATCH(Table2[[#This Row],[AwayTeam]],Sheet5!$A$2:$A$33, 0))</f>
        <v>0-0-0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/>
      <c r="AV1103" s="2"/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45">
        <f>IF(AND(Table2[[#This Row],[GameIsOver]]=1,Table2[[#This Row],[ActualHomeScore]]*Table2[[#This Row],[ActualAwayScore]]=0), 1,0)</f>
        <v>0</v>
      </c>
      <c r="AA1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/>
      <c r="AV1104" s="2"/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45">
        <f>IF(AND(Table2[[#This Row],[GameIsOver]]=1,Table2[[#This Row],[ActualHomeScore]]*Table2[[#This Row],[ActualAwayScore]]=0), 1,0)</f>
        <v>0</v>
      </c>
      <c r="AA1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/>
      <c r="AV1105" s="2"/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45">
        <f>IF(AND(Table2[[#This Row],[GameIsOver]]=1,Table2[[#This Row],[ActualHomeScore]]*Table2[[#This Row],[ActualAwayScore]]=0), 1,0)</f>
        <v>0</v>
      </c>
      <c r="AA1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/>
      <c r="AV1106" s="2"/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45">
        <f>IF(AND(Table2[[#This Row],[GameIsOver]]=1,Table2[[#This Row],[ActualHomeScore]]*Table2[[#This Row],[ActualAwayScore]]=0), 1,0)</f>
        <v>0</v>
      </c>
      <c r="AA1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/>
      <c r="AV1107" s="2"/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45">
        <f>IF(AND(Table2[[#This Row],[GameIsOver]]=1,Table2[[#This Row],[ActualHomeScore]]*Table2[[#This Row],[ActualAwayScore]]=0), 1,0)</f>
        <v>0</v>
      </c>
      <c r="AA1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/>
      <c r="AV1108" s="2"/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45">
        <f>IF(AND(Table2[[#This Row],[GameIsOver]]=1,Table2[[#This Row],[ActualHomeScore]]*Table2[[#This Row],[ActualAwayScore]]=0), 1,0)</f>
        <v>0</v>
      </c>
      <c r="AA1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9" s="2" t="str">
        <f>INDEX(Sheet5!$B$2:$AG$33, MATCH(Table2[[#This Row],[AwayTeam]],Sheet5!$A$2:$A$33, 0), MATCH(Table2[[#This Row],[HomeTeam]],Sheet5!$A$2:$A$33, 0))</f>
        <v>0-0-0</v>
      </c>
      <c r="AP1109" s="2" t="str">
        <f>INDEX(Sheet5!$B$2:$AG$33, MATCH(Table2[[#This Row],[HomeTeam]],Sheet5!$A$2:$A$33, 0), MATCH(Table2[[#This Row],[AwayTeam]],Sheet5!$A$2:$A$33, 0))</f>
        <v>0-0-0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/>
      <c r="AV1109" s="2"/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45">
        <f>IF(AND(Table2[[#This Row],[GameIsOver]]=1,Table2[[#This Row],[ActualHomeScore]]*Table2[[#This Row],[ActualAwayScore]]=0), 1,0)</f>
        <v>0</v>
      </c>
      <c r="AA1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/>
      <c r="AV1110" s="2"/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45">
        <f>IF(AND(Table2[[#This Row],[GameIsOver]]=1,Table2[[#This Row],[ActualHomeScore]]*Table2[[#This Row],[ActualAwayScore]]=0), 1,0)</f>
        <v>0</v>
      </c>
      <c r="AA1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/>
      <c r="AV1111" s="2"/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45">
        <f>IF(AND(Table2[[#This Row],[GameIsOver]]=1,Table2[[#This Row],[ActualHomeScore]]*Table2[[#This Row],[ActualAwayScore]]=0), 1,0)</f>
        <v>0</v>
      </c>
      <c r="AA1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/>
      <c r="AV1112" s="2"/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45">
        <f>IF(AND(Table2[[#This Row],[GameIsOver]]=1,Table2[[#This Row],[ActualHomeScore]]*Table2[[#This Row],[ActualAwayScore]]=0), 1,0)</f>
        <v>0</v>
      </c>
      <c r="AA1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/>
      <c r="AV1113" s="2"/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45">
        <f>IF(AND(Table2[[#This Row],[GameIsOver]]=1,Table2[[#This Row],[ActualHomeScore]]*Table2[[#This Row],[ActualAwayScore]]=0), 1,0)</f>
        <v>0</v>
      </c>
      <c r="AA1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/>
      <c r="AV1114" s="2"/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45">
        <f>IF(AND(Table2[[#This Row],[GameIsOver]]=1,Table2[[#This Row],[ActualHomeScore]]*Table2[[#This Row],[ActualAwayScore]]=0), 1,0)</f>
        <v>0</v>
      </c>
      <c r="AA1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/>
      <c r="AV1115" s="2"/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45">
        <f>IF(AND(Table2[[#This Row],[GameIsOver]]=1,Table2[[#This Row],[ActualHomeScore]]*Table2[[#This Row],[ActualAwayScore]]=0), 1,0)</f>
        <v>0</v>
      </c>
      <c r="AA1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/>
      <c r="AV1116" s="2"/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45">
        <f>IF(AND(Table2[[#This Row],[GameIsOver]]=1,Table2[[#This Row],[ActualHomeScore]]*Table2[[#This Row],[ActualAwayScore]]=0), 1,0)</f>
        <v>0</v>
      </c>
      <c r="AA1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/>
      <c r="AV1117" s="2"/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45">
        <f>IF(AND(Table2[[#This Row],[GameIsOver]]=1,Table2[[#This Row],[ActualHomeScore]]*Table2[[#This Row],[ActualAwayScore]]=0), 1,0)</f>
        <v>0</v>
      </c>
      <c r="AA1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/>
      <c r="AV1118" s="2"/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45">
        <f>IF(AND(Table2[[#This Row],[GameIsOver]]=1,Table2[[#This Row],[ActualHomeScore]]*Table2[[#This Row],[ActualAwayScore]]=0), 1,0)</f>
        <v>0</v>
      </c>
      <c r="AA1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/>
      <c r="AV1119" s="2"/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45">
        <f>IF(AND(Table2[[#This Row],[GameIsOver]]=1,Table2[[#This Row],[ActualHomeScore]]*Table2[[#This Row],[ActualAwayScore]]=0), 1,0)</f>
        <v>0</v>
      </c>
      <c r="AA1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/>
      <c r="AV1120" s="2"/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45">
        <f>IF(AND(Table2[[#This Row],[GameIsOver]]=1,Table2[[#This Row],[ActualHomeScore]]*Table2[[#This Row],[ActualAwayScore]]=0), 1,0)</f>
        <v>0</v>
      </c>
      <c r="AA1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/>
      <c r="AV1121" s="2"/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45">
        <f>IF(AND(Table2[[#This Row],[GameIsOver]]=1,Table2[[#This Row],[ActualHomeScore]]*Table2[[#This Row],[ActualAwayScore]]=0), 1,0)</f>
        <v>0</v>
      </c>
      <c r="AA1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/>
      <c r="AV1122" s="2"/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45">
        <f>IF(AND(Table2[[#This Row],[GameIsOver]]=1,Table2[[#This Row],[ActualHomeScore]]*Table2[[#This Row],[ActualAwayScore]]=0), 1,0)</f>
        <v>0</v>
      </c>
      <c r="AA1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/>
      <c r="AV1123" s="2"/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45">
        <f>IF(AND(Table2[[#This Row],[GameIsOver]]=1,Table2[[#This Row],[ActualHomeScore]]*Table2[[#This Row],[ActualAwayScore]]=0), 1,0)</f>
        <v>0</v>
      </c>
      <c r="AA1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/>
      <c r="AV1124" s="2"/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45">
        <f>IF(AND(Table2[[#This Row],[GameIsOver]]=1,Table2[[#This Row],[ActualHomeScore]]*Table2[[#This Row],[ActualAwayScore]]=0), 1,0)</f>
        <v>0</v>
      </c>
      <c r="AA1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/>
      <c r="AV1125" s="2"/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45">
        <f>IF(AND(Table2[[#This Row],[GameIsOver]]=1,Table2[[#This Row],[ActualHomeScore]]*Table2[[#This Row],[ActualAwayScore]]=0), 1,0)</f>
        <v>0</v>
      </c>
      <c r="AA1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/>
      <c r="AV1126" s="2"/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45">
        <f>IF(AND(Table2[[#This Row],[GameIsOver]]=1,Table2[[#This Row],[ActualHomeScore]]*Table2[[#This Row],[ActualAwayScore]]=0), 1,0)</f>
        <v>0</v>
      </c>
      <c r="AA1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/>
      <c r="AV1127" s="2"/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45">
        <f>IF(AND(Table2[[#This Row],[GameIsOver]]=1,Table2[[#This Row],[ActualHomeScore]]*Table2[[#This Row],[ActualAwayScore]]=0), 1,0)</f>
        <v>0</v>
      </c>
      <c r="AA1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/>
      <c r="AV1128" s="2"/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45">
        <f>IF(AND(Table2[[#This Row],[GameIsOver]]=1,Table2[[#This Row],[ActualHomeScore]]*Table2[[#This Row],[ActualAwayScore]]=0), 1,0)</f>
        <v>0</v>
      </c>
      <c r="AA1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/>
      <c r="AV1129" s="2"/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45">
        <f>IF(AND(Table2[[#This Row],[GameIsOver]]=1,Table2[[#This Row],[ActualHomeScore]]*Table2[[#This Row],[ActualAwayScore]]=0), 1,0)</f>
        <v>0</v>
      </c>
      <c r="AA1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/>
      <c r="AV1130" s="2"/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45">
        <f>IF(AND(Table2[[#This Row],[GameIsOver]]=1,Table2[[#This Row],[ActualHomeScore]]*Table2[[#This Row],[ActualAwayScore]]=0), 1,0)</f>
        <v>0</v>
      </c>
      <c r="AA1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/>
      <c r="AV1131" s="2"/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45">
        <f>IF(AND(Table2[[#This Row],[GameIsOver]]=1,Table2[[#This Row],[ActualHomeScore]]*Table2[[#This Row],[ActualAwayScore]]=0), 1,0)</f>
        <v>0</v>
      </c>
      <c r="AA1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/>
      <c r="AV1132" s="2"/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45">
        <f>IF(AND(Table2[[#This Row],[GameIsOver]]=1,Table2[[#This Row],[ActualHomeScore]]*Table2[[#This Row],[ActualAwayScore]]=0), 1,0)</f>
        <v>0</v>
      </c>
      <c r="AA1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/>
      <c r="AV1133" s="2"/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45">
        <f>IF(AND(Table2[[#This Row],[GameIsOver]]=1,Table2[[#This Row],[ActualHomeScore]]*Table2[[#This Row],[ActualAwayScore]]=0), 1,0)</f>
        <v>0</v>
      </c>
      <c r="AA1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4" s="2" t="str">
        <f>INDEX(Sheet5!$B$2:$AG$33, MATCH(Table2[[#This Row],[AwayTeam]],Sheet5!$A$2:$A$33, 0), MATCH(Table2[[#This Row],[HomeTeam]],Sheet5!$A$2:$A$33, 0))</f>
        <v>0-0-0</v>
      </c>
      <c r="AP1134" s="2" t="str">
        <f>INDEX(Sheet5!$B$2:$AG$33, MATCH(Table2[[#This Row],[HomeTeam]],Sheet5!$A$2:$A$33, 0), MATCH(Table2[[#This Row],[AwayTeam]],Sheet5!$A$2:$A$33, 0))</f>
        <v>0-0-0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/>
      <c r="AV1134" s="2"/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45">
        <f>IF(AND(Table2[[#This Row],[GameIsOver]]=1,Table2[[#This Row],[ActualHomeScore]]*Table2[[#This Row],[ActualAwayScore]]=0), 1,0)</f>
        <v>0</v>
      </c>
      <c r="AA1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/>
      <c r="AV1135" s="2"/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45">
        <f>IF(AND(Table2[[#This Row],[GameIsOver]]=1,Table2[[#This Row],[ActualHomeScore]]*Table2[[#This Row],[ActualAwayScore]]=0), 1,0)</f>
        <v>0</v>
      </c>
      <c r="AA1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/>
      <c r="AV1136" s="2"/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45">
        <f>IF(AND(Table2[[#This Row],[GameIsOver]]=1,Table2[[#This Row],[ActualHomeScore]]*Table2[[#This Row],[ActualAwayScore]]=0), 1,0)</f>
        <v>0</v>
      </c>
      <c r="AA1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7" s="2" t="str">
        <f>INDEX(Sheet5!$B$2:$AG$33, MATCH(Table2[[#This Row],[AwayTeam]],Sheet5!$A$2:$A$33, 0), MATCH(Table2[[#This Row],[HomeTeam]],Sheet5!$A$2:$A$33, 0))</f>
        <v>0-0-0</v>
      </c>
      <c r="AP1137" s="2" t="str">
        <f>INDEX(Sheet5!$B$2:$AG$33, MATCH(Table2[[#This Row],[HomeTeam]],Sheet5!$A$2:$A$33, 0), MATCH(Table2[[#This Row],[AwayTeam]],Sheet5!$A$2:$A$33, 0))</f>
        <v>0-0-0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/>
      <c r="AV1137" s="2"/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45">
        <f>IF(AND(Table2[[#This Row],[GameIsOver]]=1,Table2[[#This Row],[ActualHomeScore]]*Table2[[#This Row],[ActualAwayScore]]=0), 1,0)</f>
        <v>0</v>
      </c>
      <c r="AA1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8" s="2" t="str">
        <f>INDEX(Sheet5!$B$2:$AG$33, MATCH(Table2[[#This Row],[AwayTeam]],Sheet5!$A$2:$A$33, 0), MATCH(Table2[[#This Row],[HomeTeam]],Sheet5!$A$2:$A$33, 0))</f>
        <v>0-0-0</v>
      </c>
      <c r="AP1138" s="2" t="str">
        <f>INDEX(Sheet5!$B$2:$AG$33, MATCH(Table2[[#This Row],[HomeTeam]],Sheet5!$A$2:$A$33, 0), MATCH(Table2[[#This Row],[AwayTeam]],Sheet5!$A$2:$A$33, 0))</f>
        <v>0-0-0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/>
      <c r="AV1138" s="2"/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45">
        <f>IF(AND(Table2[[#This Row],[GameIsOver]]=1,Table2[[#This Row],[ActualHomeScore]]*Table2[[#This Row],[ActualAwayScore]]=0), 1,0)</f>
        <v>0</v>
      </c>
      <c r="AA1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/>
      <c r="AV1139" s="2"/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45">
        <f>IF(AND(Table2[[#This Row],[GameIsOver]]=1,Table2[[#This Row],[ActualHomeScore]]*Table2[[#This Row],[ActualAwayScore]]=0), 1,0)</f>
        <v>0</v>
      </c>
      <c r="AA1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/>
      <c r="AV1140" s="2"/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45">
        <f>IF(AND(Table2[[#This Row],[GameIsOver]]=1,Table2[[#This Row],[ActualHomeScore]]*Table2[[#This Row],[ActualAwayScore]]=0), 1,0)</f>
        <v>0</v>
      </c>
      <c r="AA1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/>
      <c r="AV1141" s="2"/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45">
        <f>IF(AND(Table2[[#This Row],[GameIsOver]]=1,Table2[[#This Row],[ActualHomeScore]]*Table2[[#This Row],[ActualAwayScore]]=0), 1,0)</f>
        <v>0</v>
      </c>
      <c r="AA1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/>
      <c r="AV1142" s="2"/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45">
        <f>IF(AND(Table2[[#This Row],[GameIsOver]]=1,Table2[[#This Row],[ActualHomeScore]]*Table2[[#This Row],[ActualAwayScore]]=0), 1,0)</f>
        <v>0</v>
      </c>
      <c r="AA1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/>
      <c r="AV1143" s="2"/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45">
        <f>IF(AND(Table2[[#This Row],[GameIsOver]]=1,Table2[[#This Row],[ActualHomeScore]]*Table2[[#This Row],[ActualAwayScore]]=0), 1,0)</f>
        <v>0</v>
      </c>
      <c r="AA1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/>
      <c r="AV1144" s="2"/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45">
        <f>IF(AND(Table2[[#This Row],[GameIsOver]]=1,Table2[[#This Row],[ActualHomeScore]]*Table2[[#This Row],[ActualAwayScore]]=0), 1,0)</f>
        <v>0</v>
      </c>
      <c r="AA1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/>
      <c r="AV1145" s="2"/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45">
        <f>IF(AND(Table2[[#This Row],[GameIsOver]]=1,Table2[[#This Row],[ActualHomeScore]]*Table2[[#This Row],[ActualAwayScore]]=0), 1,0)</f>
        <v>0</v>
      </c>
      <c r="AA1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/>
      <c r="AV1146" s="2"/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45">
        <f>IF(AND(Table2[[#This Row],[GameIsOver]]=1,Table2[[#This Row],[ActualHomeScore]]*Table2[[#This Row],[ActualAwayScore]]=0), 1,0)</f>
        <v>0</v>
      </c>
      <c r="AA1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/>
      <c r="AV1147" s="2"/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45">
        <f>IF(AND(Table2[[#This Row],[GameIsOver]]=1,Table2[[#This Row],[ActualHomeScore]]*Table2[[#This Row],[ActualAwayScore]]=0), 1,0)</f>
        <v>0</v>
      </c>
      <c r="AA1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/>
      <c r="AV1148" s="2"/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45">
        <f>IF(AND(Table2[[#This Row],[GameIsOver]]=1,Table2[[#This Row],[ActualHomeScore]]*Table2[[#This Row],[ActualAwayScore]]=0), 1,0)</f>
        <v>0</v>
      </c>
      <c r="AA1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/>
      <c r="AV1149" s="2"/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45">
        <f>IF(AND(Table2[[#This Row],[GameIsOver]]=1,Table2[[#This Row],[ActualHomeScore]]*Table2[[#This Row],[ActualAwayScore]]=0), 1,0)</f>
        <v>0</v>
      </c>
      <c r="AA1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/>
      <c r="AV1150" s="2"/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45">
        <f>IF(AND(Table2[[#This Row],[GameIsOver]]=1,Table2[[#This Row],[ActualHomeScore]]*Table2[[#This Row],[ActualAwayScore]]=0), 1,0)</f>
        <v>0</v>
      </c>
      <c r="AA1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/>
      <c r="AV1151" s="2"/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45">
        <f>IF(AND(Table2[[#This Row],[GameIsOver]]=1,Table2[[#This Row],[ActualHomeScore]]*Table2[[#This Row],[ActualAwayScore]]=0), 1,0)</f>
        <v>0</v>
      </c>
      <c r="AA1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2" s="2" t="str">
        <f>INDEX(Sheet5!$B$2:$AG$33, MATCH(Table2[[#This Row],[AwayTeam]],Sheet5!$A$2:$A$33, 0), MATCH(Table2[[#This Row],[HomeTeam]],Sheet5!$A$2:$A$33, 0))</f>
        <v>0-0-0</v>
      </c>
      <c r="AP1152" s="2" t="str">
        <f>INDEX(Sheet5!$B$2:$AG$33, MATCH(Table2[[#This Row],[HomeTeam]],Sheet5!$A$2:$A$33, 0), MATCH(Table2[[#This Row],[AwayTeam]],Sheet5!$A$2:$A$33, 0))</f>
        <v>0-0-0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/>
      <c r="AV1152" s="2"/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45">
        <f>IF(AND(Table2[[#This Row],[GameIsOver]]=1,Table2[[#This Row],[ActualHomeScore]]*Table2[[#This Row],[ActualAwayScore]]=0), 1,0)</f>
        <v>0</v>
      </c>
      <c r="AA1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/>
      <c r="AV1153" s="2"/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45">
        <f>IF(AND(Table2[[#This Row],[GameIsOver]]=1,Table2[[#This Row],[ActualHomeScore]]*Table2[[#This Row],[ActualAwayScore]]=0), 1,0)</f>
        <v>0</v>
      </c>
      <c r="AA1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4" s="2" t="str">
        <f>INDEX(Sheet5!$B$2:$AG$33, MATCH(Table2[[#This Row],[AwayTeam]],Sheet5!$A$2:$A$33, 0), MATCH(Table2[[#This Row],[HomeTeam]],Sheet5!$A$2:$A$33, 0))</f>
        <v>0-0-0</v>
      </c>
      <c r="AP1154" s="2" t="str">
        <f>INDEX(Sheet5!$B$2:$AG$33, MATCH(Table2[[#This Row],[HomeTeam]],Sheet5!$A$2:$A$33, 0), MATCH(Table2[[#This Row],[AwayTeam]],Sheet5!$A$2:$A$33, 0))</f>
        <v>0-0-0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/>
      <c r="AV1154" s="2"/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45">
        <f>IF(AND(Table2[[#This Row],[GameIsOver]]=1,Table2[[#This Row],[ActualHomeScore]]*Table2[[#This Row],[ActualAwayScore]]=0), 1,0)</f>
        <v>0</v>
      </c>
      <c r="AA1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/>
      <c r="AV1155" s="2"/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45">
        <f>IF(AND(Table2[[#This Row],[GameIsOver]]=1,Table2[[#This Row],[ActualHomeScore]]*Table2[[#This Row],[ActualAwayScore]]=0), 1,0)</f>
        <v>0</v>
      </c>
      <c r="AA1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/>
      <c r="AV1156" s="2"/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45">
        <f>IF(AND(Table2[[#This Row],[GameIsOver]]=1,Table2[[#This Row],[ActualHomeScore]]*Table2[[#This Row],[ActualAwayScore]]=0), 1,0)</f>
        <v>0</v>
      </c>
      <c r="AA1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/>
      <c r="AV1157" s="2"/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45">
        <f>IF(AND(Table2[[#This Row],[GameIsOver]]=1,Table2[[#This Row],[ActualHomeScore]]*Table2[[#This Row],[ActualAwayScore]]=0), 1,0)</f>
        <v>0</v>
      </c>
      <c r="AA1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/>
      <c r="AV1158" s="2"/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45">
        <f>IF(AND(Table2[[#This Row],[GameIsOver]]=1,Table2[[#This Row],[ActualHomeScore]]*Table2[[#This Row],[ActualAwayScore]]=0), 1,0)</f>
        <v>0</v>
      </c>
      <c r="AA1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9" s="2" t="str">
        <f>INDEX(Sheet5!$B$2:$AG$33, MATCH(Table2[[#This Row],[AwayTeam]],Sheet5!$A$2:$A$33, 0), MATCH(Table2[[#This Row],[HomeTeam]],Sheet5!$A$2:$A$33, 0))</f>
        <v>0-0-0</v>
      </c>
      <c r="AP1159" s="2" t="str">
        <f>INDEX(Sheet5!$B$2:$AG$33, MATCH(Table2[[#This Row],[HomeTeam]],Sheet5!$A$2:$A$33, 0), MATCH(Table2[[#This Row],[AwayTeam]],Sheet5!$A$2:$A$33, 0))</f>
        <v>0-0-0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/>
      <c r="AV1159" s="2"/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45">
        <f>IF(AND(Table2[[#This Row],[GameIsOver]]=1,Table2[[#This Row],[ActualHomeScore]]*Table2[[#This Row],[ActualAwayScore]]=0), 1,0)</f>
        <v>0</v>
      </c>
      <c r="AA1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/>
      <c r="AV1160" s="2"/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45">
        <f>IF(AND(Table2[[#This Row],[GameIsOver]]=1,Table2[[#This Row],[ActualHomeScore]]*Table2[[#This Row],[ActualAwayScore]]=0), 1,0)</f>
        <v>0</v>
      </c>
      <c r="AA1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/>
      <c r="AV1161" s="2"/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45">
        <f>IF(AND(Table2[[#This Row],[GameIsOver]]=1,Table2[[#This Row],[ActualHomeScore]]*Table2[[#This Row],[ActualAwayScore]]=0), 1,0)</f>
        <v>0</v>
      </c>
      <c r="AA1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/>
      <c r="AV1162" s="2"/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45">
        <f>IF(AND(Table2[[#This Row],[GameIsOver]]=1,Table2[[#This Row],[ActualHomeScore]]*Table2[[#This Row],[ActualAwayScore]]=0), 1,0)</f>
        <v>0</v>
      </c>
      <c r="AA1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3" s="2" t="str">
        <f>INDEX(Sheet5!$B$2:$AG$33, MATCH(Table2[[#This Row],[AwayTeam]],Sheet5!$A$2:$A$33, 0), MATCH(Table2[[#This Row],[HomeTeam]],Sheet5!$A$2:$A$33, 0))</f>
        <v>0-0-0</v>
      </c>
      <c r="AP1163" s="2" t="str">
        <f>INDEX(Sheet5!$B$2:$AG$33, MATCH(Table2[[#This Row],[HomeTeam]],Sheet5!$A$2:$A$33, 0), MATCH(Table2[[#This Row],[AwayTeam]],Sheet5!$A$2:$A$33, 0))</f>
        <v>0-0-0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/>
      <c r="AV1163" s="2"/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45">
        <f>IF(AND(Table2[[#This Row],[GameIsOver]]=1,Table2[[#This Row],[ActualHomeScore]]*Table2[[#This Row],[ActualAwayScore]]=0), 1,0)</f>
        <v>0</v>
      </c>
      <c r="AA1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/>
      <c r="AV1164" s="2"/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45">
        <f>IF(AND(Table2[[#This Row],[GameIsOver]]=1,Table2[[#This Row],[ActualHomeScore]]*Table2[[#This Row],[ActualAwayScore]]=0), 1,0)</f>
        <v>0</v>
      </c>
      <c r="AA1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/>
      <c r="AV1165" s="2"/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45">
        <f>IF(AND(Table2[[#This Row],[GameIsOver]]=1,Table2[[#This Row],[ActualHomeScore]]*Table2[[#This Row],[ActualAwayScore]]=0), 1,0)</f>
        <v>0</v>
      </c>
      <c r="AA1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/>
      <c r="AV1166" s="2"/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45">
        <f>IF(AND(Table2[[#This Row],[GameIsOver]]=1,Table2[[#This Row],[ActualHomeScore]]*Table2[[#This Row],[ActualAwayScore]]=0), 1,0)</f>
        <v>0</v>
      </c>
      <c r="AA1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67" s="2" t="str">
        <f>INDEX(Sheet5!$B$2:$AG$33, MATCH(Table2[[#This Row],[AwayTeam]],Sheet5!$A$2:$A$33, 0), MATCH(Table2[[#This Row],[HomeTeam]],Sheet5!$A$2:$A$33, 0))</f>
        <v>0-0-0</v>
      </c>
      <c r="AP1167" s="2" t="str">
        <f>INDEX(Sheet5!$B$2:$AG$33, MATCH(Table2[[#This Row],[HomeTeam]],Sheet5!$A$2:$A$33, 0), MATCH(Table2[[#This Row],[AwayTeam]],Sheet5!$A$2:$A$33, 0))</f>
        <v>0-0-0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/>
      <c r="AV1167" s="2"/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45">
        <f>IF(AND(Table2[[#This Row],[GameIsOver]]=1,Table2[[#This Row],[ActualHomeScore]]*Table2[[#This Row],[ActualAwayScore]]=0), 1,0)</f>
        <v>0</v>
      </c>
      <c r="AA1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/>
      <c r="AV1168" s="2"/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45">
        <f>IF(AND(Table2[[#This Row],[GameIsOver]]=1,Table2[[#This Row],[ActualHomeScore]]*Table2[[#This Row],[ActualAwayScore]]=0), 1,0)</f>
        <v>0</v>
      </c>
      <c r="AA1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/>
      <c r="AV1169" s="2"/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45">
        <f>IF(AND(Table2[[#This Row],[GameIsOver]]=1,Table2[[#This Row],[ActualHomeScore]]*Table2[[#This Row],[ActualAwayScore]]=0), 1,0)</f>
        <v>0</v>
      </c>
      <c r="AA1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0" s="2" t="str">
        <f>INDEX(Sheet5!$B$2:$AG$33, MATCH(Table2[[#This Row],[AwayTeam]],Sheet5!$A$2:$A$33, 0), MATCH(Table2[[#This Row],[HomeTeam]],Sheet5!$A$2:$A$33, 0))</f>
        <v>0-0-0</v>
      </c>
      <c r="AP1170" s="2" t="str">
        <f>INDEX(Sheet5!$B$2:$AG$33, MATCH(Table2[[#This Row],[HomeTeam]],Sheet5!$A$2:$A$33, 0), MATCH(Table2[[#This Row],[AwayTeam]],Sheet5!$A$2:$A$33, 0))</f>
        <v>0-0-0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/>
      <c r="AV1170" s="2"/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45">
        <f>IF(AND(Table2[[#This Row],[GameIsOver]]=1,Table2[[#This Row],[ActualHomeScore]]*Table2[[#This Row],[ActualAwayScore]]=0), 1,0)</f>
        <v>0</v>
      </c>
      <c r="AA1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/>
      <c r="AV1171" s="2"/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45">
        <f>IF(AND(Table2[[#This Row],[GameIsOver]]=1,Table2[[#This Row],[ActualHomeScore]]*Table2[[#This Row],[ActualAwayScore]]=0), 1,0)</f>
        <v>0</v>
      </c>
      <c r="AA1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/>
      <c r="AV1172" s="2"/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45">
        <f>IF(AND(Table2[[#This Row],[GameIsOver]]=1,Table2[[#This Row],[ActualHomeScore]]*Table2[[#This Row],[ActualAwayScore]]=0), 1,0)</f>
        <v>0</v>
      </c>
      <c r="AA1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/>
      <c r="AV1173" s="2"/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45">
        <f>IF(AND(Table2[[#This Row],[GameIsOver]]=1,Table2[[#This Row],[ActualHomeScore]]*Table2[[#This Row],[ActualAwayScore]]=0), 1,0)</f>
        <v>0</v>
      </c>
      <c r="AA1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/>
      <c r="AV1174" s="2"/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45">
        <f>IF(AND(Table2[[#This Row],[GameIsOver]]=1,Table2[[#This Row],[ActualHomeScore]]*Table2[[#This Row],[ActualAwayScore]]=0), 1,0)</f>
        <v>0</v>
      </c>
      <c r="AA1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5" s="2" t="str">
        <f>INDEX(Sheet5!$B$2:$AG$33, MATCH(Table2[[#This Row],[AwayTeam]],Sheet5!$A$2:$A$33, 0), MATCH(Table2[[#This Row],[HomeTeam]],Sheet5!$A$2:$A$33, 0))</f>
        <v>0-0-0</v>
      </c>
      <c r="AP1175" s="2" t="str">
        <f>INDEX(Sheet5!$B$2:$AG$33, MATCH(Table2[[#This Row],[HomeTeam]],Sheet5!$A$2:$A$33, 0), MATCH(Table2[[#This Row],[AwayTeam]],Sheet5!$A$2:$A$33, 0))</f>
        <v>0-0-0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/>
      <c r="AV1175" s="2"/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45">
        <f>IF(AND(Table2[[#This Row],[GameIsOver]]=1,Table2[[#This Row],[ActualHomeScore]]*Table2[[#This Row],[ActualAwayScore]]=0), 1,0)</f>
        <v>0</v>
      </c>
      <c r="AA1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/>
      <c r="AV1176" s="2"/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45">
        <f>IF(AND(Table2[[#This Row],[GameIsOver]]=1,Table2[[#This Row],[ActualHomeScore]]*Table2[[#This Row],[ActualAwayScore]]=0), 1,0)</f>
        <v>0</v>
      </c>
      <c r="AA1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/>
      <c r="AV1177" s="2"/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45">
        <f>IF(AND(Table2[[#This Row],[GameIsOver]]=1,Table2[[#This Row],[ActualHomeScore]]*Table2[[#This Row],[ActualAwayScore]]=0), 1,0)</f>
        <v>0</v>
      </c>
      <c r="AA1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/>
      <c r="AV1178" s="2"/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45">
        <f>IF(AND(Table2[[#This Row],[GameIsOver]]=1,Table2[[#This Row],[ActualHomeScore]]*Table2[[#This Row],[ActualAwayScore]]=0), 1,0)</f>
        <v>0</v>
      </c>
      <c r="AA1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/>
      <c r="AV1179" s="2"/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45">
        <f>IF(AND(Table2[[#This Row],[GameIsOver]]=1,Table2[[#This Row],[ActualHomeScore]]*Table2[[#This Row],[ActualAwayScore]]=0), 1,0)</f>
        <v>0</v>
      </c>
      <c r="AA1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/>
      <c r="AV1180" s="2"/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45">
        <f>IF(AND(Table2[[#This Row],[GameIsOver]]=1,Table2[[#This Row],[ActualHomeScore]]*Table2[[#This Row],[ActualAwayScore]]=0), 1,0)</f>
        <v>0</v>
      </c>
      <c r="AA1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/>
      <c r="AV1181" s="2"/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45">
        <f>IF(AND(Table2[[#This Row],[GameIsOver]]=1,Table2[[#This Row],[ActualHomeScore]]*Table2[[#This Row],[ActualAwayScore]]=0), 1,0)</f>
        <v>0</v>
      </c>
      <c r="AA1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/>
      <c r="AV1182" s="2"/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45">
        <f>IF(AND(Table2[[#This Row],[GameIsOver]]=1,Table2[[#This Row],[ActualHomeScore]]*Table2[[#This Row],[ActualAwayScore]]=0), 1,0)</f>
        <v>0</v>
      </c>
      <c r="AA1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3" s="2" t="str">
        <f>INDEX(Sheet5!$B$2:$AG$33, MATCH(Table2[[#This Row],[AwayTeam]],Sheet5!$A$2:$A$33, 0), MATCH(Table2[[#This Row],[HomeTeam]],Sheet5!$A$2:$A$33, 0))</f>
        <v>0-0-0</v>
      </c>
      <c r="AP1183" s="2" t="str">
        <f>INDEX(Sheet5!$B$2:$AG$33, MATCH(Table2[[#This Row],[HomeTeam]],Sheet5!$A$2:$A$33, 0), MATCH(Table2[[#This Row],[AwayTeam]],Sheet5!$A$2:$A$33, 0))</f>
        <v>0-0-0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/>
      <c r="AV1183" s="2"/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45">
        <f>IF(AND(Table2[[#This Row],[GameIsOver]]=1,Table2[[#This Row],[ActualHomeScore]]*Table2[[#This Row],[ActualAwayScore]]=0), 1,0)</f>
        <v>0</v>
      </c>
      <c r="AA1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/>
      <c r="AV1184" s="2"/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45">
        <f>IF(AND(Table2[[#This Row],[GameIsOver]]=1,Table2[[#This Row],[ActualHomeScore]]*Table2[[#This Row],[ActualAwayScore]]=0), 1,0)</f>
        <v>0</v>
      </c>
      <c r="AA1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/>
      <c r="AV1185" s="2"/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45">
        <f>IF(AND(Table2[[#This Row],[GameIsOver]]=1,Table2[[#This Row],[ActualHomeScore]]*Table2[[#This Row],[ActualAwayScore]]=0), 1,0)</f>
        <v>0</v>
      </c>
      <c r="AA1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/>
      <c r="AV1186" s="2"/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45">
        <f>IF(AND(Table2[[#This Row],[GameIsOver]]=1,Table2[[#This Row],[ActualHomeScore]]*Table2[[#This Row],[ActualAwayScore]]=0), 1,0)</f>
        <v>0</v>
      </c>
      <c r="AA1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/>
      <c r="AV1187" s="2"/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45">
        <f>IF(AND(Table2[[#This Row],[GameIsOver]]=1,Table2[[#This Row],[ActualHomeScore]]*Table2[[#This Row],[ActualAwayScore]]=0), 1,0)</f>
        <v>0</v>
      </c>
      <c r="AA1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/>
      <c r="AV1188" s="2"/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45">
        <f>IF(AND(Table2[[#This Row],[GameIsOver]]=1,Table2[[#This Row],[ActualHomeScore]]*Table2[[#This Row],[ActualAwayScore]]=0), 1,0)</f>
        <v>0</v>
      </c>
      <c r="AA1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9" s="2" t="str">
        <f>INDEX(Sheet5!$B$2:$AG$33, MATCH(Table2[[#This Row],[AwayTeam]],Sheet5!$A$2:$A$33, 0), MATCH(Table2[[#This Row],[HomeTeam]],Sheet5!$A$2:$A$33, 0))</f>
        <v>0-0-0</v>
      </c>
      <c r="AP1189" s="2" t="str">
        <f>INDEX(Sheet5!$B$2:$AG$33, MATCH(Table2[[#This Row],[HomeTeam]],Sheet5!$A$2:$A$33, 0), MATCH(Table2[[#This Row],[AwayTeam]],Sheet5!$A$2:$A$33, 0))</f>
        <v>0-0-0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/>
      <c r="AV1189" s="2"/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45">
        <f>IF(AND(Table2[[#This Row],[GameIsOver]]=1,Table2[[#This Row],[ActualHomeScore]]*Table2[[#This Row],[ActualAwayScore]]=0), 1,0)</f>
        <v>0</v>
      </c>
      <c r="AA1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/>
      <c r="AV1190" s="2"/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45">
        <f>IF(AND(Table2[[#This Row],[GameIsOver]]=1,Table2[[#This Row],[ActualHomeScore]]*Table2[[#This Row],[ActualAwayScore]]=0), 1,0)</f>
        <v>0</v>
      </c>
      <c r="AA1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1" s="2" t="str">
        <f>INDEX(Sheet5!$B$2:$AG$33, MATCH(Table2[[#This Row],[AwayTeam]],Sheet5!$A$2:$A$33, 0), MATCH(Table2[[#This Row],[HomeTeam]],Sheet5!$A$2:$A$33, 0))</f>
        <v>0-0-0</v>
      </c>
      <c r="AP1191" s="2" t="str">
        <f>INDEX(Sheet5!$B$2:$AG$33, MATCH(Table2[[#This Row],[HomeTeam]],Sheet5!$A$2:$A$33, 0), MATCH(Table2[[#This Row],[AwayTeam]],Sheet5!$A$2:$A$33, 0))</f>
        <v>0-0-0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/>
      <c r="AV1191" s="2"/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45">
        <f>IF(AND(Table2[[#This Row],[GameIsOver]]=1,Table2[[#This Row],[ActualHomeScore]]*Table2[[#This Row],[ActualAwayScore]]=0), 1,0)</f>
        <v>0</v>
      </c>
      <c r="AA1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2" s="2" t="str">
        <f>INDEX(Sheet5!$B$2:$AG$33, MATCH(Table2[[#This Row],[AwayTeam]],Sheet5!$A$2:$A$33, 0), MATCH(Table2[[#This Row],[HomeTeam]],Sheet5!$A$2:$A$33, 0))</f>
        <v>0-0-0</v>
      </c>
      <c r="AP1192" s="2" t="str">
        <f>INDEX(Sheet5!$B$2:$AG$33, MATCH(Table2[[#This Row],[HomeTeam]],Sheet5!$A$2:$A$33, 0), MATCH(Table2[[#This Row],[AwayTeam]],Sheet5!$A$2:$A$33, 0))</f>
        <v>0-0-0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/>
      <c r="AV1192" s="2"/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45">
        <f>IF(AND(Table2[[#This Row],[GameIsOver]]=1,Table2[[#This Row],[ActualHomeScore]]*Table2[[#This Row],[ActualAwayScore]]=0), 1,0)</f>
        <v>0</v>
      </c>
      <c r="AA1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3" s="2" t="str">
        <f>INDEX(Sheet5!$B$2:$AG$33, MATCH(Table2[[#This Row],[AwayTeam]],Sheet5!$A$2:$A$33, 0), MATCH(Table2[[#This Row],[HomeTeam]],Sheet5!$A$2:$A$33, 0))</f>
        <v>0-0-0</v>
      </c>
      <c r="AP1193" s="2" t="str">
        <f>INDEX(Sheet5!$B$2:$AG$33, MATCH(Table2[[#This Row],[HomeTeam]],Sheet5!$A$2:$A$33, 0), MATCH(Table2[[#This Row],[AwayTeam]],Sheet5!$A$2:$A$33, 0))</f>
        <v>0-0-0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/>
      <c r="AV1193" s="2"/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45">
        <f>IF(AND(Table2[[#This Row],[GameIsOver]]=1,Table2[[#This Row],[ActualHomeScore]]*Table2[[#This Row],[ActualAwayScore]]=0), 1,0)</f>
        <v>0</v>
      </c>
      <c r="AA1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/>
      <c r="AV1194" s="2"/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45">
        <f>IF(AND(Table2[[#This Row],[GameIsOver]]=1,Table2[[#This Row],[ActualHomeScore]]*Table2[[#This Row],[ActualAwayScore]]=0), 1,0)</f>
        <v>0</v>
      </c>
      <c r="AA1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5" s="2" t="str">
        <f>INDEX(Sheet5!$B$2:$AG$33, MATCH(Table2[[#This Row],[AwayTeam]],Sheet5!$A$2:$A$33, 0), MATCH(Table2[[#This Row],[HomeTeam]],Sheet5!$A$2:$A$33, 0))</f>
        <v>0-0-0</v>
      </c>
      <c r="AP1195" s="2" t="str">
        <f>INDEX(Sheet5!$B$2:$AG$33, MATCH(Table2[[#This Row],[HomeTeam]],Sheet5!$A$2:$A$33, 0), MATCH(Table2[[#This Row],[AwayTeam]],Sheet5!$A$2:$A$33, 0))</f>
        <v>0-0-0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/>
      <c r="AV1195" s="2"/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45">
        <f>IF(AND(Table2[[#This Row],[GameIsOver]]=1,Table2[[#This Row],[ActualHomeScore]]*Table2[[#This Row],[ActualAwayScore]]=0), 1,0)</f>
        <v>0</v>
      </c>
      <c r="AA1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/>
      <c r="AV1196" s="2"/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45">
        <f>IF(AND(Table2[[#This Row],[GameIsOver]]=1,Table2[[#This Row],[ActualHomeScore]]*Table2[[#This Row],[ActualAwayScore]]=0), 1,0)</f>
        <v>0</v>
      </c>
      <c r="AA1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7" s="2" t="str">
        <f>INDEX(Sheet5!$B$2:$AG$33, MATCH(Table2[[#This Row],[AwayTeam]],Sheet5!$A$2:$A$33, 0), MATCH(Table2[[#This Row],[HomeTeam]],Sheet5!$A$2:$A$33, 0))</f>
        <v>0-0-0</v>
      </c>
      <c r="AP1197" s="2" t="str">
        <f>INDEX(Sheet5!$B$2:$AG$33, MATCH(Table2[[#This Row],[HomeTeam]],Sheet5!$A$2:$A$33, 0), MATCH(Table2[[#This Row],[AwayTeam]],Sheet5!$A$2:$A$33, 0))</f>
        <v>0-0-0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/>
      <c r="AV1197" s="2"/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45">
        <f>IF(AND(Table2[[#This Row],[GameIsOver]]=1,Table2[[#This Row],[ActualHomeScore]]*Table2[[#This Row],[ActualAwayScore]]=0), 1,0)</f>
        <v>0</v>
      </c>
      <c r="AA1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/>
      <c r="AV1198" s="2"/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45">
        <f>IF(AND(Table2[[#This Row],[GameIsOver]]=1,Table2[[#This Row],[ActualHomeScore]]*Table2[[#This Row],[ActualAwayScore]]=0), 1,0)</f>
        <v>0</v>
      </c>
      <c r="AA1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/>
      <c r="AV1199" s="2"/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45">
        <f>IF(AND(Table2[[#This Row],[GameIsOver]]=1,Table2[[#This Row],[ActualHomeScore]]*Table2[[#This Row],[ActualAwayScore]]=0), 1,0)</f>
        <v>0</v>
      </c>
      <c r="AA1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0" s="2" t="str">
        <f>INDEX(Sheet5!$B$2:$AG$33, MATCH(Table2[[#This Row],[AwayTeam]],Sheet5!$A$2:$A$33, 0), MATCH(Table2[[#This Row],[HomeTeam]],Sheet5!$A$2:$A$33, 0))</f>
        <v>0-0-0</v>
      </c>
      <c r="AP1200" s="2" t="str">
        <f>INDEX(Sheet5!$B$2:$AG$33, MATCH(Table2[[#This Row],[HomeTeam]],Sheet5!$A$2:$A$33, 0), MATCH(Table2[[#This Row],[AwayTeam]],Sheet5!$A$2:$A$33, 0))</f>
        <v>0-0-0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/>
      <c r="AV1200" s="2"/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45">
        <f>IF(AND(Table2[[#This Row],[GameIsOver]]=1,Table2[[#This Row],[ActualHomeScore]]*Table2[[#This Row],[ActualAwayScore]]=0), 1,0)</f>
        <v>0</v>
      </c>
      <c r="AA1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/>
      <c r="AV1201" s="2"/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45">
        <f>IF(AND(Table2[[#This Row],[GameIsOver]]=1,Table2[[#This Row],[ActualHomeScore]]*Table2[[#This Row],[ActualAwayScore]]=0), 1,0)</f>
        <v>0</v>
      </c>
      <c r="AA1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/>
      <c r="AV1202" s="2"/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45">
        <f>IF(AND(Table2[[#This Row],[GameIsOver]]=1,Table2[[#This Row],[ActualHomeScore]]*Table2[[#This Row],[ActualAwayScore]]=0), 1,0)</f>
        <v>0</v>
      </c>
      <c r="AA1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03" s="2" t="str">
        <f>INDEX(Sheet5!$B$2:$AG$33, MATCH(Table2[[#This Row],[AwayTeam]],Sheet5!$A$2:$A$33, 0), MATCH(Table2[[#This Row],[HomeTeam]],Sheet5!$A$2:$A$33, 0))</f>
        <v>0-0-0</v>
      </c>
      <c r="AP1203" s="2" t="str">
        <f>INDEX(Sheet5!$B$2:$AG$33, MATCH(Table2[[#This Row],[HomeTeam]],Sheet5!$A$2:$A$33, 0), MATCH(Table2[[#This Row],[AwayTeam]],Sheet5!$A$2:$A$33, 0))</f>
        <v>0-0-0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/>
      <c r="AV1203" s="2"/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45">
        <f>IF(AND(Table2[[#This Row],[GameIsOver]]=1,Table2[[#This Row],[ActualHomeScore]]*Table2[[#This Row],[ActualAwayScore]]=0), 1,0)</f>
        <v>0</v>
      </c>
      <c r="AA1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/>
      <c r="AV1204" s="2"/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45">
        <f>IF(AND(Table2[[#This Row],[GameIsOver]]=1,Table2[[#This Row],[ActualHomeScore]]*Table2[[#This Row],[ActualAwayScore]]=0), 1,0)</f>
        <v>0</v>
      </c>
      <c r="AA1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/>
      <c r="AV1205" s="2"/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45">
        <f>IF(AND(Table2[[#This Row],[GameIsOver]]=1,Table2[[#This Row],[ActualHomeScore]]*Table2[[#This Row],[ActualAwayScore]]=0), 1,0)</f>
        <v>0</v>
      </c>
      <c r="AA1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6" s="2" t="str">
        <f>INDEX(Sheet5!$B$2:$AG$33, MATCH(Table2[[#This Row],[AwayTeam]],Sheet5!$A$2:$A$33, 0), MATCH(Table2[[#This Row],[HomeTeam]],Sheet5!$A$2:$A$33, 0))</f>
        <v>0-0-0</v>
      </c>
      <c r="AP1206" s="2" t="str">
        <f>INDEX(Sheet5!$B$2:$AG$33, MATCH(Table2[[#This Row],[HomeTeam]],Sheet5!$A$2:$A$33, 0), MATCH(Table2[[#This Row],[AwayTeam]],Sheet5!$A$2:$A$33, 0))</f>
        <v>0-0-0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/>
      <c r="AV1206" s="2"/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45">
        <f>IF(AND(Table2[[#This Row],[GameIsOver]]=1,Table2[[#This Row],[ActualHomeScore]]*Table2[[#This Row],[ActualAwayScore]]=0), 1,0)</f>
        <v>0</v>
      </c>
      <c r="AA1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7" s="2" t="str">
        <f>INDEX(Sheet5!$B$2:$AG$33, MATCH(Table2[[#This Row],[AwayTeam]],Sheet5!$A$2:$A$33, 0), MATCH(Table2[[#This Row],[HomeTeam]],Sheet5!$A$2:$A$33, 0))</f>
        <v>0-0-0</v>
      </c>
      <c r="AP1207" s="2" t="str">
        <f>INDEX(Sheet5!$B$2:$AG$33, MATCH(Table2[[#This Row],[HomeTeam]],Sheet5!$A$2:$A$33, 0), MATCH(Table2[[#This Row],[AwayTeam]],Sheet5!$A$2:$A$33, 0))</f>
        <v>0-0-0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/>
      <c r="AV1207" s="2"/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45">
        <f>IF(AND(Table2[[#This Row],[GameIsOver]]=1,Table2[[#This Row],[ActualHomeScore]]*Table2[[#This Row],[ActualAwayScore]]=0), 1,0)</f>
        <v>0</v>
      </c>
      <c r="AA1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/>
      <c r="AV1208" s="2"/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45">
        <f>IF(AND(Table2[[#This Row],[GameIsOver]]=1,Table2[[#This Row],[ActualHomeScore]]*Table2[[#This Row],[ActualAwayScore]]=0), 1,0)</f>
        <v>0</v>
      </c>
      <c r="AA1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/>
      <c r="AV1209" s="2"/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45">
        <f>IF(AND(Table2[[#This Row],[GameIsOver]]=1,Table2[[#This Row],[ActualHomeScore]]*Table2[[#This Row],[ActualAwayScore]]=0), 1,0)</f>
        <v>0</v>
      </c>
      <c r="AA1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/>
      <c r="AV1210" s="2"/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45">
        <f>IF(AND(Table2[[#This Row],[GameIsOver]]=1,Table2[[#This Row],[ActualHomeScore]]*Table2[[#This Row],[ActualAwayScore]]=0), 1,0)</f>
        <v>0</v>
      </c>
      <c r="AA1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1" s="2" t="str">
        <f>INDEX(Sheet5!$B$2:$AG$33, MATCH(Table2[[#This Row],[AwayTeam]],Sheet5!$A$2:$A$33, 0), MATCH(Table2[[#This Row],[HomeTeam]],Sheet5!$A$2:$A$33, 0))</f>
        <v>0-0-0</v>
      </c>
      <c r="AP1211" s="2" t="str">
        <f>INDEX(Sheet5!$B$2:$AG$33, MATCH(Table2[[#This Row],[HomeTeam]],Sheet5!$A$2:$A$33, 0), MATCH(Table2[[#This Row],[AwayTeam]],Sheet5!$A$2:$A$33, 0))</f>
        <v>0-0-0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/>
      <c r="AV1211" s="2"/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45">
        <f>IF(AND(Table2[[#This Row],[GameIsOver]]=1,Table2[[#This Row],[ActualHomeScore]]*Table2[[#This Row],[ActualAwayScore]]=0), 1,0)</f>
        <v>0</v>
      </c>
      <c r="AA1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2" s="2" t="str">
        <f>INDEX(Sheet5!$B$2:$AG$33, MATCH(Table2[[#This Row],[AwayTeam]],Sheet5!$A$2:$A$33, 0), MATCH(Table2[[#This Row],[HomeTeam]],Sheet5!$A$2:$A$33, 0))</f>
        <v>0-0-0</v>
      </c>
      <c r="AP1212" s="2" t="str">
        <f>INDEX(Sheet5!$B$2:$AG$33, MATCH(Table2[[#This Row],[HomeTeam]],Sheet5!$A$2:$A$33, 0), MATCH(Table2[[#This Row],[AwayTeam]],Sheet5!$A$2:$A$33, 0))</f>
        <v>0-0-0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/>
      <c r="AV1212" s="2"/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45">
        <f>IF(AND(Table2[[#This Row],[GameIsOver]]=1,Table2[[#This Row],[ActualHomeScore]]*Table2[[#This Row],[ActualAwayScore]]=0), 1,0)</f>
        <v>0</v>
      </c>
      <c r="AA1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3" s="2" t="str">
        <f>INDEX(Sheet5!$B$2:$AG$33, MATCH(Table2[[#This Row],[AwayTeam]],Sheet5!$A$2:$A$33, 0), MATCH(Table2[[#This Row],[HomeTeam]],Sheet5!$A$2:$A$33, 0))</f>
        <v>0-0-0</v>
      </c>
      <c r="AP1213" s="2" t="str">
        <f>INDEX(Sheet5!$B$2:$AG$33, MATCH(Table2[[#This Row],[HomeTeam]],Sheet5!$A$2:$A$33, 0), MATCH(Table2[[#This Row],[AwayTeam]],Sheet5!$A$2:$A$33, 0))</f>
        <v>0-0-0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/>
      <c r="AV1213" s="2"/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45">
        <f>IF(AND(Table2[[#This Row],[GameIsOver]]=1,Table2[[#This Row],[ActualHomeScore]]*Table2[[#This Row],[ActualAwayScore]]=0), 1,0)</f>
        <v>0</v>
      </c>
      <c r="AA1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/>
      <c r="AV1214" s="2"/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45">
        <f>IF(AND(Table2[[#This Row],[GameIsOver]]=1,Table2[[#This Row],[ActualHomeScore]]*Table2[[#This Row],[ActualAwayScore]]=0), 1,0)</f>
        <v>0</v>
      </c>
      <c r="AA1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/>
      <c r="AV1215" s="2"/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45">
        <f>IF(AND(Table2[[#This Row],[GameIsOver]]=1,Table2[[#This Row],[ActualHomeScore]]*Table2[[#This Row],[ActualAwayScore]]=0), 1,0)</f>
        <v>0</v>
      </c>
      <c r="AA1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/>
      <c r="AV1216" s="2"/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45">
        <f>IF(AND(Table2[[#This Row],[GameIsOver]]=1,Table2[[#This Row],[ActualHomeScore]]*Table2[[#This Row],[ActualAwayScore]]=0), 1,0)</f>
        <v>0</v>
      </c>
      <c r="AA1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/>
      <c r="AV1217" s="2"/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45">
        <f>IF(AND(Table2[[#This Row],[GameIsOver]]=1,Table2[[#This Row],[ActualHomeScore]]*Table2[[#This Row],[ActualAwayScore]]=0), 1,0)</f>
        <v>0</v>
      </c>
      <c r="AA1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/>
      <c r="AV1218" s="2"/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45">
        <f>IF(AND(Table2[[#This Row],[GameIsOver]]=1,Table2[[#This Row],[ActualHomeScore]]*Table2[[#This Row],[ActualAwayScore]]=0), 1,0)</f>
        <v>0</v>
      </c>
      <c r="AA1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/>
      <c r="AV1219" s="2"/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45">
        <f>IF(AND(Table2[[#This Row],[GameIsOver]]=1,Table2[[#This Row],[ActualHomeScore]]*Table2[[#This Row],[ActualAwayScore]]=0), 1,0)</f>
        <v>0</v>
      </c>
      <c r="AA1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/>
      <c r="AV1220" s="2"/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45">
        <f>IF(AND(Table2[[#This Row],[GameIsOver]]=1,Table2[[#This Row],[ActualHomeScore]]*Table2[[#This Row],[ActualAwayScore]]=0), 1,0)</f>
        <v>0</v>
      </c>
      <c r="AA1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/>
      <c r="AV1221" s="2"/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45">
        <f>IF(AND(Table2[[#This Row],[GameIsOver]]=1,Table2[[#This Row],[ActualHomeScore]]*Table2[[#This Row],[ActualAwayScore]]=0), 1,0)</f>
        <v>0</v>
      </c>
      <c r="AA1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/>
      <c r="AV1222" s="2"/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45">
        <f>IF(AND(Table2[[#This Row],[GameIsOver]]=1,Table2[[#This Row],[ActualHomeScore]]*Table2[[#This Row],[ActualAwayScore]]=0), 1,0)</f>
        <v>0</v>
      </c>
      <c r="AA1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/>
      <c r="AV1223" s="2"/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45">
        <f>IF(AND(Table2[[#This Row],[GameIsOver]]=1,Table2[[#This Row],[ActualHomeScore]]*Table2[[#This Row],[ActualAwayScore]]=0), 1,0)</f>
        <v>0</v>
      </c>
      <c r="AA1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/>
      <c r="AV1224" s="2"/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45">
        <f>IF(AND(Table2[[#This Row],[GameIsOver]]=1,Table2[[#This Row],[ActualHomeScore]]*Table2[[#This Row],[ActualAwayScore]]=0), 1,0)</f>
        <v>0</v>
      </c>
      <c r="AA1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5" s="2" t="str">
        <f>INDEX(Sheet5!$B$2:$AG$33, MATCH(Table2[[#This Row],[AwayTeam]],Sheet5!$A$2:$A$33, 0), MATCH(Table2[[#This Row],[HomeTeam]],Sheet5!$A$2:$A$33, 0))</f>
        <v>0-0-0</v>
      </c>
      <c r="AP1225" s="2" t="str">
        <f>INDEX(Sheet5!$B$2:$AG$33, MATCH(Table2[[#This Row],[HomeTeam]],Sheet5!$A$2:$A$33, 0), MATCH(Table2[[#This Row],[AwayTeam]],Sheet5!$A$2:$A$33, 0))</f>
        <v>0-0-0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/>
      <c r="AV1225" s="2"/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45">
        <f>IF(AND(Table2[[#This Row],[GameIsOver]]=1,Table2[[#This Row],[ActualHomeScore]]*Table2[[#This Row],[ActualAwayScore]]=0), 1,0)</f>
        <v>0</v>
      </c>
      <c r="AA1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/>
      <c r="AV1226" s="2"/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45">
        <f>IF(AND(Table2[[#This Row],[GameIsOver]]=1,Table2[[#This Row],[ActualHomeScore]]*Table2[[#This Row],[ActualAwayScore]]=0), 1,0)</f>
        <v>0</v>
      </c>
      <c r="AA1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/>
      <c r="AV1227" s="2"/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45">
        <f>IF(AND(Table2[[#This Row],[GameIsOver]]=1,Table2[[#This Row],[ActualHomeScore]]*Table2[[#This Row],[ActualAwayScore]]=0), 1,0)</f>
        <v>0</v>
      </c>
      <c r="AA1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/>
      <c r="AV1228" s="2"/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45">
        <f>IF(AND(Table2[[#This Row],[GameIsOver]]=1,Table2[[#This Row],[ActualHomeScore]]*Table2[[#This Row],[ActualAwayScore]]=0), 1,0)</f>
        <v>0</v>
      </c>
      <c r="AA1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9" s="2" t="str">
        <f>INDEX(Sheet5!$B$2:$AG$33, MATCH(Table2[[#This Row],[AwayTeam]],Sheet5!$A$2:$A$33, 0), MATCH(Table2[[#This Row],[HomeTeam]],Sheet5!$A$2:$A$33, 0))</f>
        <v>0-0-0</v>
      </c>
      <c r="AP1229" s="2" t="str">
        <f>INDEX(Sheet5!$B$2:$AG$33, MATCH(Table2[[#This Row],[HomeTeam]],Sheet5!$A$2:$A$33, 0), MATCH(Table2[[#This Row],[AwayTeam]],Sheet5!$A$2:$A$33, 0))</f>
        <v>0-0-0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/>
      <c r="AV1229" s="2"/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45">
        <f>IF(AND(Table2[[#This Row],[GameIsOver]]=1,Table2[[#This Row],[ActualHomeScore]]*Table2[[#This Row],[ActualAwayScore]]=0), 1,0)</f>
        <v>0</v>
      </c>
      <c r="AA1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/>
      <c r="AV1230" s="2"/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45">
        <f>IF(AND(Table2[[#This Row],[GameIsOver]]=1,Table2[[#This Row],[ActualHomeScore]]*Table2[[#This Row],[ActualAwayScore]]=0), 1,0)</f>
        <v>0</v>
      </c>
      <c r="AA1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/>
      <c r="AV1231" s="2"/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45">
        <f>IF(AND(Table2[[#This Row],[GameIsOver]]=1,Table2[[#This Row],[ActualHomeScore]]*Table2[[#This Row],[ActualAwayScore]]=0), 1,0)</f>
        <v>0</v>
      </c>
      <c r="AA1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2" s="2" t="str">
        <f>INDEX(Sheet5!$B$2:$AG$33, MATCH(Table2[[#This Row],[AwayTeam]],Sheet5!$A$2:$A$33, 0), MATCH(Table2[[#This Row],[HomeTeam]],Sheet5!$A$2:$A$33, 0))</f>
        <v>0-0-0</v>
      </c>
      <c r="AP1232" s="2" t="str">
        <f>INDEX(Sheet5!$B$2:$AG$33, MATCH(Table2[[#This Row],[HomeTeam]],Sheet5!$A$2:$A$33, 0), MATCH(Table2[[#This Row],[AwayTeam]],Sheet5!$A$2:$A$33, 0))</f>
        <v>0-0-0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/>
      <c r="AV1232" s="2"/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45">
        <f>IF(AND(Table2[[#This Row],[GameIsOver]]=1,Table2[[#This Row],[ActualHomeScore]]*Table2[[#This Row],[ActualAwayScore]]=0), 1,0)</f>
        <v>0</v>
      </c>
      <c r="AA1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/>
      <c r="AV1233" s="2"/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45">
        <f>IF(AND(Table2[[#This Row],[GameIsOver]]=1,Table2[[#This Row],[ActualHomeScore]]*Table2[[#This Row],[ActualAwayScore]]=0), 1,0)</f>
        <v>0</v>
      </c>
      <c r="AA1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4" s="2" t="str">
        <f>INDEX(Sheet5!$B$2:$AG$33, MATCH(Table2[[#This Row],[AwayTeam]],Sheet5!$A$2:$A$33, 0), MATCH(Table2[[#This Row],[HomeTeam]],Sheet5!$A$2:$A$33, 0))</f>
        <v>0-0-0</v>
      </c>
      <c r="AP1234" s="2" t="str">
        <f>INDEX(Sheet5!$B$2:$AG$33, MATCH(Table2[[#This Row],[HomeTeam]],Sheet5!$A$2:$A$33, 0), MATCH(Table2[[#This Row],[AwayTeam]],Sheet5!$A$2:$A$33, 0))</f>
        <v>0-0-0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/>
      <c r="AV1234" s="2"/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45">
        <f>IF(AND(Table2[[#This Row],[GameIsOver]]=1,Table2[[#This Row],[ActualHomeScore]]*Table2[[#This Row],[ActualAwayScore]]=0), 1,0)</f>
        <v>0</v>
      </c>
      <c r="AA1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/>
      <c r="AV1235" s="2"/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45">
        <f>IF(AND(Table2[[#This Row],[GameIsOver]]=1,Table2[[#This Row],[ActualHomeScore]]*Table2[[#This Row],[ActualAwayScore]]=0), 1,0)</f>
        <v>0</v>
      </c>
      <c r="AA1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6" s="2" t="str">
        <f>INDEX(Sheet5!$B$2:$AG$33, MATCH(Table2[[#This Row],[AwayTeam]],Sheet5!$A$2:$A$33, 0), MATCH(Table2[[#This Row],[HomeTeam]],Sheet5!$A$2:$A$33, 0))</f>
        <v>0-0-0</v>
      </c>
      <c r="AP1236" s="2" t="str">
        <f>INDEX(Sheet5!$B$2:$AG$33, MATCH(Table2[[#This Row],[HomeTeam]],Sheet5!$A$2:$A$33, 0), MATCH(Table2[[#This Row],[AwayTeam]],Sheet5!$A$2:$A$33, 0))</f>
        <v>0-0-0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/>
      <c r="AV1236" s="2"/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45">
        <f>IF(AND(Table2[[#This Row],[GameIsOver]]=1,Table2[[#This Row],[ActualHomeScore]]*Table2[[#This Row],[ActualAwayScore]]=0), 1,0)</f>
        <v>0</v>
      </c>
      <c r="AA1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/>
      <c r="AV1237" s="2"/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45">
        <f>IF(AND(Table2[[#This Row],[GameIsOver]]=1,Table2[[#This Row],[ActualHomeScore]]*Table2[[#This Row],[ActualAwayScore]]=0), 1,0)</f>
        <v>0</v>
      </c>
      <c r="AA1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/>
      <c r="AV1238" s="2"/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45">
        <f>IF(AND(Table2[[#This Row],[GameIsOver]]=1,Table2[[#This Row],[ActualHomeScore]]*Table2[[#This Row],[ActualAwayScore]]=0), 1,0)</f>
        <v>0</v>
      </c>
      <c r="AA1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/>
      <c r="AV1239" s="2"/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45">
        <f>IF(AND(Table2[[#This Row],[GameIsOver]]=1,Table2[[#This Row],[ActualHomeScore]]*Table2[[#This Row],[ActualAwayScore]]=0), 1,0)</f>
        <v>0</v>
      </c>
      <c r="AA1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/>
      <c r="AV1240" s="2"/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45">
        <f>IF(AND(Table2[[#This Row],[GameIsOver]]=1,Table2[[#This Row],[ActualHomeScore]]*Table2[[#This Row],[ActualAwayScore]]=0), 1,0)</f>
        <v>0</v>
      </c>
      <c r="AA1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/>
      <c r="AV1241" s="2"/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45">
        <f>IF(AND(Table2[[#This Row],[GameIsOver]]=1,Table2[[#This Row],[ActualHomeScore]]*Table2[[#This Row],[ActualAwayScore]]=0), 1,0)</f>
        <v>0</v>
      </c>
      <c r="AA1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/>
      <c r="AV1242" s="2"/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45">
        <f>IF(AND(Table2[[#This Row],[GameIsOver]]=1,Table2[[#This Row],[ActualHomeScore]]*Table2[[#This Row],[ActualAwayScore]]=0), 1,0)</f>
        <v>0</v>
      </c>
      <c r="AA1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3" s="2" t="str">
        <f>INDEX(Sheet5!$B$2:$AG$33, MATCH(Table2[[#This Row],[AwayTeam]],Sheet5!$A$2:$A$33, 0), MATCH(Table2[[#This Row],[HomeTeam]],Sheet5!$A$2:$A$33, 0))</f>
        <v>0-0-0</v>
      </c>
      <c r="AP1243" s="2" t="str">
        <f>INDEX(Sheet5!$B$2:$AG$33, MATCH(Table2[[#This Row],[HomeTeam]],Sheet5!$A$2:$A$33, 0), MATCH(Table2[[#This Row],[AwayTeam]],Sheet5!$A$2:$A$33, 0))</f>
        <v>0-0-0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/>
      <c r="AV1243" s="2"/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45">
        <f>IF(AND(Table2[[#This Row],[GameIsOver]]=1,Table2[[#This Row],[ActualHomeScore]]*Table2[[#This Row],[ActualAwayScore]]=0), 1,0)</f>
        <v>0</v>
      </c>
      <c r="AA1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/>
      <c r="AV1244" s="2"/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45">
        <f>IF(AND(Table2[[#This Row],[GameIsOver]]=1,Table2[[#This Row],[ActualHomeScore]]*Table2[[#This Row],[ActualAwayScore]]=0), 1,0)</f>
        <v>0</v>
      </c>
      <c r="AA1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5" s="2" t="str">
        <f>INDEX(Sheet5!$B$2:$AG$33, MATCH(Table2[[#This Row],[AwayTeam]],Sheet5!$A$2:$A$33, 0), MATCH(Table2[[#This Row],[HomeTeam]],Sheet5!$A$2:$A$33, 0))</f>
        <v>0-0-0</v>
      </c>
      <c r="AP1245" s="2" t="str">
        <f>INDEX(Sheet5!$B$2:$AG$33, MATCH(Table2[[#This Row],[HomeTeam]],Sheet5!$A$2:$A$33, 0), MATCH(Table2[[#This Row],[AwayTeam]],Sheet5!$A$2:$A$33, 0))</f>
        <v>0-0-0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/>
      <c r="AV1245" s="2"/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45">
        <f>IF(AND(Table2[[#This Row],[GameIsOver]]=1,Table2[[#This Row],[ActualHomeScore]]*Table2[[#This Row],[ActualAwayScore]]=0), 1,0)</f>
        <v>0</v>
      </c>
      <c r="AA1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6" s="2" t="str">
        <f>INDEX(Sheet5!$B$2:$AG$33, MATCH(Table2[[#This Row],[AwayTeam]],Sheet5!$A$2:$A$33, 0), MATCH(Table2[[#This Row],[HomeTeam]],Sheet5!$A$2:$A$33, 0))</f>
        <v>0-0-0</v>
      </c>
      <c r="AP1246" s="2" t="str">
        <f>INDEX(Sheet5!$B$2:$AG$33, MATCH(Table2[[#This Row],[HomeTeam]],Sheet5!$A$2:$A$33, 0), MATCH(Table2[[#This Row],[AwayTeam]],Sheet5!$A$2:$A$33, 0))</f>
        <v>0-0-0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/>
      <c r="AV1246" s="2"/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45">
        <f>IF(AND(Table2[[#This Row],[GameIsOver]]=1,Table2[[#This Row],[ActualHomeScore]]*Table2[[#This Row],[ActualAwayScore]]=0), 1,0)</f>
        <v>0</v>
      </c>
      <c r="AA1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/>
      <c r="AV1247" s="2"/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45">
        <f>IF(AND(Table2[[#This Row],[GameIsOver]]=1,Table2[[#This Row],[ActualHomeScore]]*Table2[[#This Row],[ActualAwayScore]]=0), 1,0)</f>
        <v>0</v>
      </c>
      <c r="AA1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/>
      <c r="AV1248" s="2"/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45">
        <f>IF(AND(Table2[[#This Row],[GameIsOver]]=1,Table2[[#This Row],[ActualHomeScore]]*Table2[[#This Row],[ActualAwayScore]]=0), 1,0)</f>
        <v>0</v>
      </c>
      <c r="AA1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9" s="2" t="str">
        <f>INDEX(Sheet5!$B$2:$AG$33, MATCH(Table2[[#This Row],[AwayTeam]],Sheet5!$A$2:$A$33, 0), MATCH(Table2[[#This Row],[HomeTeam]],Sheet5!$A$2:$A$33, 0))</f>
        <v>0-0-0</v>
      </c>
      <c r="AP1249" s="2" t="str">
        <f>INDEX(Sheet5!$B$2:$AG$33, MATCH(Table2[[#This Row],[HomeTeam]],Sheet5!$A$2:$A$33, 0), MATCH(Table2[[#This Row],[AwayTeam]],Sheet5!$A$2:$A$33, 0))</f>
        <v>0-0-0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/>
      <c r="AV1249" s="2"/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45">
        <f>IF(AND(Table2[[#This Row],[GameIsOver]]=1,Table2[[#This Row],[ActualHomeScore]]*Table2[[#This Row],[ActualAwayScore]]=0), 1,0)</f>
        <v>0</v>
      </c>
      <c r="AA1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/>
      <c r="AV1250" s="2"/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45">
        <f>IF(AND(Table2[[#This Row],[GameIsOver]]=1,Table2[[#This Row],[ActualHomeScore]]*Table2[[#This Row],[ActualAwayScore]]=0), 1,0)</f>
        <v>0</v>
      </c>
      <c r="AA1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1" s="2" t="str">
        <f>INDEX(Sheet5!$B$2:$AG$33, MATCH(Table2[[#This Row],[AwayTeam]],Sheet5!$A$2:$A$33, 0), MATCH(Table2[[#This Row],[HomeTeam]],Sheet5!$A$2:$A$33, 0))</f>
        <v>0-0-0</v>
      </c>
      <c r="AP1251" s="2" t="str">
        <f>INDEX(Sheet5!$B$2:$AG$33, MATCH(Table2[[#This Row],[HomeTeam]],Sheet5!$A$2:$A$33, 0), MATCH(Table2[[#This Row],[AwayTeam]],Sheet5!$A$2:$A$33, 0))</f>
        <v>0-0-0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/>
      <c r="AV1251" s="2"/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45">
        <f>IF(AND(Table2[[#This Row],[GameIsOver]]=1,Table2[[#This Row],[ActualHomeScore]]*Table2[[#This Row],[ActualAwayScore]]=0), 1,0)</f>
        <v>0</v>
      </c>
      <c r="AA1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/>
      <c r="AV1252" s="2"/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45">
        <f>IF(AND(Table2[[#This Row],[GameIsOver]]=1,Table2[[#This Row],[ActualHomeScore]]*Table2[[#This Row],[ActualAwayScore]]=0), 1,0)</f>
        <v>0</v>
      </c>
      <c r="AA1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/>
      <c r="AV1253" s="2"/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45">
        <f>IF(AND(Table2[[#This Row],[GameIsOver]]=1,Table2[[#This Row],[ActualHomeScore]]*Table2[[#This Row],[ActualAwayScore]]=0), 1,0)</f>
        <v>0</v>
      </c>
      <c r="AA1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/>
      <c r="AV1254" s="2"/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45">
        <f>IF(AND(Table2[[#This Row],[GameIsOver]]=1,Table2[[#This Row],[ActualHomeScore]]*Table2[[#This Row],[ActualAwayScore]]=0), 1,0)</f>
        <v>0</v>
      </c>
      <c r="AA1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/>
      <c r="AV1255" s="2"/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45">
        <f>IF(AND(Table2[[#This Row],[GameIsOver]]=1,Table2[[#This Row],[ActualHomeScore]]*Table2[[#This Row],[ActualAwayScore]]=0), 1,0)</f>
        <v>0</v>
      </c>
      <c r="AA1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6" s="2" t="str">
        <f>INDEX(Sheet5!$B$2:$AG$33, MATCH(Table2[[#This Row],[AwayTeam]],Sheet5!$A$2:$A$33, 0), MATCH(Table2[[#This Row],[HomeTeam]],Sheet5!$A$2:$A$33, 0))</f>
        <v>0-0-0</v>
      </c>
      <c r="AP1256" s="2" t="str">
        <f>INDEX(Sheet5!$B$2:$AG$33, MATCH(Table2[[#This Row],[HomeTeam]],Sheet5!$A$2:$A$33, 0), MATCH(Table2[[#This Row],[AwayTeam]],Sheet5!$A$2:$A$33, 0))</f>
        <v>0-0-0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/>
      <c r="AV1256" s="2"/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45">
        <f>IF(AND(Table2[[#This Row],[GameIsOver]]=1,Table2[[#This Row],[ActualHomeScore]]*Table2[[#This Row],[ActualAwayScore]]=0), 1,0)</f>
        <v>0</v>
      </c>
      <c r="AA1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/>
      <c r="AV1257" s="2"/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45">
        <f>IF(AND(Table2[[#This Row],[GameIsOver]]=1,Table2[[#This Row],[ActualHomeScore]]*Table2[[#This Row],[ActualAwayScore]]=0), 1,0)</f>
        <v>0</v>
      </c>
      <c r="AA1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/>
      <c r="AV1258" s="2"/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45">
        <f>IF(AND(Table2[[#This Row],[GameIsOver]]=1,Table2[[#This Row],[ActualHomeScore]]*Table2[[#This Row],[ActualAwayScore]]=0), 1,0)</f>
        <v>0</v>
      </c>
      <c r="AA1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9" s="2" t="str">
        <f>INDEX(Sheet5!$B$2:$AG$33, MATCH(Table2[[#This Row],[AwayTeam]],Sheet5!$A$2:$A$33, 0), MATCH(Table2[[#This Row],[HomeTeam]],Sheet5!$A$2:$A$33, 0))</f>
        <v>0-0-0</v>
      </c>
      <c r="AP1259" s="2" t="str">
        <f>INDEX(Sheet5!$B$2:$AG$33, MATCH(Table2[[#This Row],[HomeTeam]],Sheet5!$A$2:$A$33, 0), MATCH(Table2[[#This Row],[AwayTeam]],Sheet5!$A$2:$A$33, 0))</f>
        <v>0-0-0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/>
      <c r="AV1259" s="2"/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45">
        <f>IF(AND(Table2[[#This Row],[GameIsOver]]=1,Table2[[#This Row],[ActualHomeScore]]*Table2[[#This Row],[ActualAwayScore]]=0), 1,0)</f>
        <v>0</v>
      </c>
      <c r="AA1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0" s="2" t="str">
        <f>INDEX(Sheet5!$B$2:$AG$33, MATCH(Table2[[#This Row],[AwayTeam]],Sheet5!$A$2:$A$33, 0), MATCH(Table2[[#This Row],[HomeTeam]],Sheet5!$A$2:$A$33, 0))</f>
        <v>0-0-0</v>
      </c>
      <c r="AP1260" s="2" t="str">
        <f>INDEX(Sheet5!$B$2:$AG$33, MATCH(Table2[[#This Row],[HomeTeam]],Sheet5!$A$2:$A$33, 0), MATCH(Table2[[#This Row],[AwayTeam]],Sheet5!$A$2:$A$33, 0))</f>
        <v>0-0-0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/>
      <c r="AV1260" s="2"/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45">
        <f>IF(AND(Table2[[#This Row],[GameIsOver]]=1,Table2[[#This Row],[ActualHomeScore]]*Table2[[#This Row],[ActualAwayScore]]=0), 1,0)</f>
        <v>0</v>
      </c>
      <c r="AA1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1" s="2" t="str">
        <f>INDEX(Sheet5!$B$2:$AG$33, MATCH(Table2[[#This Row],[AwayTeam]],Sheet5!$A$2:$A$33, 0), MATCH(Table2[[#This Row],[HomeTeam]],Sheet5!$A$2:$A$33, 0))</f>
        <v>0-0-0</v>
      </c>
      <c r="AP1261" s="2" t="str">
        <f>INDEX(Sheet5!$B$2:$AG$33, MATCH(Table2[[#This Row],[HomeTeam]],Sheet5!$A$2:$A$33, 0), MATCH(Table2[[#This Row],[AwayTeam]],Sheet5!$A$2:$A$33, 0))</f>
        <v>0-0-0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/>
      <c r="AV1261" s="2"/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45">
        <f>IF(AND(Table2[[#This Row],[GameIsOver]]=1,Table2[[#This Row],[ActualHomeScore]]*Table2[[#This Row],[ActualAwayScore]]=0), 1,0)</f>
        <v>0</v>
      </c>
      <c r="AA1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/>
      <c r="AV1262" s="2"/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45">
        <f>IF(AND(Table2[[#This Row],[GameIsOver]]=1,Table2[[#This Row],[ActualHomeScore]]*Table2[[#This Row],[ActualAwayScore]]=0), 1,0)</f>
        <v>0</v>
      </c>
      <c r="AA1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3" s="2" t="str">
        <f>INDEX(Sheet5!$B$2:$AG$33, MATCH(Table2[[#This Row],[AwayTeam]],Sheet5!$A$2:$A$33, 0), MATCH(Table2[[#This Row],[HomeTeam]],Sheet5!$A$2:$A$33, 0))</f>
        <v>0-0-0</v>
      </c>
      <c r="AP1263" s="2" t="str">
        <f>INDEX(Sheet5!$B$2:$AG$33, MATCH(Table2[[#This Row],[HomeTeam]],Sheet5!$A$2:$A$33, 0), MATCH(Table2[[#This Row],[AwayTeam]],Sheet5!$A$2:$A$33, 0))</f>
        <v>0-0-0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/>
      <c r="AV1263" s="2"/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45">
        <f>IF(AND(Table2[[#This Row],[GameIsOver]]=1,Table2[[#This Row],[ActualHomeScore]]*Table2[[#This Row],[ActualAwayScore]]=0), 1,0)</f>
        <v>0</v>
      </c>
      <c r="AA1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4" s="2" t="str">
        <f>INDEX(Sheet5!$B$2:$AG$33, MATCH(Table2[[#This Row],[AwayTeam]],Sheet5!$A$2:$A$33, 0), MATCH(Table2[[#This Row],[HomeTeam]],Sheet5!$A$2:$A$33, 0))</f>
        <v>0-0-0</v>
      </c>
      <c r="AP1264" s="2" t="str">
        <f>INDEX(Sheet5!$B$2:$AG$33, MATCH(Table2[[#This Row],[HomeTeam]],Sheet5!$A$2:$A$33, 0), MATCH(Table2[[#This Row],[AwayTeam]],Sheet5!$A$2:$A$33, 0))</f>
        <v>0-0-0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/>
      <c r="AV1264" s="2"/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45">
        <f>IF(AND(Table2[[#This Row],[GameIsOver]]=1,Table2[[#This Row],[ActualHomeScore]]*Table2[[#This Row],[ActualAwayScore]]=0), 1,0)</f>
        <v>0</v>
      </c>
      <c r="AA1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/>
      <c r="AV1265" s="2"/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45">
        <f>IF(AND(Table2[[#This Row],[GameIsOver]]=1,Table2[[#This Row],[ActualHomeScore]]*Table2[[#This Row],[ActualAwayScore]]=0), 1,0)</f>
        <v>0</v>
      </c>
      <c r="AA1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/>
      <c r="AV1266" s="2"/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45">
        <f>IF(AND(Table2[[#This Row],[GameIsOver]]=1,Table2[[#This Row],[ActualHomeScore]]*Table2[[#This Row],[ActualAwayScore]]=0), 1,0)</f>
        <v>0</v>
      </c>
      <c r="AA1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/>
      <c r="AV1267" s="2"/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45">
        <f>IF(AND(Table2[[#This Row],[GameIsOver]]=1,Table2[[#This Row],[ActualHomeScore]]*Table2[[#This Row],[ActualAwayScore]]=0), 1,0)</f>
        <v>0</v>
      </c>
      <c r="AA1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8" s="2" t="str">
        <f>INDEX(Sheet5!$B$2:$AG$33, MATCH(Table2[[#This Row],[AwayTeam]],Sheet5!$A$2:$A$33, 0), MATCH(Table2[[#This Row],[HomeTeam]],Sheet5!$A$2:$A$33, 0))</f>
        <v>0-0-0</v>
      </c>
      <c r="AP1268" s="2" t="str">
        <f>INDEX(Sheet5!$B$2:$AG$33, MATCH(Table2[[#This Row],[HomeTeam]],Sheet5!$A$2:$A$33, 0), MATCH(Table2[[#This Row],[AwayTeam]],Sheet5!$A$2:$A$33, 0))</f>
        <v>0-0-0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/>
      <c r="AV1268" s="2"/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45">
        <f>IF(AND(Table2[[#This Row],[GameIsOver]]=1,Table2[[#This Row],[ActualHomeScore]]*Table2[[#This Row],[ActualAwayScore]]=0), 1,0)</f>
        <v>0</v>
      </c>
      <c r="AA1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/>
      <c r="AV1269" s="2"/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45">
        <f>IF(AND(Table2[[#This Row],[GameIsOver]]=1,Table2[[#This Row],[ActualHomeScore]]*Table2[[#This Row],[ActualAwayScore]]=0), 1,0)</f>
        <v>0</v>
      </c>
      <c r="AA1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/>
      <c r="AV1270" s="2"/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45">
        <f>IF(AND(Table2[[#This Row],[GameIsOver]]=1,Table2[[#This Row],[ActualHomeScore]]*Table2[[#This Row],[ActualAwayScore]]=0), 1,0)</f>
        <v>0</v>
      </c>
      <c r="AA1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/>
      <c r="AV1271" s="2"/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45">
        <f>IF(AND(Table2[[#This Row],[GameIsOver]]=1,Table2[[#This Row],[ActualHomeScore]]*Table2[[#This Row],[ActualAwayScore]]=0), 1,0)</f>
        <v>0</v>
      </c>
      <c r="AA1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/>
      <c r="AV1272" s="2"/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45">
        <f>IF(AND(Table2[[#This Row],[GameIsOver]]=1,Table2[[#This Row],[ActualHomeScore]]*Table2[[#This Row],[ActualAwayScore]]=0), 1,0)</f>
        <v>0</v>
      </c>
      <c r="AA1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/>
      <c r="AV1273" s="2"/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45">
        <f>IF(AND(Table2[[#This Row],[GameIsOver]]=1,Table2[[#This Row],[ActualHomeScore]]*Table2[[#This Row],[ActualAwayScore]]=0), 1,0)</f>
        <v>0</v>
      </c>
      <c r="AA1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4" s="2" t="str">
        <f>INDEX(Sheet5!$B$2:$AG$33, MATCH(Table2[[#This Row],[AwayTeam]],Sheet5!$A$2:$A$33, 0), MATCH(Table2[[#This Row],[HomeTeam]],Sheet5!$A$2:$A$33, 0))</f>
        <v>0-0-0</v>
      </c>
      <c r="AP1274" s="2" t="str">
        <f>INDEX(Sheet5!$B$2:$AG$33, MATCH(Table2[[#This Row],[HomeTeam]],Sheet5!$A$2:$A$33, 0), MATCH(Table2[[#This Row],[AwayTeam]],Sheet5!$A$2:$A$33, 0))</f>
        <v>0-0-0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/>
      <c r="AV1274" s="2"/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45">
        <f>IF(AND(Table2[[#This Row],[GameIsOver]]=1,Table2[[#This Row],[ActualHomeScore]]*Table2[[#This Row],[ActualAwayScore]]=0), 1,0)</f>
        <v>0</v>
      </c>
      <c r="AA1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/>
      <c r="AV1275" s="2"/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45">
        <f>IF(AND(Table2[[#This Row],[GameIsOver]]=1,Table2[[#This Row],[ActualHomeScore]]*Table2[[#This Row],[ActualAwayScore]]=0), 1,0)</f>
        <v>0</v>
      </c>
      <c r="AA1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/>
      <c r="AV1276" s="2"/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45">
        <f>IF(AND(Table2[[#This Row],[GameIsOver]]=1,Table2[[#This Row],[ActualHomeScore]]*Table2[[#This Row],[ActualAwayScore]]=0), 1,0)</f>
        <v>0</v>
      </c>
      <c r="AA1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/>
      <c r="AV1277" s="2"/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45">
        <f>IF(AND(Table2[[#This Row],[GameIsOver]]=1,Table2[[#This Row],[ActualHomeScore]]*Table2[[#This Row],[ActualAwayScore]]=0), 1,0)</f>
        <v>0</v>
      </c>
      <c r="AA1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/>
      <c r="AV1278" s="2"/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45">
        <f>IF(AND(Table2[[#This Row],[GameIsOver]]=1,Table2[[#This Row],[ActualHomeScore]]*Table2[[#This Row],[ActualAwayScore]]=0), 1,0)</f>
        <v>0</v>
      </c>
      <c r="AA1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/>
      <c r="AV1279" s="2"/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45">
        <f>IF(AND(Table2[[#This Row],[GameIsOver]]=1,Table2[[#This Row],[ActualHomeScore]]*Table2[[#This Row],[ActualAwayScore]]=0), 1,0)</f>
        <v>0</v>
      </c>
      <c r="AA1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/>
      <c r="AV1280" s="2"/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45">
        <f>IF(AND(Table2[[#This Row],[GameIsOver]]=1,Table2[[#This Row],[ActualHomeScore]]*Table2[[#This Row],[ActualAwayScore]]=0), 1,0)</f>
        <v>0</v>
      </c>
      <c r="AA1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/>
      <c r="AV1281" s="2"/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45">
        <f>IF(AND(Table2[[#This Row],[GameIsOver]]=1,Table2[[#This Row],[ActualHomeScore]]*Table2[[#This Row],[ActualAwayScore]]=0), 1,0)</f>
        <v>0</v>
      </c>
      <c r="AA1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/>
      <c r="AV1282" s="2"/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45">
        <f>IF(AND(Table2[[#This Row],[GameIsOver]]=1,Table2[[#This Row],[ActualHomeScore]]*Table2[[#This Row],[ActualAwayScore]]=0), 1,0)</f>
        <v>0</v>
      </c>
      <c r="AA1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83" s="2" t="str">
        <f>INDEX(Sheet5!$B$2:$AG$33, MATCH(Table2[[#This Row],[AwayTeam]],Sheet5!$A$2:$A$33, 0), MATCH(Table2[[#This Row],[HomeTeam]],Sheet5!$A$2:$A$33, 0))</f>
        <v>0-0-0</v>
      </c>
      <c r="AP1283" s="2" t="str">
        <f>INDEX(Sheet5!$B$2:$AG$33, MATCH(Table2[[#This Row],[HomeTeam]],Sheet5!$A$2:$A$33, 0), MATCH(Table2[[#This Row],[AwayTeam]],Sheet5!$A$2:$A$33, 0))</f>
        <v>0-0-0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/>
      <c r="AV1283" s="2"/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45">
        <f>IF(AND(Table2[[#This Row],[GameIsOver]]=1,Table2[[#This Row],[ActualHomeScore]]*Table2[[#This Row],[ActualAwayScore]]=0), 1,0)</f>
        <v>0</v>
      </c>
      <c r="AA1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4" s="2" t="str">
        <f>INDEX(Sheet5!$B$2:$AG$33, MATCH(Table2[[#This Row],[AwayTeam]],Sheet5!$A$2:$A$33, 0), MATCH(Table2[[#This Row],[HomeTeam]],Sheet5!$A$2:$A$33, 0))</f>
        <v>0-0-0</v>
      </c>
      <c r="AP1284" s="2" t="str">
        <f>INDEX(Sheet5!$B$2:$AG$33, MATCH(Table2[[#This Row],[HomeTeam]],Sheet5!$A$2:$A$33, 0), MATCH(Table2[[#This Row],[AwayTeam]],Sheet5!$A$2:$A$33, 0))</f>
        <v>0-0-0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/>
      <c r="AV1284" s="2"/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45">
        <f>IF(AND(Table2[[#This Row],[GameIsOver]]=1,Table2[[#This Row],[ActualHomeScore]]*Table2[[#This Row],[ActualAwayScore]]=0), 1,0)</f>
        <v>0</v>
      </c>
      <c r="AA1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/>
      <c r="AV1285" s="2"/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45">
        <f>IF(AND(Table2[[#This Row],[GameIsOver]]=1,Table2[[#This Row],[ActualHomeScore]]*Table2[[#This Row],[ActualAwayScore]]=0), 1,0)</f>
        <v>0</v>
      </c>
      <c r="AA1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6" s="2" t="str">
        <f>INDEX(Sheet5!$B$2:$AG$33, MATCH(Table2[[#This Row],[AwayTeam]],Sheet5!$A$2:$A$33, 0), MATCH(Table2[[#This Row],[HomeTeam]],Sheet5!$A$2:$A$33, 0))</f>
        <v>0-0-0</v>
      </c>
      <c r="AP1286" s="2" t="str">
        <f>INDEX(Sheet5!$B$2:$AG$33, MATCH(Table2[[#This Row],[HomeTeam]],Sheet5!$A$2:$A$33, 0), MATCH(Table2[[#This Row],[AwayTeam]],Sheet5!$A$2:$A$33, 0))</f>
        <v>0-0-0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/>
      <c r="AV1286" s="2"/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45">
        <f>IF(AND(Table2[[#This Row],[GameIsOver]]=1,Table2[[#This Row],[ActualHomeScore]]*Table2[[#This Row],[ActualAwayScore]]=0), 1,0)</f>
        <v>0</v>
      </c>
      <c r="AA1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/>
      <c r="AV1287" s="2"/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45">
        <f>IF(AND(Table2[[#This Row],[GameIsOver]]=1,Table2[[#This Row],[ActualHomeScore]]*Table2[[#This Row],[ActualAwayScore]]=0), 1,0)</f>
        <v>0</v>
      </c>
      <c r="AA1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8" s="2" t="str">
        <f>INDEX(Sheet5!$B$2:$AG$33, MATCH(Table2[[#This Row],[AwayTeam]],Sheet5!$A$2:$A$33, 0), MATCH(Table2[[#This Row],[HomeTeam]],Sheet5!$A$2:$A$33, 0))</f>
        <v>0-0-0</v>
      </c>
      <c r="AP1288" s="2" t="str">
        <f>INDEX(Sheet5!$B$2:$AG$33, MATCH(Table2[[#This Row],[HomeTeam]],Sheet5!$A$2:$A$33, 0), MATCH(Table2[[#This Row],[AwayTeam]],Sheet5!$A$2:$A$33, 0))</f>
        <v>0-0-0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/>
      <c r="AV1288" s="2"/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45">
        <f>IF(AND(Table2[[#This Row],[GameIsOver]]=1,Table2[[#This Row],[ActualHomeScore]]*Table2[[#This Row],[ActualAwayScore]]=0), 1,0)</f>
        <v>0</v>
      </c>
      <c r="AA1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/>
      <c r="AV1289" s="2"/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45">
        <f>IF(AND(Table2[[#This Row],[GameIsOver]]=1,Table2[[#This Row],[ActualHomeScore]]*Table2[[#This Row],[ActualAwayScore]]=0), 1,0)</f>
        <v>0</v>
      </c>
      <c r="AA1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/>
      <c r="AV1290" s="2"/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45">
        <f>IF(AND(Table2[[#This Row],[GameIsOver]]=1,Table2[[#This Row],[ActualHomeScore]]*Table2[[#This Row],[ActualAwayScore]]=0), 1,0)</f>
        <v>0</v>
      </c>
      <c r="AA1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/>
      <c r="AV1291" s="2"/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45">
        <f>IF(AND(Table2[[#This Row],[GameIsOver]]=1,Table2[[#This Row],[ActualHomeScore]]*Table2[[#This Row],[ActualAwayScore]]=0), 1,0)</f>
        <v>0</v>
      </c>
      <c r="AA1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/>
      <c r="AV1292" s="2"/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45">
        <f>IF(AND(Table2[[#This Row],[GameIsOver]]=1,Table2[[#This Row],[ActualHomeScore]]*Table2[[#This Row],[ActualAwayScore]]=0), 1,0)</f>
        <v>0</v>
      </c>
      <c r="AA1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/>
      <c r="AV1293" s="2"/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45">
        <f>IF(AND(Table2[[#This Row],[GameIsOver]]=1,Table2[[#This Row],[ActualHomeScore]]*Table2[[#This Row],[ActualAwayScore]]=0), 1,0)</f>
        <v>0</v>
      </c>
      <c r="AA1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/>
      <c r="AV1294" s="2"/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45">
        <f>IF(AND(Table2[[#This Row],[GameIsOver]]=1,Table2[[#This Row],[ActualHomeScore]]*Table2[[#This Row],[ActualAwayScore]]=0), 1,0)</f>
        <v>0</v>
      </c>
      <c r="AA1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/>
      <c r="AV1295" s="2"/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45">
        <f>IF(AND(Table2[[#This Row],[GameIsOver]]=1,Table2[[#This Row],[ActualHomeScore]]*Table2[[#This Row],[ActualAwayScore]]=0), 1,0)</f>
        <v>0</v>
      </c>
      <c r="AA1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/>
      <c r="AV1296" s="2"/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45">
        <f>IF(AND(Table2[[#This Row],[GameIsOver]]=1,Table2[[#This Row],[ActualHomeScore]]*Table2[[#This Row],[ActualAwayScore]]=0), 1,0)</f>
        <v>0</v>
      </c>
      <c r="AA1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7" s="2" t="str">
        <f>INDEX(Sheet5!$B$2:$AG$33, MATCH(Table2[[#This Row],[AwayTeam]],Sheet5!$A$2:$A$33, 0), MATCH(Table2[[#This Row],[HomeTeam]],Sheet5!$A$2:$A$33, 0))</f>
        <v>0-0-0</v>
      </c>
      <c r="AP1297" s="2" t="str">
        <f>INDEX(Sheet5!$B$2:$AG$33, MATCH(Table2[[#This Row],[HomeTeam]],Sheet5!$A$2:$A$33, 0), MATCH(Table2[[#This Row],[AwayTeam]],Sheet5!$A$2:$A$33, 0))</f>
        <v>0-0-0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/>
      <c r="AV1297" s="2"/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45">
        <f>IF(AND(Table2[[#This Row],[GameIsOver]]=1,Table2[[#This Row],[ActualHomeScore]]*Table2[[#This Row],[ActualAwayScore]]=0), 1,0)</f>
        <v>0</v>
      </c>
      <c r="AA1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/>
      <c r="AV1298" s="2"/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45">
        <f>IF(AND(Table2[[#This Row],[GameIsOver]]=1,Table2[[#This Row],[ActualHomeScore]]*Table2[[#This Row],[ActualAwayScore]]=0), 1,0)</f>
        <v>0</v>
      </c>
      <c r="AA1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9" s="2" t="str">
        <f>INDEX(Sheet5!$B$2:$AG$33, MATCH(Table2[[#This Row],[AwayTeam]],Sheet5!$A$2:$A$33, 0), MATCH(Table2[[#This Row],[HomeTeam]],Sheet5!$A$2:$A$33, 0))</f>
        <v>0-0-0</v>
      </c>
      <c r="AP1299" s="2" t="str">
        <f>INDEX(Sheet5!$B$2:$AG$33, MATCH(Table2[[#This Row],[HomeTeam]],Sheet5!$A$2:$A$33, 0), MATCH(Table2[[#This Row],[AwayTeam]],Sheet5!$A$2:$A$33, 0))</f>
        <v>0-0-0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/>
      <c r="AV1299" s="2"/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45">
        <f>IF(AND(Table2[[#This Row],[GameIsOver]]=1,Table2[[#This Row],[ActualHomeScore]]*Table2[[#This Row],[ActualAwayScore]]=0), 1,0)</f>
        <v>0</v>
      </c>
      <c r="AA1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/>
      <c r="AV1300" s="2"/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45">
        <f>IF(AND(Table2[[#This Row],[GameIsOver]]=1,Table2[[#This Row],[ActualHomeScore]]*Table2[[#This Row],[ActualAwayScore]]=0), 1,0)</f>
        <v>0</v>
      </c>
      <c r="AA1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1" s="2" t="str">
        <f>INDEX(Sheet5!$B$2:$AG$33, MATCH(Table2[[#This Row],[AwayTeam]],Sheet5!$A$2:$A$33, 0), MATCH(Table2[[#This Row],[HomeTeam]],Sheet5!$A$2:$A$33, 0))</f>
        <v>0-0-0</v>
      </c>
      <c r="AP1301" s="2" t="str">
        <f>INDEX(Sheet5!$B$2:$AG$33, MATCH(Table2[[#This Row],[HomeTeam]],Sheet5!$A$2:$A$33, 0), MATCH(Table2[[#This Row],[AwayTeam]],Sheet5!$A$2:$A$33, 0))</f>
        <v>0-0-0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/>
      <c r="AV1301" s="2"/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45">
        <f>IF(AND(Table2[[#This Row],[GameIsOver]]=1,Table2[[#This Row],[ActualHomeScore]]*Table2[[#This Row],[ActualAwayScore]]=0), 1,0)</f>
        <v>0</v>
      </c>
      <c r="AA1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/>
      <c r="AV1302" s="2"/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45">
        <f>IF(AND(Table2[[#This Row],[GameIsOver]]=1,Table2[[#This Row],[ActualHomeScore]]*Table2[[#This Row],[ActualAwayScore]]=0), 1,0)</f>
        <v>0</v>
      </c>
      <c r="AA1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/>
      <c r="AV1303" s="2"/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45">
        <f>IF(AND(Table2[[#This Row],[GameIsOver]]=1,Table2[[#This Row],[ActualHomeScore]]*Table2[[#This Row],[ActualAwayScore]]=0), 1,0)</f>
        <v>0</v>
      </c>
      <c r="AA1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/>
      <c r="AV1304" s="2"/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45">
        <f>IF(AND(Table2[[#This Row],[GameIsOver]]=1,Table2[[#This Row],[ActualHomeScore]]*Table2[[#This Row],[ActualAwayScore]]=0), 1,0)</f>
        <v>0</v>
      </c>
      <c r="AA1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5" s="2" t="str">
        <f>INDEX(Sheet5!$B$2:$AG$33, MATCH(Table2[[#This Row],[AwayTeam]],Sheet5!$A$2:$A$33, 0), MATCH(Table2[[#This Row],[HomeTeam]],Sheet5!$A$2:$A$33, 0))</f>
        <v>0-0-0</v>
      </c>
      <c r="AP1305" s="2" t="str">
        <f>INDEX(Sheet5!$B$2:$AG$33, MATCH(Table2[[#This Row],[HomeTeam]],Sheet5!$A$2:$A$33, 0), MATCH(Table2[[#This Row],[AwayTeam]],Sheet5!$A$2:$A$33, 0))</f>
        <v>0-0-0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/>
      <c r="AV1305" s="2"/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45">
        <f>IF(AND(Table2[[#This Row],[GameIsOver]]=1,Table2[[#This Row],[ActualHomeScore]]*Table2[[#This Row],[ActualAwayScore]]=0), 1,0)</f>
        <v>0</v>
      </c>
      <c r="AA1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/>
      <c r="AV1306" s="2"/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45">
        <f>IF(AND(Table2[[#This Row],[GameIsOver]]=1,Table2[[#This Row],[ActualHomeScore]]*Table2[[#This Row],[ActualAwayScore]]=0), 1,0)</f>
        <v>0</v>
      </c>
      <c r="AA1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/>
      <c r="AV1307" s="2"/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45">
        <f>IF(AND(Table2[[#This Row],[GameIsOver]]=1,Table2[[#This Row],[ActualHomeScore]]*Table2[[#This Row],[ActualAwayScore]]=0), 1,0)</f>
        <v>0</v>
      </c>
      <c r="AA1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8" s="2" t="str">
        <f>INDEX(Sheet5!$B$2:$AG$33, MATCH(Table2[[#This Row],[AwayTeam]],Sheet5!$A$2:$A$33, 0), MATCH(Table2[[#This Row],[HomeTeam]],Sheet5!$A$2:$A$33, 0))</f>
        <v>0-0-0</v>
      </c>
      <c r="AP1308" s="2" t="str">
        <f>INDEX(Sheet5!$B$2:$AG$33, MATCH(Table2[[#This Row],[HomeTeam]],Sheet5!$A$2:$A$33, 0), MATCH(Table2[[#This Row],[AwayTeam]],Sheet5!$A$2:$A$33, 0))</f>
        <v>0-0-0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/>
      <c r="AV1308" s="2"/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45">
        <f>IF(AND(Table2[[#This Row],[GameIsOver]]=1,Table2[[#This Row],[ActualHomeScore]]*Table2[[#This Row],[ActualAwayScore]]=0), 1,0)</f>
        <v>0</v>
      </c>
      <c r="AA1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9" s="2" t="str">
        <f>INDEX(Sheet5!$B$2:$AG$33, MATCH(Table2[[#This Row],[AwayTeam]],Sheet5!$A$2:$A$33, 0), MATCH(Table2[[#This Row],[HomeTeam]],Sheet5!$A$2:$A$33, 0))</f>
        <v>0-0-0</v>
      </c>
      <c r="AP1309" s="2" t="str">
        <f>INDEX(Sheet5!$B$2:$AG$33, MATCH(Table2[[#This Row],[HomeTeam]],Sheet5!$A$2:$A$33, 0), MATCH(Table2[[#This Row],[AwayTeam]],Sheet5!$A$2:$A$33, 0))</f>
        <v>0-0-0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/>
      <c r="AV1309" s="2"/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45">
        <f>IF(AND(Table2[[#This Row],[GameIsOver]]=1,Table2[[#This Row],[ActualHomeScore]]*Table2[[#This Row],[ActualAwayScore]]=0), 1,0)</f>
        <v>0</v>
      </c>
      <c r="AA1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/>
      <c r="AV1310" s="2"/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45">
        <f>IF(AND(Table2[[#This Row],[GameIsOver]]=1,Table2[[#This Row],[ActualHomeScore]]*Table2[[#This Row],[ActualAwayScore]]=0), 1,0)</f>
        <v>0</v>
      </c>
      <c r="AA1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1" s="2" t="str">
        <f>INDEX(Sheet5!$B$2:$AG$33, MATCH(Table2[[#This Row],[AwayTeam]],Sheet5!$A$2:$A$33, 0), MATCH(Table2[[#This Row],[HomeTeam]],Sheet5!$A$2:$A$33, 0))</f>
        <v>0-0-0</v>
      </c>
      <c r="AP1311" s="2" t="str">
        <f>INDEX(Sheet5!$B$2:$AG$33, MATCH(Table2[[#This Row],[HomeTeam]],Sheet5!$A$2:$A$33, 0), MATCH(Table2[[#This Row],[AwayTeam]],Sheet5!$A$2:$A$33, 0))</f>
        <v>0-0-0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/>
      <c r="AV1311" s="2"/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45">
        <f>IF(AND(Table2[[#This Row],[GameIsOver]]=1,Table2[[#This Row],[ActualHomeScore]]*Table2[[#This Row],[ActualAwayScore]]=0), 1,0)</f>
        <v>0</v>
      </c>
      <c r="AA1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/>
      <c r="AV1312" s="2"/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45">
        <f>IF(AND(Table2[[#This Row],[GameIsOver]]=1,Table2[[#This Row],[ActualHomeScore]]*Table2[[#This Row],[ActualAwayScore]]=0), 1,0)</f>
        <v>0</v>
      </c>
      <c r="AA1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3" s="2" t="str">
        <f>INDEX(Sheet5!$B$2:$AG$33, MATCH(Table2[[#This Row],[AwayTeam]],Sheet5!$A$2:$A$33, 0), MATCH(Table2[[#This Row],[HomeTeam]],Sheet5!$A$2:$A$33, 0))</f>
        <v>0-0-0</v>
      </c>
      <c r="AP1313" s="2" t="str">
        <f>INDEX(Sheet5!$B$2:$AG$33, MATCH(Table2[[#This Row],[HomeTeam]],Sheet5!$A$2:$A$33, 0), MATCH(Table2[[#This Row],[AwayTeam]],Sheet5!$A$2:$A$33, 0))</f>
        <v>0-0-0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/>
      <c r="AV1313" s="2"/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45">
        <f>IF(AND(Table2[[#This Row],[GameIsOver]]=1,Table2[[#This Row],[ActualHomeScore]]*Table2[[#This Row],[ActualAwayScore]]=0), 1,0)</f>
        <v>0</v>
      </c>
      <c r="AA1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/>
      <c r="AV1314" s="2"/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C23:AM662 D663:AM663 C664:AM949 C950:X950 C951:AM1314 D1315:BH1048576 AF1:BG1 Z950:AM950 AO23:BI1314 AE1:AE1314 BB3:BI5 X4:Y7 BB6:BG11 BI6:BI11 BH6:BH12 BA12:BI16 BA17:BG17 BA18:BI22 A1:B1048576">
    <cfRule type="cellIs" dxfId="125" priority="20" operator="equal">
      <formula>"OTT"</formula>
    </cfRule>
    <cfRule type="cellIs" dxfId="124" priority="33" operator="equal">
      <formula>"CGY"</formula>
    </cfRule>
    <cfRule type="cellIs" dxfId="123" priority="34" operator="equal">
      <formula>"COL"</formula>
    </cfRule>
    <cfRule type="cellIs" dxfId="122" priority="35" operator="equal">
      <formula>"CHI"</formula>
    </cfRule>
    <cfRule type="cellIs" dxfId="121" priority="36" operator="equal">
      <formula>"CAR"</formula>
    </cfRule>
    <cfRule type="cellIs" dxfId="120" priority="37" operator="equal">
      <formula>"BUF"</formula>
    </cfRule>
    <cfRule type="cellIs" dxfId="119" priority="7" operator="equal">
      <formula>"WSH"</formula>
    </cfRule>
    <cfRule type="cellIs" dxfId="118" priority="8" operator="equal">
      <formula>"UTA"</formula>
    </cfRule>
    <cfRule type="cellIs" dxfId="117" priority="9" operator="equal">
      <formula>"TBL"</formula>
    </cfRule>
    <cfRule type="cellIs" dxfId="116" priority="10" operator="equal">
      <formula>"TOR"</formula>
    </cfRule>
    <cfRule type="cellIs" dxfId="115" priority="11" operator="equal">
      <formula>"WPG"</formula>
    </cfRule>
    <cfRule type="cellIs" dxfId="114" priority="12" operator="equal">
      <formula>"VAN"</formula>
    </cfRule>
    <cfRule type="cellIs" dxfId="113" priority="13" operator="equal">
      <formula>"VGK"</formula>
    </cfRule>
    <cfRule type="cellIs" dxfId="112" priority="14" operator="equal">
      <formula>"SEA"</formula>
    </cfRule>
    <cfRule type="cellIs" dxfId="111" priority="15" operator="equal">
      <formula>"STL"</formula>
    </cfRule>
    <cfRule type="cellIs" dxfId="110" priority="16" operator="equal">
      <formula>"SJS"</formula>
    </cfRule>
    <cfRule type="cellIs" dxfId="109" priority="17" operator="equal">
      <formula>"PHI"</formula>
    </cfRule>
    <cfRule type="cellIs" dxfId="108" priority="18" operator="equal">
      <formula>"LAK"</formula>
    </cfRule>
    <cfRule type="cellIs" dxfId="107" priority="19" operator="equal">
      <formula>"PIT"</formula>
    </cfRule>
    <cfRule type="cellIs" dxfId="106" priority="38" operator="equal">
      <formula>"ANA"</formula>
    </cfRule>
    <cfRule type="cellIs" dxfId="105" priority="21" operator="equal">
      <formula>"NSH"</formula>
    </cfRule>
    <cfRule type="cellIs" dxfId="104" priority="22" operator="equal">
      <formula>"MIN"</formula>
    </cfRule>
    <cfRule type="cellIs" dxfId="103" priority="23" operator="equal">
      <formula>"MTL"</formula>
    </cfRule>
    <cfRule type="cellIs" dxfId="102" priority="24" operator="equal">
      <formula>"NYR"</formula>
    </cfRule>
    <cfRule type="cellIs" dxfId="101" priority="25" operator="equal">
      <formula>"NJD"</formula>
    </cfRule>
    <cfRule type="cellIs" dxfId="100" priority="26" operator="equal">
      <formula>"NYI"</formula>
    </cfRule>
    <cfRule type="cellIs" dxfId="99" priority="27" operator="equal">
      <formula>"BOS"</formula>
    </cfRule>
    <cfRule type="cellIs" dxfId="98" priority="28" operator="equal">
      <formula>"FLA"</formula>
    </cfRule>
    <cfRule type="cellIs" dxfId="97" priority="29" operator="equal">
      <formula>"EDM"</formula>
    </cfRule>
    <cfRule type="cellIs" dxfId="96" priority="30" operator="equal">
      <formula>"DAL"</formula>
    </cfRule>
    <cfRule type="cellIs" dxfId="95" priority="31" operator="equal">
      <formula>"DET"</formula>
    </cfRule>
    <cfRule type="cellIs" dxfId="94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0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workbookViewId="0">
      <selection activeCell="L20" sqref="L20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10.42578125" bestFit="1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45">
        <f>SUMIFS(Table2[NewPointsAway],Table2[GameDate], "&lt;=" &amp; $A2, Table2[AwayTeam], B$1)+SUMIFS(Table2[NewPointsHome],Table2[GameDate], "&lt;=" &amp; $A2, Table2[HomeTeam], B$1)</f>
        <v>0</v>
      </c>
      <c r="C2" s="145">
        <f>SUMIFS(Table2[NewPointsAway],Table2[GameDate], "&lt;=" &amp; $A2, Table2[AwayTeam], C$1)+SUMIFS(Table2[NewPointsHome],Table2[GameDate], "&lt;=" &amp; $A2, Table2[HomeTeam], C$1)</f>
        <v>0</v>
      </c>
      <c r="D2" s="145">
        <f>SUMIFS(Table2[NewPointsAway],Table2[GameDate], "&lt;=" &amp; $A2, Table2[AwayTeam], D$1)+SUMIFS(Table2[NewPointsHome],Table2[GameDate], "&lt;=" &amp; $A2, Table2[HomeTeam], D$1)</f>
        <v>0</v>
      </c>
      <c r="E2" s="145">
        <f>SUMIFS(Table2[NewPointsAway],Table2[GameDate], "&lt;=" &amp; $A2, Table2[AwayTeam], E$1)+SUMIFS(Table2[NewPointsHome],Table2[GameDate], "&lt;=" &amp; $A2, Table2[HomeTeam], E$1)</f>
        <v>0</v>
      </c>
      <c r="F2" s="145">
        <f>SUMIFS(Table2[NewPointsAway],Table2[GameDate], "&lt;=" &amp; $A2, Table2[AwayTeam], F$1)+SUMIFS(Table2[NewPointsHome],Table2[GameDate], "&lt;=" &amp; $A2, Table2[HomeTeam], F$1)</f>
        <v>0</v>
      </c>
      <c r="G2" s="145">
        <f>SUMIFS(Table2[NewPointsAway],Table2[GameDate], "&lt;=" &amp; $A2, Table2[AwayTeam], G$1)+SUMIFS(Table2[NewPointsHome],Table2[GameDate], "&lt;=" &amp; $A2, Table2[HomeTeam], G$1)</f>
        <v>0</v>
      </c>
      <c r="H2" s="145">
        <f>SUMIFS(Table2[NewPointsAway],Table2[GameDate], "&lt;=" &amp; $A2, Table2[AwayTeam], H$1)+SUMIFS(Table2[NewPointsHome],Table2[GameDate], "&lt;=" &amp; $A2, Table2[HomeTeam], H$1)</f>
        <v>0</v>
      </c>
      <c r="I2" s="145">
        <f>SUMIFS(Table2[NewPointsAway],Table2[GameDate], "&lt;=" &amp; $A2, Table2[AwayTeam], I$1)+SUMIFS(Table2[NewPointsHome],Table2[GameDate], "&lt;=" &amp; $A2, Table2[HomeTeam], I$1)</f>
        <v>0</v>
      </c>
      <c r="J2" s="145">
        <f>SUMIFS(Table2[NewPointsAway],Table2[GameDate], "&lt;=" &amp; $A2, Table2[AwayTeam], J$1)+SUMIFS(Table2[NewPointsHome],Table2[GameDate], "&lt;=" &amp; $A2, Table2[HomeTeam], J$1)</f>
        <v>0</v>
      </c>
      <c r="K2" s="145">
        <f>SUMIFS(Table2[NewPointsAway],Table2[GameDate], "&lt;=" &amp; $A2, Table2[AwayTeam], K$1)+SUMIFS(Table2[NewPointsHome],Table2[GameDate], "&lt;=" &amp; $A2, Table2[HomeTeam], K$1)</f>
        <v>0</v>
      </c>
      <c r="L2" s="145">
        <f>SUMIFS(Table2[NewPointsAway],Table2[GameDate], "&lt;=" &amp; $A2, Table2[AwayTeam], L$1)+SUMIFS(Table2[NewPointsHome],Table2[GameDate], "&lt;=" &amp; $A2, Table2[HomeTeam], L$1)</f>
        <v>0</v>
      </c>
      <c r="M2" s="145">
        <f>SUMIFS(Table2[NewPointsAway],Table2[GameDate], "&lt;=" &amp; $A2, Table2[AwayTeam], M$1)+SUMIFS(Table2[NewPointsHome],Table2[GameDate], "&lt;=" &amp; $A2, Table2[HomeTeam], M$1)</f>
        <v>0</v>
      </c>
      <c r="N2" s="145">
        <f>SUMIFS(Table2[NewPointsAway],Table2[GameDate], "&lt;=" &amp; $A2, Table2[AwayTeam], N$1)+SUMIFS(Table2[NewPointsHome],Table2[GameDate], "&lt;=" &amp; $A2, Table2[HomeTeam], N$1)</f>
        <v>0</v>
      </c>
      <c r="O2" s="145">
        <f>SUMIFS(Table2[NewPointsAway],Table2[GameDate], "&lt;=" &amp; $A2, Table2[AwayTeam], O$1)+SUMIFS(Table2[NewPointsHome],Table2[GameDate], "&lt;=" &amp; $A2, Table2[HomeTeam], O$1)</f>
        <v>0</v>
      </c>
      <c r="P2" s="145">
        <f>SUMIFS(Table2[NewPointsAway],Table2[GameDate], "&lt;=" &amp; $A2, Table2[AwayTeam], P$1)+SUMIFS(Table2[NewPointsHome],Table2[GameDate], "&lt;=" &amp; $A2, Table2[HomeTeam], P$1)</f>
        <v>0</v>
      </c>
      <c r="Q2" s="145">
        <f>SUMIFS(Table2[NewPointsAway],Table2[GameDate], "&lt;=" &amp; $A2, Table2[AwayTeam], Q$1)+SUMIFS(Table2[NewPointsHome],Table2[GameDate], "&lt;=" &amp; $A2, Table2[HomeTeam], Q$1)</f>
        <v>0</v>
      </c>
      <c r="R2" s="145">
        <f>SUMIFS(Table2[NewPointsAway],Table2[GameDate], "&lt;=" &amp; $A2, Table2[AwayTeam], R$1)+SUMIFS(Table2[NewPointsHome],Table2[GameDate], "&lt;=" &amp; $A2, Table2[HomeTeam], R$1)</f>
        <v>0</v>
      </c>
      <c r="S2" s="145">
        <f>SUMIFS(Table2[NewPointsAway],Table2[GameDate], "&lt;=" &amp; $A2, Table2[AwayTeam], S$1)+SUMIFS(Table2[NewPointsHome],Table2[GameDate], "&lt;=" &amp; $A2, Table2[HomeTeam], S$1)</f>
        <v>0</v>
      </c>
      <c r="T2" s="145">
        <f>SUMIFS(Table2[NewPointsAway],Table2[GameDate], "&lt;=" &amp; $A2, Table2[AwayTeam], T$1)+SUMIFS(Table2[NewPointsHome],Table2[GameDate], "&lt;=" &amp; $A2, Table2[HomeTeam], T$1)</f>
        <v>0</v>
      </c>
      <c r="U2" s="145">
        <f>SUMIFS(Table2[NewPointsAway],Table2[GameDate], "&lt;=" &amp; $A2, Table2[AwayTeam], U$1)+SUMIFS(Table2[NewPointsHome],Table2[GameDate], "&lt;=" &amp; $A2, Table2[HomeTeam], U$1)</f>
        <v>0</v>
      </c>
      <c r="V2" s="145">
        <f>SUMIFS(Table2[NewPointsAway],Table2[GameDate], "&lt;=" &amp; $A2, Table2[AwayTeam], V$1)+SUMIFS(Table2[NewPointsHome],Table2[GameDate], "&lt;=" &amp; $A2, Table2[HomeTeam], V$1)</f>
        <v>0</v>
      </c>
      <c r="W2" s="145">
        <f>SUMIFS(Table2[NewPointsAway],Table2[GameDate], "&lt;=" &amp; $A2, Table2[AwayTeam], W$1)+SUMIFS(Table2[NewPointsHome],Table2[GameDate], "&lt;=" &amp; $A2, Table2[HomeTeam], W$1)</f>
        <v>0</v>
      </c>
      <c r="X2" s="145">
        <f>SUMIFS(Table2[NewPointsAway],Table2[GameDate], "&lt;=" &amp; $A2, Table2[AwayTeam], X$1)+SUMIFS(Table2[NewPointsHome],Table2[GameDate], "&lt;=" &amp; $A2, Table2[HomeTeam], X$1)</f>
        <v>0</v>
      </c>
      <c r="Y2" s="145">
        <f>SUMIFS(Table2[NewPointsAway],Table2[GameDate], "&lt;=" &amp; $A2, Table2[AwayTeam], Y$1)+SUMIFS(Table2[NewPointsHome],Table2[GameDate], "&lt;=" &amp; $A2, Table2[HomeTeam], Y$1)</f>
        <v>0</v>
      </c>
      <c r="Z2" s="145">
        <f>SUMIFS(Table2[NewPointsAway],Table2[GameDate], "&lt;=" &amp; $A2, Table2[AwayTeam], Z$1)+SUMIFS(Table2[NewPointsHome],Table2[GameDate], "&lt;=" &amp; $A2, Table2[HomeTeam], Z$1)</f>
        <v>0</v>
      </c>
      <c r="AA2" s="145">
        <f>SUMIFS(Table2[NewPointsAway],Table2[GameDate], "&lt;=" &amp; $A2, Table2[AwayTeam], AA$1)+SUMIFS(Table2[NewPointsHome],Table2[GameDate], "&lt;=" &amp; $A2, Table2[HomeTeam], AA$1)</f>
        <v>0</v>
      </c>
      <c r="AB2" s="145">
        <f>SUMIFS(Table2[NewPointsAway],Table2[GameDate], "&lt;=" &amp; $A2, Table2[AwayTeam], AB$1)+SUMIFS(Table2[NewPointsHome],Table2[GameDate], "&lt;=" &amp; $A2, Table2[HomeTeam], AB$1)</f>
        <v>0</v>
      </c>
      <c r="AC2" s="145">
        <f>SUMIFS(Table2[NewPointsAway],Table2[GameDate], "&lt;=" &amp; $A2, Table2[AwayTeam], AC$1)+SUMIFS(Table2[NewPointsHome],Table2[GameDate], "&lt;=" &amp; $A2, Table2[HomeTeam], AC$1)</f>
        <v>0</v>
      </c>
      <c r="AD2" s="145">
        <f>SUMIFS(Table2[NewPointsAway],Table2[GameDate], "&lt;=" &amp; $A2, Table2[AwayTeam], AD$1)+SUMIFS(Table2[NewPointsHome],Table2[GameDate], "&lt;=" &amp; $A2, Table2[HomeTeam], AD$1)</f>
        <v>0</v>
      </c>
      <c r="AE2" s="145">
        <f>SUMIFS(Table2[NewPointsAway],Table2[GameDate], "&lt;=" &amp; $A2, Table2[AwayTeam], AE$1)+SUMIFS(Table2[NewPointsHome],Table2[GameDate], "&lt;=" &amp; $A2, Table2[HomeTeam], AE$1)</f>
        <v>0</v>
      </c>
      <c r="AF2" s="145">
        <f>SUMIFS(Table2[NewPointsAway],Table2[GameDate], "&lt;=" &amp; $A2, Table2[AwayTeam], AF$1)+SUMIFS(Table2[NewPointsHome],Table2[GameDate], "&lt;=" &amp; $A2, Table2[HomeTeam], AF$1)</f>
        <v>0</v>
      </c>
      <c r="AG2" s="145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45">
        <f>SUMIFS(Table2[NewPointsAway],Table2[GameDate], "&lt;=" &amp; $A3, Table2[AwayTeam], B$1)+SUMIFS(Table2[NewPointsHome],Table2[GameDate], "&lt;=" &amp; $A3, Table2[HomeTeam], B$1)</f>
        <v>0</v>
      </c>
      <c r="C3" s="145">
        <f>SUMIFS(Table2[NewPointsAway],Table2[GameDate], "&lt;=" &amp; $A3, Table2[AwayTeam], C$1)+SUMIFS(Table2[NewPointsHome],Table2[GameDate], "&lt;=" &amp; $A3, Table2[HomeTeam], C$1)</f>
        <v>0</v>
      </c>
      <c r="D3" s="145">
        <f>SUMIFS(Table2[NewPointsAway],Table2[GameDate], "&lt;=" &amp; $A3, Table2[AwayTeam], D$1)+SUMIFS(Table2[NewPointsHome],Table2[GameDate], "&lt;=" &amp; $A3, Table2[HomeTeam], D$1)</f>
        <v>0</v>
      </c>
      <c r="E3" s="145">
        <f>SUMIFS(Table2[NewPointsAway],Table2[GameDate], "&lt;=" &amp; $A3, Table2[AwayTeam], E$1)+SUMIFS(Table2[NewPointsHome],Table2[GameDate], "&lt;=" &amp; $A3, Table2[HomeTeam], E$1)</f>
        <v>0</v>
      </c>
      <c r="F3" s="145">
        <f>SUMIFS(Table2[NewPointsAway],Table2[GameDate], "&lt;=" &amp; $A3, Table2[AwayTeam], F$1)+SUMIFS(Table2[NewPointsHome],Table2[GameDate], "&lt;=" &amp; $A3, Table2[HomeTeam], F$1)</f>
        <v>0</v>
      </c>
      <c r="G3" s="145">
        <f>SUMIFS(Table2[NewPointsAway],Table2[GameDate], "&lt;=" &amp; $A3, Table2[AwayTeam], G$1)+SUMIFS(Table2[NewPointsHome],Table2[GameDate], "&lt;=" &amp; $A3, Table2[HomeTeam], G$1)</f>
        <v>0</v>
      </c>
      <c r="H3" s="145">
        <f>SUMIFS(Table2[NewPointsAway],Table2[GameDate], "&lt;=" &amp; $A3, Table2[AwayTeam], H$1)+SUMIFS(Table2[NewPointsHome],Table2[GameDate], "&lt;=" &amp; $A3, Table2[HomeTeam], H$1)</f>
        <v>0</v>
      </c>
      <c r="I3" s="145">
        <f>SUMIFS(Table2[NewPointsAway],Table2[GameDate], "&lt;=" &amp; $A3, Table2[AwayTeam], I$1)+SUMIFS(Table2[NewPointsHome],Table2[GameDate], "&lt;=" &amp; $A3, Table2[HomeTeam], I$1)</f>
        <v>0</v>
      </c>
      <c r="J3" s="145">
        <f>SUMIFS(Table2[NewPointsAway],Table2[GameDate], "&lt;=" &amp; $A3, Table2[AwayTeam], J$1)+SUMIFS(Table2[NewPointsHome],Table2[GameDate], "&lt;=" &amp; $A3, Table2[HomeTeam], J$1)</f>
        <v>0</v>
      </c>
      <c r="K3" s="145">
        <f>SUMIFS(Table2[NewPointsAway],Table2[GameDate], "&lt;=" &amp; $A3, Table2[AwayTeam], K$1)+SUMIFS(Table2[NewPointsHome],Table2[GameDate], "&lt;=" &amp; $A3, Table2[HomeTeam], K$1)</f>
        <v>0</v>
      </c>
      <c r="L3" s="145">
        <f>SUMIFS(Table2[NewPointsAway],Table2[GameDate], "&lt;=" &amp; $A3, Table2[AwayTeam], L$1)+SUMIFS(Table2[NewPointsHome],Table2[GameDate], "&lt;=" &amp; $A3, Table2[HomeTeam], L$1)</f>
        <v>0</v>
      </c>
      <c r="M3" s="145">
        <f>SUMIFS(Table2[NewPointsAway],Table2[GameDate], "&lt;=" &amp; $A3, Table2[AwayTeam], M$1)+SUMIFS(Table2[NewPointsHome],Table2[GameDate], "&lt;=" &amp; $A3, Table2[HomeTeam], M$1)</f>
        <v>0</v>
      </c>
      <c r="N3" s="145">
        <f>SUMIFS(Table2[NewPointsAway],Table2[GameDate], "&lt;=" &amp; $A3, Table2[AwayTeam], N$1)+SUMIFS(Table2[NewPointsHome],Table2[GameDate], "&lt;=" &amp; $A3, Table2[HomeTeam], N$1)</f>
        <v>0</v>
      </c>
      <c r="O3" s="145">
        <f>SUMIFS(Table2[NewPointsAway],Table2[GameDate], "&lt;=" &amp; $A3, Table2[AwayTeam], O$1)+SUMIFS(Table2[NewPointsHome],Table2[GameDate], "&lt;=" &amp; $A3, Table2[HomeTeam], O$1)</f>
        <v>0</v>
      </c>
      <c r="P3" s="145">
        <f>SUMIFS(Table2[NewPointsAway],Table2[GameDate], "&lt;=" &amp; $A3, Table2[AwayTeam], P$1)+SUMIFS(Table2[NewPointsHome],Table2[GameDate], "&lt;=" &amp; $A3, Table2[HomeTeam], P$1)</f>
        <v>0</v>
      </c>
      <c r="Q3" s="145">
        <f>SUMIFS(Table2[NewPointsAway],Table2[GameDate], "&lt;=" &amp; $A3, Table2[AwayTeam], Q$1)+SUMIFS(Table2[NewPointsHome],Table2[GameDate], "&lt;=" &amp; $A3, Table2[HomeTeam], Q$1)</f>
        <v>0</v>
      </c>
      <c r="R3" s="145">
        <f>SUMIFS(Table2[NewPointsAway],Table2[GameDate], "&lt;=" &amp; $A3, Table2[AwayTeam], R$1)+SUMIFS(Table2[NewPointsHome],Table2[GameDate], "&lt;=" &amp; $A3, Table2[HomeTeam], R$1)</f>
        <v>0</v>
      </c>
      <c r="S3" s="145">
        <f>SUMIFS(Table2[NewPointsAway],Table2[GameDate], "&lt;=" &amp; $A3, Table2[AwayTeam], S$1)+SUMIFS(Table2[NewPointsHome],Table2[GameDate], "&lt;=" &amp; $A3, Table2[HomeTeam], S$1)</f>
        <v>0</v>
      </c>
      <c r="T3" s="145">
        <f>SUMIFS(Table2[NewPointsAway],Table2[GameDate], "&lt;=" &amp; $A3, Table2[AwayTeam], T$1)+SUMIFS(Table2[NewPointsHome],Table2[GameDate], "&lt;=" &amp; $A3, Table2[HomeTeam], T$1)</f>
        <v>0</v>
      </c>
      <c r="U3" s="145">
        <f>SUMIFS(Table2[NewPointsAway],Table2[GameDate], "&lt;=" &amp; $A3, Table2[AwayTeam], U$1)+SUMIFS(Table2[NewPointsHome],Table2[GameDate], "&lt;=" &amp; $A3, Table2[HomeTeam], U$1)</f>
        <v>0</v>
      </c>
      <c r="V3" s="145">
        <f>SUMIFS(Table2[NewPointsAway],Table2[GameDate], "&lt;=" &amp; $A3, Table2[AwayTeam], V$1)+SUMIFS(Table2[NewPointsHome],Table2[GameDate], "&lt;=" &amp; $A3, Table2[HomeTeam], V$1)</f>
        <v>0</v>
      </c>
      <c r="W3" s="145">
        <f>SUMIFS(Table2[NewPointsAway],Table2[GameDate], "&lt;=" &amp; $A3, Table2[AwayTeam], W$1)+SUMIFS(Table2[NewPointsHome],Table2[GameDate], "&lt;=" &amp; $A3, Table2[HomeTeam], W$1)</f>
        <v>0</v>
      </c>
      <c r="X3" s="145">
        <f>SUMIFS(Table2[NewPointsAway],Table2[GameDate], "&lt;=" &amp; $A3, Table2[AwayTeam], X$1)+SUMIFS(Table2[NewPointsHome],Table2[GameDate], "&lt;=" &amp; $A3, Table2[HomeTeam], X$1)</f>
        <v>0</v>
      </c>
      <c r="Y3" s="145">
        <f>SUMIFS(Table2[NewPointsAway],Table2[GameDate], "&lt;=" &amp; $A3, Table2[AwayTeam], Y$1)+SUMIFS(Table2[NewPointsHome],Table2[GameDate], "&lt;=" &amp; $A3, Table2[HomeTeam], Y$1)</f>
        <v>0</v>
      </c>
      <c r="Z3" s="145">
        <f>SUMIFS(Table2[NewPointsAway],Table2[GameDate], "&lt;=" &amp; $A3, Table2[AwayTeam], Z$1)+SUMIFS(Table2[NewPointsHome],Table2[GameDate], "&lt;=" &amp; $A3, Table2[HomeTeam], Z$1)</f>
        <v>0</v>
      </c>
      <c r="AA3" s="145">
        <f>SUMIFS(Table2[NewPointsAway],Table2[GameDate], "&lt;=" &amp; $A3, Table2[AwayTeam], AA$1)+SUMIFS(Table2[NewPointsHome],Table2[GameDate], "&lt;=" &amp; $A3, Table2[HomeTeam], AA$1)</f>
        <v>0</v>
      </c>
      <c r="AB3" s="145">
        <f>SUMIFS(Table2[NewPointsAway],Table2[GameDate], "&lt;=" &amp; $A3, Table2[AwayTeam], AB$1)+SUMIFS(Table2[NewPointsHome],Table2[GameDate], "&lt;=" &amp; $A3, Table2[HomeTeam], AB$1)</f>
        <v>0</v>
      </c>
      <c r="AC3" s="145">
        <f>SUMIFS(Table2[NewPointsAway],Table2[GameDate], "&lt;=" &amp; $A3, Table2[AwayTeam], AC$1)+SUMIFS(Table2[NewPointsHome],Table2[GameDate], "&lt;=" &amp; $A3, Table2[HomeTeam], AC$1)</f>
        <v>0</v>
      </c>
      <c r="AD3" s="145">
        <f>SUMIFS(Table2[NewPointsAway],Table2[GameDate], "&lt;=" &amp; $A3, Table2[AwayTeam], AD$1)+SUMIFS(Table2[NewPointsHome],Table2[GameDate], "&lt;=" &amp; $A3, Table2[HomeTeam], AD$1)</f>
        <v>0</v>
      </c>
      <c r="AE3" s="145">
        <f>SUMIFS(Table2[NewPointsAway],Table2[GameDate], "&lt;=" &amp; $A3, Table2[AwayTeam], AE$1)+SUMIFS(Table2[NewPointsHome],Table2[GameDate], "&lt;=" &amp; $A3, Table2[HomeTeam], AE$1)</f>
        <v>0</v>
      </c>
      <c r="AF3" s="145">
        <f>SUMIFS(Table2[NewPointsAway],Table2[GameDate], "&lt;=" &amp; $A3, Table2[AwayTeam], AF$1)+SUMIFS(Table2[NewPointsHome],Table2[GameDate], "&lt;=" &amp; $A3, Table2[HomeTeam], AF$1)</f>
        <v>0</v>
      </c>
      <c r="AG3" s="145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45">
        <f>SUMIFS(Table2[NewPointsAway],Table2[GameDate], "&lt;=" &amp; $A4, Table2[AwayTeam], B$1)+SUMIFS(Table2[NewPointsHome],Table2[GameDate], "&lt;=" &amp; $A4, Table2[HomeTeam], B$1)</f>
        <v>0</v>
      </c>
      <c r="C4" s="145">
        <f>SUMIFS(Table2[NewPointsAway],Table2[GameDate], "&lt;=" &amp; $A4, Table2[AwayTeam], C$1)+SUMIFS(Table2[NewPointsHome],Table2[GameDate], "&lt;=" &amp; $A4, Table2[HomeTeam], C$1)</f>
        <v>0</v>
      </c>
      <c r="D4" s="145">
        <f>SUMIFS(Table2[NewPointsAway],Table2[GameDate], "&lt;=" &amp; $A4, Table2[AwayTeam], D$1)+SUMIFS(Table2[NewPointsHome],Table2[GameDate], "&lt;=" &amp; $A4, Table2[HomeTeam], D$1)</f>
        <v>0</v>
      </c>
      <c r="E4" s="145">
        <f>SUMIFS(Table2[NewPointsAway],Table2[GameDate], "&lt;=" &amp; $A4, Table2[AwayTeam], E$1)+SUMIFS(Table2[NewPointsHome],Table2[GameDate], "&lt;=" &amp; $A4, Table2[HomeTeam], E$1)</f>
        <v>0</v>
      </c>
      <c r="F4" s="145">
        <f>SUMIFS(Table2[NewPointsAway],Table2[GameDate], "&lt;=" &amp; $A4, Table2[AwayTeam], F$1)+SUMIFS(Table2[NewPointsHome],Table2[GameDate], "&lt;=" &amp; $A4, Table2[HomeTeam], F$1)</f>
        <v>0</v>
      </c>
      <c r="G4" s="145">
        <f>SUMIFS(Table2[NewPointsAway],Table2[GameDate], "&lt;=" &amp; $A4, Table2[AwayTeam], G$1)+SUMIFS(Table2[NewPointsHome],Table2[GameDate], "&lt;=" &amp; $A4, Table2[HomeTeam], G$1)</f>
        <v>0</v>
      </c>
      <c r="H4" s="145">
        <f>SUMIFS(Table2[NewPointsAway],Table2[GameDate], "&lt;=" &amp; $A4, Table2[AwayTeam], H$1)+SUMIFS(Table2[NewPointsHome],Table2[GameDate], "&lt;=" &amp; $A4, Table2[HomeTeam], H$1)</f>
        <v>0</v>
      </c>
      <c r="I4" s="145">
        <f>SUMIFS(Table2[NewPointsAway],Table2[GameDate], "&lt;=" &amp; $A4, Table2[AwayTeam], I$1)+SUMIFS(Table2[NewPointsHome],Table2[GameDate], "&lt;=" &amp; $A4, Table2[HomeTeam], I$1)</f>
        <v>0</v>
      </c>
      <c r="J4" s="145">
        <f>SUMIFS(Table2[NewPointsAway],Table2[GameDate], "&lt;=" &amp; $A4, Table2[AwayTeam], J$1)+SUMIFS(Table2[NewPointsHome],Table2[GameDate], "&lt;=" &amp; $A4, Table2[HomeTeam], J$1)</f>
        <v>0</v>
      </c>
      <c r="K4" s="145">
        <f>SUMIFS(Table2[NewPointsAway],Table2[GameDate], "&lt;=" &amp; $A4, Table2[AwayTeam], K$1)+SUMIFS(Table2[NewPointsHome],Table2[GameDate], "&lt;=" &amp; $A4, Table2[HomeTeam], K$1)</f>
        <v>0</v>
      </c>
      <c r="L4" s="145">
        <f>SUMIFS(Table2[NewPointsAway],Table2[GameDate], "&lt;=" &amp; $A4, Table2[AwayTeam], L$1)+SUMIFS(Table2[NewPointsHome],Table2[GameDate], "&lt;=" &amp; $A4, Table2[HomeTeam], L$1)</f>
        <v>0</v>
      </c>
      <c r="M4" s="145">
        <f>SUMIFS(Table2[NewPointsAway],Table2[GameDate], "&lt;=" &amp; $A4, Table2[AwayTeam], M$1)+SUMIFS(Table2[NewPointsHome],Table2[GameDate], "&lt;=" &amp; $A4, Table2[HomeTeam], M$1)</f>
        <v>0</v>
      </c>
      <c r="N4" s="145">
        <f>SUMIFS(Table2[NewPointsAway],Table2[GameDate], "&lt;=" &amp; $A4, Table2[AwayTeam], N$1)+SUMIFS(Table2[NewPointsHome],Table2[GameDate], "&lt;=" &amp; $A4, Table2[HomeTeam], N$1)</f>
        <v>0</v>
      </c>
      <c r="O4" s="145">
        <f>SUMIFS(Table2[NewPointsAway],Table2[GameDate], "&lt;=" &amp; $A4, Table2[AwayTeam], O$1)+SUMIFS(Table2[NewPointsHome],Table2[GameDate], "&lt;=" &amp; $A4, Table2[HomeTeam], O$1)</f>
        <v>0</v>
      </c>
      <c r="P4" s="145">
        <f>SUMIFS(Table2[NewPointsAway],Table2[GameDate], "&lt;=" &amp; $A4, Table2[AwayTeam], P$1)+SUMIFS(Table2[NewPointsHome],Table2[GameDate], "&lt;=" &amp; $A4, Table2[HomeTeam], P$1)</f>
        <v>0</v>
      </c>
      <c r="Q4" s="145">
        <f>SUMIFS(Table2[NewPointsAway],Table2[GameDate], "&lt;=" &amp; $A4, Table2[AwayTeam], Q$1)+SUMIFS(Table2[NewPointsHome],Table2[GameDate], "&lt;=" &amp; $A4, Table2[HomeTeam], Q$1)</f>
        <v>0</v>
      </c>
      <c r="R4" s="145">
        <f>SUMIFS(Table2[NewPointsAway],Table2[GameDate], "&lt;=" &amp; $A4, Table2[AwayTeam], R$1)+SUMIFS(Table2[NewPointsHome],Table2[GameDate], "&lt;=" &amp; $A4, Table2[HomeTeam], R$1)</f>
        <v>0</v>
      </c>
      <c r="S4" s="145">
        <f>SUMIFS(Table2[NewPointsAway],Table2[GameDate], "&lt;=" &amp; $A4, Table2[AwayTeam], S$1)+SUMIFS(Table2[NewPointsHome],Table2[GameDate], "&lt;=" &amp; $A4, Table2[HomeTeam], S$1)</f>
        <v>0</v>
      </c>
      <c r="T4" s="145">
        <f>SUMIFS(Table2[NewPointsAway],Table2[GameDate], "&lt;=" &amp; $A4, Table2[AwayTeam], T$1)+SUMIFS(Table2[NewPointsHome],Table2[GameDate], "&lt;=" &amp; $A4, Table2[HomeTeam], T$1)</f>
        <v>0</v>
      </c>
      <c r="U4" s="145">
        <f>SUMIFS(Table2[NewPointsAway],Table2[GameDate], "&lt;=" &amp; $A4, Table2[AwayTeam], U$1)+SUMIFS(Table2[NewPointsHome],Table2[GameDate], "&lt;=" &amp; $A4, Table2[HomeTeam], U$1)</f>
        <v>0</v>
      </c>
      <c r="V4" s="145">
        <f>SUMIFS(Table2[NewPointsAway],Table2[GameDate], "&lt;=" &amp; $A4, Table2[AwayTeam], V$1)+SUMIFS(Table2[NewPointsHome],Table2[GameDate], "&lt;=" &amp; $A4, Table2[HomeTeam], V$1)</f>
        <v>0</v>
      </c>
      <c r="W4" s="145">
        <f>SUMIFS(Table2[NewPointsAway],Table2[GameDate], "&lt;=" &amp; $A4, Table2[AwayTeam], W$1)+SUMIFS(Table2[NewPointsHome],Table2[GameDate], "&lt;=" &amp; $A4, Table2[HomeTeam], W$1)</f>
        <v>0</v>
      </c>
      <c r="X4" s="145">
        <f>SUMIFS(Table2[NewPointsAway],Table2[GameDate], "&lt;=" &amp; $A4, Table2[AwayTeam], X$1)+SUMIFS(Table2[NewPointsHome],Table2[GameDate], "&lt;=" &amp; $A4, Table2[HomeTeam], X$1)</f>
        <v>0</v>
      </c>
      <c r="Y4" s="145">
        <f>SUMIFS(Table2[NewPointsAway],Table2[GameDate], "&lt;=" &amp; $A4, Table2[AwayTeam], Y$1)+SUMIFS(Table2[NewPointsHome],Table2[GameDate], "&lt;=" &amp; $A4, Table2[HomeTeam], Y$1)</f>
        <v>0</v>
      </c>
      <c r="Z4" s="145">
        <f>SUMIFS(Table2[NewPointsAway],Table2[GameDate], "&lt;=" &amp; $A4, Table2[AwayTeam], Z$1)+SUMIFS(Table2[NewPointsHome],Table2[GameDate], "&lt;=" &amp; $A4, Table2[HomeTeam], Z$1)</f>
        <v>0</v>
      </c>
      <c r="AA4" s="145">
        <f>SUMIFS(Table2[NewPointsAway],Table2[GameDate], "&lt;=" &amp; $A4, Table2[AwayTeam], AA$1)+SUMIFS(Table2[NewPointsHome],Table2[GameDate], "&lt;=" &amp; $A4, Table2[HomeTeam], AA$1)</f>
        <v>0</v>
      </c>
      <c r="AB4" s="145">
        <f>SUMIFS(Table2[NewPointsAway],Table2[GameDate], "&lt;=" &amp; $A4, Table2[AwayTeam], AB$1)+SUMIFS(Table2[NewPointsHome],Table2[GameDate], "&lt;=" &amp; $A4, Table2[HomeTeam], AB$1)</f>
        <v>0</v>
      </c>
      <c r="AC4" s="145">
        <f>SUMIFS(Table2[NewPointsAway],Table2[GameDate], "&lt;=" &amp; $A4, Table2[AwayTeam], AC$1)+SUMIFS(Table2[NewPointsHome],Table2[GameDate], "&lt;=" &amp; $A4, Table2[HomeTeam], AC$1)</f>
        <v>0</v>
      </c>
      <c r="AD4" s="145">
        <f>SUMIFS(Table2[NewPointsAway],Table2[GameDate], "&lt;=" &amp; $A4, Table2[AwayTeam], AD$1)+SUMIFS(Table2[NewPointsHome],Table2[GameDate], "&lt;=" &amp; $A4, Table2[HomeTeam], AD$1)</f>
        <v>0</v>
      </c>
      <c r="AE4" s="145">
        <f>SUMIFS(Table2[NewPointsAway],Table2[GameDate], "&lt;=" &amp; $A4, Table2[AwayTeam], AE$1)+SUMIFS(Table2[NewPointsHome],Table2[GameDate], "&lt;=" &amp; $A4, Table2[HomeTeam], AE$1)</f>
        <v>0</v>
      </c>
      <c r="AF4" s="145">
        <f>SUMIFS(Table2[NewPointsAway],Table2[GameDate], "&lt;=" &amp; $A4, Table2[AwayTeam], AF$1)+SUMIFS(Table2[NewPointsHome],Table2[GameDate], "&lt;=" &amp; $A4, Table2[HomeTeam], AF$1)</f>
        <v>0</v>
      </c>
      <c r="AG4" s="145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45">
        <f>SUMIFS(Table2[NewPointsAway],Table2[GameDate], "&lt;=" &amp; $A5, Table2[AwayTeam], B$1)+SUMIFS(Table2[NewPointsHome],Table2[GameDate], "&lt;=" &amp; $A5, Table2[HomeTeam], B$1)</f>
        <v>0</v>
      </c>
      <c r="C5" s="145">
        <f>SUMIFS(Table2[NewPointsAway],Table2[GameDate], "&lt;=" &amp; $A5, Table2[AwayTeam], C$1)+SUMIFS(Table2[NewPointsHome],Table2[GameDate], "&lt;=" &amp; $A5, Table2[HomeTeam], C$1)</f>
        <v>0</v>
      </c>
      <c r="D5" s="145">
        <f>SUMIFS(Table2[NewPointsAway],Table2[GameDate], "&lt;=" &amp; $A5, Table2[AwayTeam], D$1)+SUMIFS(Table2[NewPointsHome],Table2[GameDate], "&lt;=" &amp; $A5, Table2[HomeTeam], D$1)</f>
        <v>0</v>
      </c>
      <c r="E5" s="145">
        <f>SUMIFS(Table2[NewPointsAway],Table2[GameDate], "&lt;=" &amp; $A5, Table2[AwayTeam], E$1)+SUMIFS(Table2[NewPointsHome],Table2[GameDate], "&lt;=" &amp; $A5, Table2[HomeTeam], E$1)</f>
        <v>0</v>
      </c>
      <c r="F5" s="145">
        <f>SUMIFS(Table2[NewPointsAway],Table2[GameDate], "&lt;=" &amp; $A5, Table2[AwayTeam], F$1)+SUMIFS(Table2[NewPointsHome],Table2[GameDate], "&lt;=" &amp; $A5, Table2[HomeTeam], F$1)</f>
        <v>0</v>
      </c>
      <c r="G5" s="145">
        <f>SUMIFS(Table2[NewPointsAway],Table2[GameDate], "&lt;=" &amp; $A5, Table2[AwayTeam], G$1)+SUMIFS(Table2[NewPointsHome],Table2[GameDate], "&lt;=" &amp; $A5, Table2[HomeTeam], G$1)</f>
        <v>0</v>
      </c>
      <c r="H5" s="145">
        <f>SUMIFS(Table2[NewPointsAway],Table2[GameDate], "&lt;=" &amp; $A5, Table2[AwayTeam], H$1)+SUMIFS(Table2[NewPointsHome],Table2[GameDate], "&lt;=" &amp; $A5, Table2[HomeTeam], H$1)</f>
        <v>0</v>
      </c>
      <c r="I5" s="145">
        <f>SUMIFS(Table2[NewPointsAway],Table2[GameDate], "&lt;=" &amp; $A5, Table2[AwayTeam], I$1)+SUMIFS(Table2[NewPointsHome],Table2[GameDate], "&lt;=" &amp; $A5, Table2[HomeTeam], I$1)</f>
        <v>0</v>
      </c>
      <c r="J5" s="145">
        <f>SUMIFS(Table2[NewPointsAway],Table2[GameDate], "&lt;=" &amp; $A5, Table2[AwayTeam], J$1)+SUMIFS(Table2[NewPointsHome],Table2[GameDate], "&lt;=" &amp; $A5, Table2[HomeTeam], J$1)</f>
        <v>0</v>
      </c>
      <c r="K5" s="145">
        <f>SUMIFS(Table2[NewPointsAway],Table2[GameDate], "&lt;=" &amp; $A5, Table2[AwayTeam], K$1)+SUMIFS(Table2[NewPointsHome],Table2[GameDate], "&lt;=" &amp; $A5, Table2[HomeTeam], K$1)</f>
        <v>0</v>
      </c>
      <c r="L5" s="145">
        <f>SUMIFS(Table2[NewPointsAway],Table2[GameDate], "&lt;=" &amp; $A5, Table2[AwayTeam], L$1)+SUMIFS(Table2[NewPointsHome],Table2[GameDate], "&lt;=" &amp; $A5, Table2[HomeTeam], L$1)</f>
        <v>0</v>
      </c>
      <c r="M5" s="145">
        <f>SUMIFS(Table2[NewPointsAway],Table2[GameDate], "&lt;=" &amp; $A5, Table2[AwayTeam], M$1)+SUMIFS(Table2[NewPointsHome],Table2[GameDate], "&lt;=" &amp; $A5, Table2[HomeTeam], M$1)</f>
        <v>0</v>
      </c>
      <c r="N5" s="145">
        <f>SUMIFS(Table2[NewPointsAway],Table2[GameDate], "&lt;=" &amp; $A5, Table2[AwayTeam], N$1)+SUMIFS(Table2[NewPointsHome],Table2[GameDate], "&lt;=" &amp; $A5, Table2[HomeTeam], N$1)</f>
        <v>0</v>
      </c>
      <c r="O5" s="145">
        <f>SUMIFS(Table2[NewPointsAway],Table2[GameDate], "&lt;=" &amp; $A5, Table2[AwayTeam], O$1)+SUMIFS(Table2[NewPointsHome],Table2[GameDate], "&lt;=" &amp; $A5, Table2[HomeTeam], O$1)</f>
        <v>0</v>
      </c>
      <c r="P5" s="145">
        <f>SUMIFS(Table2[NewPointsAway],Table2[GameDate], "&lt;=" &amp; $A5, Table2[AwayTeam], P$1)+SUMIFS(Table2[NewPointsHome],Table2[GameDate], "&lt;=" &amp; $A5, Table2[HomeTeam], P$1)</f>
        <v>0</v>
      </c>
      <c r="Q5" s="145">
        <f>SUMIFS(Table2[NewPointsAway],Table2[GameDate], "&lt;=" &amp; $A5, Table2[AwayTeam], Q$1)+SUMIFS(Table2[NewPointsHome],Table2[GameDate], "&lt;=" &amp; $A5, Table2[HomeTeam], Q$1)</f>
        <v>0</v>
      </c>
      <c r="R5" s="145">
        <f>SUMIFS(Table2[NewPointsAway],Table2[GameDate], "&lt;=" &amp; $A5, Table2[AwayTeam], R$1)+SUMIFS(Table2[NewPointsHome],Table2[GameDate], "&lt;=" &amp; $A5, Table2[HomeTeam], R$1)</f>
        <v>0</v>
      </c>
      <c r="S5" s="145">
        <f>SUMIFS(Table2[NewPointsAway],Table2[GameDate], "&lt;=" &amp; $A5, Table2[AwayTeam], S$1)+SUMIFS(Table2[NewPointsHome],Table2[GameDate], "&lt;=" &amp; $A5, Table2[HomeTeam], S$1)</f>
        <v>0</v>
      </c>
      <c r="T5" s="145">
        <f>SUMIFS(Table2[NewPointsAway],Table2[GameDate], "&lt;=" &amp; $A5, Table2[AwayTeam], T$1)+SUMIFS(Table2[NewPointsHome],Table2[GameDate], "&lt;=" &amp; $A5, Table2[HomeTeam], T$1)</f>
        <v>0</v>
      </c>
      <c r="U5" s="145">
        <f>SUMIFS(Table2[NewPointsAway],Table2[GameDate], "&lt;=" &amp; $A5, Table2[AwayTeam], U$1)+SUMIFS(Table2[NewPointsHome],Table2[GameDate], "&lt;=" &amp; $A5, Table2[HomeTeam], U$1)</f>
        <v>0</v>
      </c>
      <c r="V5" s="145">
        <f>SUMIFS(Table2[NewPointsAway],Table2[GameDate], "&lt;=" &amp; $A5, Table2[AwayTeam], V$1)+SUMIFS(Table2[NewPointsHome],Table2[GameDate], "&lt;=" &amp; $A5, Table2[HomeTeam], V$1)</f>
        <v>0</v>
      </c>
      <c r="W5" s="145">
        <f>SUMIFS(Table2[NewPointsAway],Table2[GameDate], "&lt;=" &amp; $A5, Table2[AwayTeam], W$1)+SUMIFS(Table2[NewPointsHome],Table2[GameDate], "&lt;=" &amp; $A5, Table2[HomeTeam], W$1)</f>
        <v>0</v>
      </c>
      <c r="X5" s="145">
        <f>SUMIFS(Table2[NewPointsAway],Table2[GameDate], "&lt;=" &amp; $A5, Table2[AwayTeam], X$1)+SUMIFS(Table2[NewPointsHome],Table2[GameDate], "&lt;=" &amp; $A5, Table2[HomeTeam], X$1)</f>
        <v>0</v>
      </c>
      <c r="Y5" s="145">
        <f>SUMIFS(Table2[NewPointsAway],Table2[GameDate], "&lt;=" &amp; $A5, Table2[AwayTeam], Y$1)+SUMIFS(Table2[NewPointsHome],Table2[GameDate], "&lt;=" &amp; $A5, Table2[HomeTeam], Y$1)</f>
        <v>0</v>
      </c>
      <c r="Z5" s="145">
        <f>SUMIFS(Table2[NewPointsAway],Table2[GameDate], "&lt;=" &amp; $A5, Table2[AwayTeam], Z$1)+SUMIFS(Table2[NewPointsHome],Table2[GameDate], "&lt;=" &amp; $A5, Table2[HomeTeam], Z$1)</f>
        <v>0</v>
      </c>
      <c r="AA5" s="145">
        <f>SUMIFS(Table2[NewPointsAway],Table2[GameDate], "&lt;=" &amp; $A5, Table2[AwayTeam], AA$1)+SUMIFS(Table2[NewPointsHome],Table2[GameDate], "&lt;=" &amp; $A5, Table2[HomeTeam], AA$1)</f>
        <v>0</v>
      </c>
      <c r="AB5" s="145">
        <f>SUMIFS(Table2[NewPointsAway],Table2[GameDate], "&lt;=" &amp; $A5, Table2[AwayTeam], AB$1)+SUMIFS(Table2[NewPointsHome],Table2[GameDate], "&lt;=" &amp; $A5, Table2[HomeTeam], AB$1)</f>
        <v>0</v>
      </c>
      <c r="AC5" s="145">
        <f>SUMIFS(Table2[NewPointsAway],Table2[GameDate], "&lt;=" &amp; $A5, Table2[AwayTeam], AC$1)+SUMIFS(Table2[NewPointsHome],Table2[GameDate], "&lt;=" &amp; $A5, Table2[HomeTeam], AC$1)</f>
        <v>0</v>
      </c>
      <c r="AD5" s="145">
        <f>SUMIFS(Table2[NewPointsAway],Table2[GameDate], "&lt;=" &amp; $A5, Table2[AwayTeam], AD$1)+SUMIFS(Table2[NewPointsHome],Table2[GameDate], "&lt;=" &amp; $A5, Table2[HomeTeam], AD$1)</f>
        <v>0</v>
      </c>
      <c r="AE5" s="145">
        <f>SUMIFS(Table2[NewPointsAway],Table2[GameDate], "&lt;=" &amp; $A5, Table2[AwayTeam], AE$1)+SUMIFS(Table2[NewPointsHome],Table2[GameDate], "&lt;=" &amp; $A5, Table2[HomeTeam], AE$1)</f>
        <v>0</v>
      </c>
      <c r="AF5" s="145">
        <f>SUMIFS(Table2[NewPointsAway],Table2[GameDate], "&lt;=" &amp; $A5, Table2[AwayTeam], AF$1)+SUMIFS(Table2[NewPointsHome],Table2[GameDate], "&lt;=" &amp; $A5, Table2[HomeTeam], AF$1)</f>
        <v>0</v>
      </c>
      <c r="AG5" s="145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45">
        <f>SUMIFS(Table2[NewPointsAway],Table2[GameDate], "&lt;=" &amp; $A6, Table2[AwayTeam], B$1)+SUMIFS(Table2[NewPointsHome],Table2[GameDate], "&lt;=" &amp; $A6, Table2[HomeTeam], B$1)</f>
        <v>0</v>
      </c>
      <c r="C6" s="145">
        <f>SUMIFS(Table2[NewPointsAway],Table2[GameDate], "&lt;=" &amp; $A6, Table2[AwayTeam], C$1)+SUMIFS(Table2[NewPointsHome],Table2[GameDate], "&lt;=" &amp; $A6, Table2[HomeTeam], C$1)</f>
        <v>0</v>
      </c>
      <c r="D6" s="145">
        <f>SUMIFS(Table2[NewPointsAway],Table2[GameDate], "&lt;=" &amp; $A6, Table2[AwayTeam], D$1)+SUMIFS(Table2[NewPointsHome],Table2[GameDate], "&lt;=" &amp; $A6, Table2[HomeTeam], D$1)</f>
        <v>0</v>
      </c>
      <c r="E6" s="145">
        <f>SUMIFS(Table2[NewPointsAway],Table2[GameDate], "&lt;=" &amp; $A6, Table2[AwayTeam], E$1)+SUMIFS(Table2[NewPointsHome],Table2[GameDate], "&lt;=" &amp; $A6, Table2[HomeTeam], E$1)</f>
        <v>0</v>
      </c>
      <c r="F6" s="145">
        <f>SUMIFS(Table2[NewPointsAway],Table2[GameDate], "&lt;=" &amp; $A6, Table2[AwayTeam], F$1)+SUMIFS(Table2[NewPointsHome],Table2[GameDate], "&lt;=" &amp; $A6, Table2[HomeTeam], F$1)</f>
        <v>0</v>
      </c>
      <c r="G6" s="145">
        <f>SUMIFS(Table2[NewPointsAway],Table2[GameDate], "&lt;=" &amp; $A6, Table2[AwayTeam], G$1)+SUMIFS(Table2[NewPointsHome],Table2[GameDate], "&lt;=" &amp; $A6, Table2[HomeTeam], G$1)</f>
        <v>0</v>
      </c>
      <c r="H6" s="145">
        <f>SUMIFS(Table2[NewPointsAway],Table2[GameDate], "&lt;=" &amp; $A6, Table2[AwayTeam], H$1)+SUMIFS(Table2[NewPointsHome],Table2[GameDate], "&lt;=" &amp; $A6, Table2[HomeTeam], H$1)</f>
        <v>0</v>
      </c>
      <c r="I6" s="145">
        <f>SUMIFS(Table2[NewPointsAway],Table2[GameDate], "&lt;=" &amp; $A6, Table2[AwayTeam], I$1)+SUMIFS(Table2[NewPointsHome],Table2[GameDate], "&lt;=" &amp; $A6, Table2[HomeTeam], I$1)</f>
        <v>2</v>
      </c>
      <c r="J6" s="145">
        <f>SUMIFS(Table2[NewPointsAway],Table2[GameDate], "&lt;=" &amp; $A6, Table2[AwayTeam], J$1)+SUMIFS(Table2[NewPointsHome],Table2[GameDate], "&lt;=" &amp; $A6, Table2[HomeTeam], J$1)</f>
        <v>0</v>
      </c>
      <c r="K6" s="145">
        <f>SUMIFS(Table2[NewPointsAway],Table2[GameDate], "&lt;=" &amp; $A6, Table2[AwayTeam], K$1)+SUMIFS(Table2[NewPointsHome],Table2[GameDate], "&lt;=" &amp; $A6, Table2[HomeTeam], K$1)</f>
        <v>0</v>
      </c>
      <c r="L6" s="145">
        <f>SUMIFS(Table2[NewPointsAway],Table2[GameDate], "&lt;=" &amp; $A6, Table2[AwayTeam], L$1)+SUMIFS(Table2[NewPointsHome],Table2[GameDate], "&lt;=" &amp; $A6, Table2[HomeTeam], L$1)</f>
        <v>0</v>
      </c>
      <c r="M6" s="145">
        <f>SUMIFS(Table2[NewPointsAway],Table2[GameDate], "&lt;=" &amp; $A6, Table2[AwayTeam], M$1)+SUMIFS(Table2[NewPointsHome],Table2[GameDate], "&lt;=" &amp; $A6, Table2[HomeTeam], M$1)</f>
        <v>2</v>
      </c>
      <c r="N6" s="145">
        <f>SUMIFS(Table2[NewPointsAway],Table2[GameDate], "&lt;=" &amp; $A6, Table2[AwayTeam], N$1)+SUMIFS(Table2[NewPointsHome],Table2[GameDate], "&lt;=" &amp; $A6, Table2[HomeTeam], N$1)</f>
        <v>0</v>
      </c>
      <c r="O6" s="145">
        <f>SUMIFS(Table2[NewPointsAway],Table2[GameDate], "&lt;=" &amp; $A6, Table2[AwayTeam], O$1)+SUMIFS(Table2[NewPointsHome],Table2[GameDate], "&lt;=" &amp; $A6, Table2[HomeTeam], O$1)</f>
        <v>0</v>
      </c>
      <c r="P6" s="145">
        <f>SUMIFS(Table2[NewPointsAway],Table2[GameDate], "&lt;=" &amp; $A6, Table2[AwayTeam], P$1)+SUMIFS(Table2[NewPointsHome],Table2[GameDate], "&lt;=" &amp; $A6, Table2[HomeTeam], P$1)</f>
        <v>0</v>
      </c>
      <c r="Q6" s="145">
        <f>SUMIFS(Table2[NewPointsAway],Table2[GameDate], "&lt;=" &amp; $A6, Table2[AwayTeam], Q$1)+SUMIFS(Table2[NewPointsHome],Table2[GameDate], "&lt;=" &amp; $A6, Table2[HomeTeam], Q$1)</f>
        <v>0</v>
      </c>
      <c r="R6" s="145">
        <f>SUMIFS(Table2[NewPointsAway],Table2[GameDate], "&lt;=" &amp; $A6, Table2[AwayTeam], R$1)+SUMIFS(Table2[NewPointsHome],Table2[GameDate], "&lt;=" &amp; $A6, Table2[HomeTeam], R$1)</f>
        <v>0</v>
      </c>
      <c r="S6" s="145">
        <f>SUMIFS(Table2[NewPointsAway],Table2[GameDate], "&lt;=" &amp; $A6, Table2[AwayTeam], S$1)+SUMIFS(Table2[NewPointsHome],Table2[GameDate], "&lt;=" &amp; $A6, Table2[HomeTeam], S$1)</f>
        <v>0</v>
      </c>
      <c r="T6" s="145">
        <f>SUMIFS(Table2[NewPointsAway],Table2[GameDate], "&lt;=" &amp; $A6, Table2[AwayTeam], T$1)+SUMIFS(Table2[NewPointsHome],Table2[GameDate], "&lt;=" &amp; $A6, Table2[HomeTeam], T$1)</f>
        <v>0</v>
      </c>
      <c r="U6" s="145">
        <f>SUMIFS(Table2[NewPointsAway],Table2[GameDate], "&lt;=" &amp; $A6, Table2[AwayTeam], U$1)+SUMIFS(Table2[NewPointsHome],Table2[GameDate], "&lt;=" &amp; $A6, Table2[HomeTeam], U$1)</f>
        <v>0</v>
      </c>
      <c r="V6" s="145">
        <f>SUMIFS(Table2[NewPointsAway],Table2[GameDate], "&lt;=" &amp; $A6, Table2[AwayTeam], V$1)+SUMIFS(Table2[NewPointsHome],Table2[GameDate], "&lt;=" &amp; $A6, Table2[HomeTeam], V$1)</f>
        <v>0</v>
      </c>
      <c r="W6" s="145">
        <f>SUMIFS(Table2[NewPointsAway],Table2[GameDate], "&lt;=" &amp; $A6, Table2[AwayTeam], W$1)+SUMIFS(Table2[NewPointsHome],Table2[GameDate], "&lt;=" &amp; $A6, Table2[HomeTeam], W$1)</f>
        <v>2</v>
      </c>
      <c r="X6" s="145">
        <f>SUMIFS(Table2[NewPointsAway],Table2[GameDate], "&lt;=" &amp; $A6, Table2[AwayTeam], X$1)+SUMIFS(Table2[NewPointsHome],Table2[GameDate], "&lt;=" &amp; $A6, Table2[HomeTeam], X$1)</f>
        <v>0</v>
      </c>
      <c r="Y6" s="145">
        <f>SUMIFS(Table2[NewPointsAway],Table2[GameDate], "&lt;=" &amp; $A6, Table2[AwayTeam], Y$1)+SUMIFS(Table2[NewPointsHome],Table2[GameDate], "&lt;=" &amp; $A6, Table2[HomeTeam], Y$1)</f>
        <v>0</v>
      </c>
      <c r="Z6" s="145">
        <f>SUMIFS(Table2[NewPointsAway],Table2[GameDate], "&lt;=" &amp; $A6, Table2[AwayTeam], Z$1)+SUMIFS(Table2[NewPointsHome],Table2[GameDate], "&lt;=" &amp; $A6, Table2[HomeTeam], Z$1)</f>
        <v>0</v>
      </c>
      <c r="AA6" s="145">
        <f>SUMIFS(Table2[NewPointsAway],Table2[GameDate], "&lt;=" &amp; $A6, Table2[AwayTeam], AA$1)+SUMIFS(Table2[NewPointsHome],Table2[GameDate], "&lt;=" &amp; $A6, Table2[HomeTeam], AA$1)</f>
        <v>0</v>
      </c>
      <c r="AB6" s="145">
        <f>SUMIFS(Table2[NewPointsAway],Table2[GameDate], "&lt;=" &amp; $A6, Table2[AwayTeam], AB$1)+SUMIFS(Table2[NewPointsHome],Table2[GameDate], "&lt;=" &amp; $A6, Table2[HomeTeam], AB$1)</f>
        <v>0</v>
      </c>
      <c r="AC6" s="145">
        <f>SUMIFS(Table2[NewPointsAway],Table2[GameDate], "&lt;=" &amp; $A6, Table2[AwayTeam], AC$1)+SUMIFS(Table2[NewPointsHome],Table2[GameDate], "&lt;=" &amp; $A6, Table2[HomeTeam], AC$1)</f>
        <v>0</v>
      </c>
      <c r="AD6" s="145">
        <f>SUMIFS(Table2[NewPointsAway],Table2[GameDate], "&lt;=" &amp; $A6, Table2[AwayTeam], AD$1)+SUMIFS(Table2[NewPointsHome],Table2[GameDate], "&lt;=" &amp; $A6, Table2[HomeTeam], AD$1)</f>
        <v>0</v>
      </c>
      <c r="AE6" s="145">
        <f>SUMIFS(Table2[NewPointsAway],Table2[GameDate], "&lt;=" &amp; $A6, Table2[AwayTeam], AE$1)+SUMIFS(Table2[NewPointsHome],Table2[GameDate], "&lt;=" &amp; $A6, Table2[HomeTeam], AE$1)</f>
        <v>0</v>
      </c>
      <c r="AF6" s="145">
        <f>SUMIFS(Table2[NewPointsAway],Table2[GameDate], "&lt;=" &amp; $A6, Table2[AwayTeam], AF$1)+SUMIFS(Table2[NewPointsHome],Table2[GameDate], "&lt;=" &amp; $A6, Table2[HomeTeam], AF$1)</f>
        <v>0</v>
      </c>
      <c r="AG6" s="145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45">
        <f>SUMIFS(Table2[NewPointsAway],Table2[GameDate], "&lt;=" &amp; $A7, Table2[AwayTeam], B$1)+SUMIFS(Table2[NewPointsHome],Table2[GameDate], "&lt;=" &amp; $A7, Table2[HomeTeam], B$1)</f>
        <v>0</v>
      </c>
      <c r="C7" s="145">
        <f>SUMIFS(Table2[NewPointsAway],Table2[GameDate], "&lt;=" &amp; $A7, Table2[AwayTeam], C$1)+SUMIFS(Table2[NewPointsHome],Table2[GameDate], "&lt;=" &amp; $A7, Table2[HomeTeam], C$1)</f>
        <v>2</v>
      </c>
      <c r="D7" s="145">
        <f>SUMIFS(Table2[NewPointsAway],Table2[GameDate], "&lt;=" &amp; $A7, Table2[AwayTeam], D$1)+SUMIFS(Table2[NewPointsHome],Table2[GameDate], "&lt;=" &amp; $A7, Table2[HomeTeam], D$1)</f>
        <v>0</v>
      </c>
      <c r="E7" s="145">
        <f>SUMIFS(Table2[NewPointsAway],Table2[GameDate], "&lt;=" &amp; $A7, Table2[AwayTeam], E$1)+SUMIFS(Table2[NewPointsHome],Table2[GameDate], "&lt;=" &amp; $A7, Table2[HomeTeam], E$1)</f>
        <v>0</v>
      </c>
      <c r="F7" s="145">
        <f>SUMIFS(Table2[NewPointsAway],Table2[GameDate], "&lt;=" &amp; $A7, Table2[AwayTeam], F$1)+SUMIFS(Table2[NewPointsHome],Table2[GameDate], "&lt;=" &amp; $A7, Table2[HomeTeam], F$1)</f>
        <v>0</v>
      </c>
      <c r="G7" s="145">
        <f>SUMIFS(Table2[NewPointsAway],Table2[GameDate], "&lt;=" &amp; $A7, Table2[AwayTeam], G$1)+SUMIFS(Table2[NewPointsHome],Table2[GameDate], "&lt;=" &amp; $A7, Table2[HomeTeam], G$1)</f>
        <v>2</v>
      </c>
      <c r="H7" s="145">
        <f>SUMIFS(Table2[NewPointsAway],Table2[GameDate], "&lt;=" &amp; $A7, Table2[AwayTeam], H$1)+SUMIFS(Table2[NewPointsHome],Table2[GameDate], "&lt;=" &amp; $A7, Table2[HomeTeam], H$1)</f>
        <v>0</v>
      </c>
      <c r="I7" s="145">
        <f>SUMIFS(Table2[NewPointsAway],Table2[GameDate], "&lt;=" &amp; $A7, Table2[AwayTeam], I$1)+SUMIFS(Table2[NewPointsHome],Table2[GameDate], "&lt;=" &amp; $A7, Table2[HomeTeam], I$1)</f>
        <v>2</v>
      </c>
      <c r="J7" s="145">
        <f>SUMIFS(Table2[NewPointsAway],Table2[GameDate], "&lt;=" &amp; $A7, Table2[AwayTeam], J$1)+SUMIFS(Table2[NewPointsHome],Table2[GameDate], "&lt;=" &amp; $A7, Table2[HomeTeam], J$1)</f>
        <v>0</v>
      </c>
      <c r="K7" s="145">
        <f>SUMIFS(Table2[NewPointsAway],Table2[GameDate], "&lt;=" &amp; $A7, Table2[AwayTeam], K$1)+SUMIFS(Table2[NewPointsHome],Table2[GameDate], "&lt;=" &amp; $A7, Table2[HomeTeam], K$1)</f>
        <v>0</v>
      </c>
      <c r="L7" s="145">
        <f>SUMIFS(Table2[NewPointsAway],Table2[GameDate], "&lt;=" &amp; $A7, Table2[AwayTeam], L$1)+SUMIFS(Table2[NewPointsHome],Table2[GameDate], "&lt;=" &amp; $A7, Table2[HomeTeam], L$1)</f>
        <v>1</v>
      </c>
      <c r="M7" s="145">
        <f>SUMIFS(Table2[NewPointsAway],Table2[GameDate], "&lt;=" &amp; $A7, Table2[AwayTeam], M$1)+SUMIFS(Table2[NewPointsHome],Table2[GameDate], "&lt;=" &amp; $A7, Table2[HomeTeam], M$1)</f>
        <v>2</v>
      </c>
      <c r="N7" s="145">
        <f>SUMIFS(Table2[NewPointsAway],Table2[GameDate], "&lt;=" &amp; $A7, Table2[AwayTeam], N$1)+SUMIFS(Table2[NewPointsHome],Table2[GameDate], "&lt;=" &amp; $A7, Table2[HomeTeam], N$1)</f>
        <v>2</v>
      </c>
      <c r="O7" s="145">
        <f>SUMIFS(Table2[NewPointsAway],Table2[GameDate], "&lt;=" &amp; $A7, Table2[AwayTeam], O$1)+SUMIFS(Table2[NewPointsHome],Table2[GameDate], "&lt;=" &amp; $A7, Table2[HomeTeam], O$1)</f>
        <v>0</v>
      </c>
      <c r="P7" s="145">
        <f>SUMIFS(Table2[NewPointsAway],Table2[GameDate], "&lt;=" &amp; $A7, Table2[AwayTeam], P$1)+SUMIFS(Table2[NewPointsHome],Table2[GameDate], "&lt;=" &amp; $A7, Table2[HomeTeam], P$1)</f>
        <v>0</v>
      </c>
      <c r="Q7" s="145">
        <f>SUMIFS(Table2[NewPointsAway],Table2[GameDate], "&lt;=" &amp; $A7, Table2[AwayTeam], Q$1)+SUMIFS(Table2[NewPointsHome],Table2[GameDate], "&lt;=" &amp; $A7, Table2[HomeTeam], Q$1)</f>
        <v>0</v>
      </c>
      <c r="R7" s="145">
        <f>SUMIFS(Table2[NewPointsAway],Table2[GameDate], "&lt;=" &amp; $A7, Table2[AwayTeam], R$1)+SUMIFS(Table2[NewPointsHome],Table2[GameDate], "&lt;=" &amp; $A7, Table2[HomeTeam], R$1)</f>
        <v>0</v>
      </c>
      <c r="S7" s="145">
        <f>SUMIFS(Table2[NewPointsAway],Table2[GameDate], "&lt;=" &amp; $A7, Table2[AwayTeam], S$1)+SUMIFS(Table2[NewPointsHome],Table2[GameDate], "&lt;=" &amp; $A7, Table2[HomeTeam], S$1)</f>
        <v>0</v>
      </c>
      <c r="T7" s="145">
        <f>SUMIFS(Table2[NewPointsAway],Table2[GameDate], "&lt;=" &amp; $A7, Table2[AwayTeam], T$1)+SUMIFS(Table2[NewPointsHome],Table2[GameDate], "&lt;=" &amp; $A7, Table2[HomeTeam], T$1)</f>
        <v>0</v>
      </c>
      <c r="U7" s="145">
        <f>SUMIFS(Table2[NewPointsAway],Table2[GameDate], "&lt;=" &amp; $A7, Table2[AwayTeam], U$1)+SUMIFS(Table2[NewPointsHome],Table2[GameDate], "&lt;=" &amp; $A7, Table2[HomeTeam], U$1)</f>
        <v>0</v>
      </c>
      <c r="V7" s="145">
        <f>SUMIFS(Table2[NewPointsAway],Table2[GameDate], "&lt;=" &amp; $A7, Table2[AwayTeam], V$1)+SUMIFS(Table2[NewPointsHome],Table2[GameDate], "&lt;=" &amp; $A7, Table2[HomeTeam], V$1)</f>
        <v>0</v>
      </c>
      <c r="W7" s="145">
        <f>SUMIFS(Table2[NewPointsAway],Table2[GameDate], "&lt;=" &amp; $A7, Table2[AwayTeam], W$1)+SUMIFS(Table2[NewPointsHome],Table2[GameDate], "&lt;=" &amp; $A7, Table2[HomeTeam], W$1)</f>
        <v>2</v>
      </c>
      <c r="X7" s="145">
        <f>SUMIFS(Table2[NewPointsAway],Table2[GameDate], "&lt;=" &amp; $A7, Table2[AwayTeam], X$1)+SUMIFS(Table2[NewPointsHome],Table2[GameDate], "&lt;=" &amp; $A7, Table2[HomeTeam], X$1)</f>
        <v>0</v>
      </c>
      <c r="Y7" s="145">
        <f>SUMIFS(Table2[NewPointsAway],Table2[GameDate], "&lt;=" &amp; $A7, Table2[AwayTeam], Y$1)+SUMIFS(Table2[NewPointsHome],Table2[GameDate], "&lt;=" &amp; $A7, Table2[HomeTeam], Y$1)</f>
        <v>0</v>
      </c>
      <c r="Z7" s="145">
        <f>SUMIFS(Table2[NewPointsAway],Table2[GameDate], "&lt;=" &amp; $A7, Table2[AwayTeam], Z$1)+SUMIFS(Table2[NewPointsHome],Table2[GameDate], "&lt;=" &amp; $A7, Table2[HomeTeam], Z$1)</f>
        <v>0</v>
      </c>
      <c r="AA7" s="145">
        <f>SUMIFS(Table2[NewPointsAway],Table2[GameDate], "&lt;=" &amp; $A7, Table2[AwayTeam], AA$1)+SUMIFS(Table2[NewPointsHome],Table2[GameDate], "&lt;=" &amp; $A7, Table2[HomeTeam], AA$1)</f>
        <v>0</v>
      </c>
      <c r="AB7" s="145">
        <f>SUMIFS(Table2[NewPointsAway],Table2[GameDate], "&lt;=" &amp; $A7, Table2[AwayTeam], AB$1)+SUMIFS(Table2[NewPointsHome],Table2[GameDate], "&lt;=" &amp; $A7, Table2[HomeTeam], AB$1)</f>
        <v>2</v>
      </c>
      <c r="AC7" s="145">
        <f>SUMIFS(Table2[NewPointsAway],Table2[GameDate], "&lt;=" &amp; $A7, Table2[AwayTeam], AC$1)+SUMIFS(Table2[NewPointsHome],Table2[GameDate], "&lt;=" &amp; $A7, Table2[HomeTeam], AC$1)</f>
        <v>0</v>
      </c>
      <c r="AD7" s="145">
        <f>SUMIFS(Table2[NewPointsAway],Table2[GameDate], "&lt;=" &amp; $A7, Table2[AwayTeam], AD$1)+SUMIFS(Table2[NewPointsHome],Table2[GameDate], "&lt;=" &amp; $A7, Table2[HomeTeam], AD$1)</f>
        <v>0</v>
      </c>
      <c r="AE7" s="145">
        <f>SUMIFS(Table2[NewPointsAway],Table2[GameDate], "&lt;=" &amp; $A7, Table2[AwayTeam], AE$1)+SUMIFS(Table2[NewPointsHome],Table2[GameDate], "&lt;=" &amp; $A7, Table2[HomeTeam], AE$1)</f>
        <v>1</v>
      </c>
      <c r="AF7" s="145">
        <f>SUMIFS(Table2[NewPointsAway],Table2[GameDate], "&lt;=" &amp; $A7, Table2[AwayTeam], AF$1)+SUMIFS(Table2[NewPointsHome],Table2[GameDate], "&lt;=" &amp; $A7, Table2[HomeTeam], AF$1)</f>
        <v>0</v>
      </c>
      <c r="AG7" s="145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45">
        <f>SUMIFS(Table2[NewPointsAway],Table2[GameDate], "&lt;=" &amp; $A8, Table2[AwayTeam], B$1)+SUMIFS(Table2[NewPointsHome],Table2[GameDate], "&lt;=" &amp; $A8, Table2[HomeTeam], B$1)</f>
        <v>0</v>
      </c>
      <c r="C8" s="145">
        <f>SUMIFS(Table2[NewPointsAway],Table2[GameDate], "&lt;=" &amp; $A8, Table2[AwayTeam], C$1)+SUMIFS(Table2[NewPointsHome],Table2[GameDate], "&lt;=" &amp; $A8, Table2[HomeTeam], C$1)</f>
        <v>2</v>
      </c>
      <c r="D8" s="145">
        <f>SUMIFS(Table2[NewPointsAway],Table2[GameDate], "&lt;=" &amp; $A8, Table2[AwayTeam], D$1)+SUMIFS(Table2[NewPointsHome],Table2[GameDate], "&lt;=" &amp; $A8, Table2[HomeTeam], D$1)</f>
        <v>0</v>
      </c>
      <c r="E8" s="145">
        <f>SUMIFS(Table2[NewPointsAway],Table2[GameDate], "&lt;=" &amp; $A8, Table2[AwayTeam], E$1)+SUMIFS(Table2[NewPointsHome],Table2[GameDate], "&lt;=" &amp; $A8, Table2[HomeTeam], E$1)</f>
        <v>0</v>
      </c>
      <c r="F8" s="145">
        <f>SUMIFS(Table2[NewPointsAway],Table2[GameDate], "&lt;=" &amp; $A8, Table2[AwayTeam], F$1)+SUMIFS(Table2[NewPointsHome],Table2[GameDate], "&lt;=" &amp; $A8, Table2[HomeTeam], F$1)</f>
        <v>0</v>
      </c>
      <c r="G8" s="145">
        <f>SUMIFS(Table2[NewPointsAway],Table2[GameDate], "&lt;=" &amp; $A8, Table2[AwayTeam], G$1)+SUMIFS(Table2[NewPointsHome],Table2[GameDate], "&lt;=" &amp; $A8, Table2[HomeTeam], G$1)</f>
        <v>2</v>
      </c>
      <c r="H8" s="145">
        <f>SUMIFS(Table2[NewPointsAway],Table2[GameDate], "&lt;=" &amp; $A8, Table2[AwayTeam], H$1)+SUMIFS(Table2[NewPointsHome],Table2[GameDate], "&lt;=" &amp; $A8, Table2[HomeTeam], H$1)</f>
        <v>0</v>
      </c>
      <c r="I8" s="145">
        <f>SUMIFS(Table2[NewPointsAway],Table2[GameDate], "&lt;=" &amp; $A8, Table2[AwayTeam], I$1)+SUMIFS(Table2[NewPointsHome],Table2[GameDate], "&lt;=" &amp; $A8, Table2[HomeTeam], I$1)</f>
        <v>2</v>
      </c>
      <c r="J8" s="145">
        <f>SUMIFS(Table2[NewPointsAway],Table2[GameDate], "&lt;=" &amp; $A8, Table2[AwayTeam], J$1)+SUMIFS(Table2[NewPointsHome],Table2[GameDate], "&lt;=" &amp; $A8, Table2[HomeTeam], J$1)</f>
        <v>0</v>
      </c>
      <c r="K8" s="145">
        <f>SUMIFS(Table2[NewPointsAway],Table2[GameDate], "&lt;=" &amp; $A8, Table2[AwayTeam], K$1)+SUMIFS(Table2[NewPointsHome],Table2[GameDate], "&lt;=" &amp; $A8, Table2[HomeTeam], K$1)</f>
        <v>0</v>
      </c>
      <c r="L8" s="145">
        <f>SUMIFS(Table2[NewPointsAway],Table2[GameDate], "&lt;=" &amp; $A8, Table2[AwayTeam], L$1)+SUMIFS(Table2[NewPointsHome],Table2[GameDate], "&lt;=" &amp; $A8, Table2[HomeTeam], L$1)</f>
        <v>1</v>
      </c>
      <c r="M8" s="145">
        <f>SUMIFS(Table2[NewPointsAway],Table2[GameDate], "&lt;=" &amp; $A8, Table2[AwayTeam], M$1)+SUMIFS(Table2[NewPointsHome],Table2[GameDate], "&lt;=" &amp; $A8, Table2[HomeTeam], M$1)</f>
        <v>2</v>
      </c>
      <c r="N8" s="145">
        <f>SUMIFS(Table2[NewPointsAway],Table2[GameDate], "&lt;=" &amp; $A8, Table2[AwayTeam], N$1)+SUMIFS(Table2[NewPointsHome],Table2[GameDate], "&lt;=" &amp; $A8, Table2[HomeTeam], N$1)</f>
        <v>2</v>
      </c>
      <c r="O8" s="145">
        <f>SUMIFS(Table2[NewPointsAway],Table2[GameDate], "&lt;=" &amp; $A8, Table2[AwayTeam], O$1)+SUMIFS(Table2[NewPointsHome],Table2[GameDate], "&lt;=" &amp; $A8, Table2[HomeTeam], O$1)</f>
        <v>0</v>
      </c>
      <c r="P8" s="145">
        <f>SUMIFS(Table2[NewPointsAway],Table2[GameDate], "&lt;=" &amp; $A8, Table2[AwayTeam], P$1)+SUMIFS(Table2[NewPointsHome],Table2[GameDate], "&lt;=" &amp; $A8, Table2[HomeTeam], P$1)</f>
        <v>0</v>
      </c>
      <c r="Q8" s="145">
        <f>SUMIFS(Table2[NewPointsAway],Table2[GameDate], "&lt;=" &amp; $A8, Table2[AwayTeam], Q$1)+SUMIFS(Table2[NewPointsHome],Table2[GameDate], "&lt;=" &amp; $A8, Table2[HomeTeam], Q$1)</f>
        <v>0</v>
      </c>
      <c r="R8" s="145">
        <f>SUMIFS(Table2[NewPointsAway],Table2[GameDate], "&lt;=" &amp; $A8, Table2[AwayTeam], R$1)+SUMIFS(Table2[NewPointsHome],Table2[GameDate], "&lt;=" &amp; $A8, Table2[HomeTeam], R$1)</f>
        <v>0</v>
      </c>
      <c r="S8" s="145">
        <f>SUMIFS(Table2[NewPointsAway],Table2[GameDate], "&lt;=" &amp; $A8, Table2[AwayTeam], S$1)+SUMIFS(Table2[NewPointsHome],Table2[GameDate], "&lt;=" &amp; $A8, Table2[HomeTeam], S$1)</f>
        <v>0</v>
      </c>
      <c r="T8" s="145">
        <f>SUMIFS(Table2[NewPointsAway],Table2[GameDate], "&lt;=" &amp; $A8, Table2[AwayTeam], T$1)+SUMIFS(Table2[NewPointsHome],Table2[GameDate], "&lt;=" &amp; $A8, Table2[HomeTeam], T$1)</f>
        <v>0</v>
      </c>
      <c r="U8" s="145">
        <f>SUMIFS(Table2[NewPointsAway],Table2[GameDate], "&lt;=" &amp; $A8, Table2[AwayTeam], U$1)+SUMIFS(Table2[NewPointsHome],Table2[GameDate], "&lt;=" &amp; $A8, Table2[HomeTeam], U$1)</f>
        <v>0</v>
      </c>
      <c r="V8" s="145">
        <f>SUMIFS(Table2[NewPointsAway],Table2[GameDate], "&lt;=" &amp; $A8, Table2[AwayTeam], V$1)+SUMIFS(Table2[NewPointsHome],Table2[GameDate], "&lt;=" &amp; $A8, Table2[HomeTeam], V$1)</f>
        <v>0</v>
      </c>
      <c r="W8" s="145">
        <f>SUMIFS(Table2[NewPointsAway],Table2[GameDate], "&lt;=" &amp; $A8, Table2[AwayTeam], W$1)+SUMIFS(Table2[NewPointsHome],Table2[GameDate], "&lt;=" &amp; $A8, Table2[HomeTeam], W$1)</f>
        <v>2</v>
      </c>
      <c r="X8" s="145">
        <f>SUMIFS(Table2[NewPointsAway],Table2[GameDate], "&lt;=" &amp; $A8, Table2[AwayTeam], X$1)+SUMIFS(Table2[NewPointsHome],Table2[GameDate], "&lt;=" &amp; $A8, Table2[HomeTeam], X$1)</f>
        <v>0</v>
      </c>
      <c r="Y8" s="145">
        <f>SUMIFS(Table2[NewPointsAway],Table2[GameDate], "&lt;=" &amp; $A8, Table2[AwayTeam], Y$1)+SUMIFS(Table2[NewPointsHome],Table2[GameDate], "&lt;=" &amp; $A8, Table2[HomeTeam], Y$1)</f>
        <v>0</v>
      </c>
      <c r="Z8" s="145">
        <f>SUMIFS(Table2[NewPointsAway],Table2[GameDate], "&lt;=" &amp; $A8, Table2[AwayTeam], Z$1)+SUMIFS(Table2[NewPointsHome],Table2[GameDate], "&lt;=" &amp; $A8, Table2[HomeTeam], Z$1)</f>
        <v>0</v>
      </c>
      <c r="AA8" s="145">
        <f>SUMIFS(Table2[NewPointsAway],Table2[GameDate], "&lt;=" &amp; $A8, Table2[AwayTeam], AA$1)+SUMIFS(Table2[NewPointsHome],Table2[GameDate], "&lt;=" &amp; $A8, Table2[HomeTeam], AA$1)</f>
        <v>0</v>
      </c>
      <c r="AB8" s="145">
        <f>SUMIFS(Table2[NewPointsAway],Table2[GameDate], "&lt;=" &amp; $A8, Table2[AwayTeam], AB$1)+SUMIFS(Table2[NewPointsHome],Table2[GameDate], "&lt;=" &amp; $A8, Table2[HomeTeam], AB$1)</f>
        <v>2</v>
      </c>
      <c r="AC8" s="145">
        <f>SUMIFS(Table2[NewPointsAway],Table2[GameDate], "&lt;=" &amp; $A8, Table2[AwayTeam], AC$1)+SUMIFS(Table2[NewPointsHome],Table2[GameDate], "&lt;=" &amp; $A8, Table2[HomeTeam], AC$1)</f>
        <v>0</v>
      </c>
      <c r="AD8" s="145">
        <f>SUMIFS(Table2[NewPointsAway],Table2[GameDate], "&lt;=" &amp; $A8, Table2[AwayTeam], AD$1)+SUMIFS(Table2[NewPointsHome],Table2[GameDate], "&lt;=" &amp; $A8, Table2[HomeTeam], AD$1)</f>
        <v>0</v>
      </c>
      <c r="AE8" s="145">
        <f>SUMIFS(Table2[NewPointsAway],Table2[GameDate], "&lt;=" &amp; $A8, Table2[AwayTeam], AE$1)+SUMIFS(Table2[NewPointsHome],Table2[GameDate], "&lt;=" &amp; $A8, Table2[HomeTeam], AE$1)</f>
        <v>1</v>
      </c>
      <c r="AF8" s="145">
        <f>SUMIFS(Table2[NewPointsAway],Table2[GameDate], "&lt;=" &amp; $A8, Table2[AwayTeam], AF$1)+SUMIFS(Table2[NewPointsHome],Table2[GameDate], "&lt;=" &amp; $A8, Table2[HomeTeam], AF$1)</f>
        <v>0</v>
      </c>
      <c r="AG8" s="145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45">
        <f>SUMIFS(Table2[NewPointsAway],Table2[GameDate], "&lt;=" &amp; $A9, Table2[AwayTeam], B$1)+SUMIFS(Table2[NewPointsHome],Table2[GameDate], "&lt;=" &amp; $A9, Table2[HomeTeam], B$1)</f>
        <v>0</v>
      </c>
      <c r="C9" s="145">
        <f>SUMIFS(Table2[NewPointsAway],Table2[GameDate], "&lt;=" &amp; $A9, Table2[AwayTeam], C$1)+SUMIFS(Table2[NewPointsHome],Table2[GameDate], "&lt;=" &amp; $A9, Table2[HomeTeam], C$1)</f>
        <v>2</v>
      </c>
      <c r="D9" s="145">
        <f>SUMIFS(Table2[NewPointsAway],Table2[GameDate], "&lt;=" &amp; $A9, Table2[AwayTeam], D$1)+SUMIFS(Table2[NewPointsHome],Table2[GameDate], "&lt;=" &amp; $A9, Table2[HomeTeam], D$1)</f>
        <v>0</v>
      </c>
      <c r="E9" s="145">
        <f>SUMIFS(Table2[NewPointsAway],Table2[GameDate], "&lt;=" &amp; $A9, Table2[AwayTeam], E$1)+SUMIFS(Table2[NewPointsHome],Table2[GameDate], "&lt;=" &amp; $A9, Table2[HomeTeam], E$1)</f>
        <v>0</v>
      </c>
      <c r="F9" s="145">
        <f>SUMIFS(Table2[NewPointsAway],Table2[GameDate], "&lt;=" &amp; $A9, Table2[AwayTeam], F$1)+SUMIFS(Table2[NewPointsHome],Table2[GameDate], "&lt;=" &amp; $A9, Table2[HomeTeam], F$1)</f>
        <v>0</v>
      </c>
      <c r="G9" s="145">
        <f>SUMIFS(Table2[NewPointsAway],Table2[GameDate], "&lt;=" &amp; $A9, Table2[AwayTeam], G$1)+SUMIFS(Table2[NewPointsHome],Table2[GameDate], "&lt;=" &amp; $A9, Table2[HomeTeam], G$1)</f>
        <v>2</v>
      </c>
      <c r="H9" s="145">
        <f>SUMIFS(Table2[NewPointsAway],Table2[GameDate], "&lt;=" &amp; $A9, Table2[AwayTeam], H$1)+SUMIFS(Table2[NewPointsHome],Table2[GameDate], "&lt;=" &amp; $A9, Table2[HomeTeam], H$1)</f>
        <v>0</v>
      </c>
      <c r="I9" s="145">
        <f>SUMIFS(Table2[NewPointsAway],Table2[GameDate], "&lt;=" &amp; $A9, Table2[AwayTeam], I$1)+SUMIFS(Table2[NewPointsHome],Table2[GameDate], "&lt;=" &amp; $A9, Table2[HomeTeam], I$1)</f>
        <v>2</v>
      </c>
      <c r="J9" s="145">
        <f>SUMIFS(Table2[NewPointsAway],Table2[GameDate], "&lt;=" &amp; $A9, Table2[AwayTeam], J$1)+SUMIFS(Table2[NewPointsHome],Table2[GameDate], "&lt;=" &amp; $A9, Table2[HomeTeam], J$1)</f>
        <v>0</v>
      </c>
      <c r="K9" s="145">
        <f>SUMIFS(Table2[NewPointsAway],Table2[GameDate], "&lt;=" &amp; $A9, Table2[AwayTeam], K$1)+SUMIFS(Table2[NewPointsHome],Table2[GameDate], "&lt;=" &amp; $A9, Table2[HomeTeam], K$1)</f>
        <v>0</v>
      </c>
      <c r="L9" s="145">
        <f>SUMIFS(Table2[NewPointsAway],Table2[GameDate], "&lt;=" &amp; $A9, Table2[AwayTeam], L$1)+SUMIFS(Table2[NewPointsHome],Table2[GameDate], "&lt;=" &amp; $A9, Table2[HomeTeam], L$1)</f>
        <v>1</v>
      </c>
      <c r="M9" s="145">
        <f>SUMIFS(Table2[NewPointsAway],Table2[GameDate], "&lt;=" &amp; $A9, Table2[AwayTeam], M$1)+SUMIFS(Table2[NewPointsHome],Table2[GameDate], "&lt;=" &amp; $A9, Table2[HomeTeam], M$1)</f>
        <v>2</v>
      </c>
      <c r="N9" s="145">
        <f>SUMIFS(Table2[NewPointsAway],Table2[GameDate], "&lt;=" &amp; $A9, Table2[AwayTeam], N$1)+SUMIFS(Table2[NewPointsHome],Table2[GameDate], "&lt;=" &amp; $A9, Table2[HomeTeam], N$1)</f>
        <v>2</v>
      </c>
      <c r="O9" s="145">
        <f>SUMIFS(Table2[NewPointsAway],Table2[GameDate], "&lt;=" &amp; $A9, Table2[AwayTeam], O$1)+SUMIFS(Table2[NewPointsHome],Table2[GameDate], "&lt;=" &amp; $A9, Table2[HomeTeam], O$1)</f>
        <v>0</v>
      </c>
      <c r="P9" s="145">
        <f>SUMIFS(Table2[NewPointsAway],Table2[GameDate], "&lt;=" &amp; $A9, Table2[AwayTeam], P$1)+SUMIFS(Table2[NewPointsHome],Table2[GameDate], "&lt;=" &amp; $A9, Table2[HomeTeam], P$1)</f>
        <v>0</v>
      </c>
      <c r="Q9" s="145">
        <f>SUMIFS(Table2[NewPointsAway],Table2[GameDate], "&lt;=" &amp; $A9, Table2[AwayTeam], Q$1)+SUMIFS(Table2[NewPointsHome],Table2[GameDate], "&lt;=" &amp; $A9, Table2[HomeTeam], Q$1)</f>
        <v>0</v>
      </c>
      <c r="R9" s="145">
        <f>SUMIFS(Table2[NewPointsAway],Table2[GameDate], "&lt;=" &amp; $A9, Table2[AwayTeam], R$1)+SUMIFS(Table2[NewPointsHome],Table2[GameDate], "&lt;=" &amp; $A9, Table2[HomeTeam], R$1)</f>
        <v>0</v>
      </c>
      <c r="S9" s="145">
        <f>SUMIFS(Table2[NewPointsAway],Table2[GameDate], "&lt;=" &amp; $A9, Table2[AwayTeam], S$1)+SUMIFS(Table2[NewPointsHome],Table2[GameDate], "&lt;=" &amp; $A9, Table2[HomeTeam], S$1)</f>
        <v>0</v>
      </c>
      <c r="T9" s="145">
        <f>SUMIFS(Table2[NewPointsAway],Table2[GameDate], "&lt;=" &amp; $A9, Table2[AwayTeam], T$1)+SUMIFS(Table2[NewPointsHome],Table2[GameDate], "&lt;=" &amp; $A9, Table2[HomeTeam], T$1)</f>
        <v>0</v>
      </c>
      <c r="U9" s="145">
        <f>SUMIFS(Table2[NewPointsAway],Table2[GameDate], "&lt;=" &amp; $A9, Table2[AwayTeam], U$1)+SUMIFS(Table2[NewPointsHome],Table2[GameDate], "&lt;=" &amp; $A9, Table2[HomeTeam], U$1)</f>
        <v>0</v>
      </c>
      <c r="V9" s="145">
        <f>SUMIFS(Table2[NewPointsAway],Table2[GameDate], "&lt;=" &amp; $A9, Table2[AwayTeam], V$1)+SUMIFS(Table2[NewPointsHome],Table2[GameDate], "&lt;=" &amp; $A9, Table2[HomeTeam], V$1)</f>
        <v>0</v>
      </c>
      <c r="W9" s="145">
        <f>SUMIFS(Table2[NewPointsAway],Table2[GameDate], "&lt;=" &amp; $A9, Table2[AwayTeam], W$1)+SUMIFS(Table2[NewPointsHome],Table2[GameDate], "&lt;=" &amp; $A9, Table2[HomeTeam], W$1)</f>
        <v>2</v>
      </c>
      <c r="X9" s="145">
        <f>SUMIFS(Table2[NewPointsAway],Table2[GameDate], "&lt;=" &amp; $A9, Table2[AwayTeam], X$1)+SUMIFS(Table2[NewPointsHome],Table2[GameDate], "&lt;=" &amp; $A9, Table2[HomeTeam], X$1)</f>
        <v>0</v>
      </c>
      <c r="Y9" s="145">
        <f>SUMIFS(Table2[NewPointsAway],Table2[GameDate], "&lt;=" &amp; $A9, Table2[AwayTeam], Y$1)+SUMIFS(Table2[NewPointsHome],Table2[GameDate], "&lt;=" &amp; $A9, Table2[HomeTeam], Y$1)</f>
        <v>0</v>
      </c>
      <c r="Z9" s="145">
        <f>SUMIFS(Table2[NewPointsAway],Table2[GameDate], "&lt;=" &amp; $A9, Table2[AwayTeam], Z$1)+SUMIFS(Table2[NewPointsHome],Table2[GameDate], "&lt;=" &amp; $A9, Table2[HomeTeam], Z$1)</f>
        <v>0</v>
      </c>
      <c r="AA9" s="145">
        <f>SUMIFS(Table2[NewPointsAway],Table2[GameDate], "&lt;=" &amp; $A9, Table2[AwayTeam], AA$1)+SUMIFS(Table2[NewPointsHome],Table2[GameDate], "&lt;=" &amp; $A9, Table2[HomeTeam], AA$1)</f>
        <v>0</v>
      </c>
      <c r="AB9" s="145">
        <f>SUMIFS(Table2[NewPointsAway],Table2[GameDate], "&lt;=" &amp; $A9, Table2[AwayTeam], AB$1)+SUMIFS(Table2[NewPointsHome],Table2[GameDate], "&lt;=" &amp; $A9, Table2[HomeTeam], AB$1)</f>
        <v>2</v>
      </c>
      <c r="AC9" s="145">
        <f>SUMIFS(Table2[NewPointsAway],Table2[GameDate], "&lt;=" &amp; $A9, Table2[AwayTeam], AC$1)+SUMIFS(Table2[NewPointsHome],Table2[GameDate], "&lt;=" &amp; $A9, Table2[HomeTeam], AC$1)</f>
        <v>0</v>
      </c>
      <c r="AD9" s="145">
        <f>SUMIFS(Table2[NewPointsAway],Table2[GameDate], "&lt;=" &amp; $A9, Table2[AwayTeam], AD$1)+SUMIFS(Table2[NewPointsHome],Table2[GameDate], "&lt;=" &amp; $A9, Table2[HomeTeam], AD$1)</f>
        <v>0</v>
      </c>
      <c r="AE9" s="145">
        <f>SUMIFS(Table2[NewPointsAway],Table2[GameDate], "&lt;=" &amp; $A9, Table2[AwayTeam], AE$1)+SUMIFS(Table2[NewPointsHome],Table2[GameDate], "&lt;=" &amp; $A9, Table2[HomeTeam], AE$1)</f>
        <v>1</v>
      </c>
      <c r="AF9" s="145">
        <f>SUMIFS(Table2[NewPointsAway],Table2[GameDate], "&lt;=" &amp; $A9, Table2[AwayTeam], AF$1)+SUMIFS(Table2[NewPointsHome],Table2[GameDate], "&lt;=" &amp; $A9, Table2[HomeTeam], AF$1)</f>
        <v>0</v>
      </c>
      <c r="AG9" s="145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45">
        <f>SUMIFS(Table2[NewPointsAway],Table2[GameDate], "&lt;=" &amp; $A10, Table2[AwayTeam], B$1)+SUMIFS(Table2[NewPointsHome],Table2[GameDate], "&lt;=" &amp; $A10, Table2[HomeTeam], B$1)</f>
        <v>0</v>
      </c>
      <c r="C10" s="145">
        <f>SUMIFS(Table2[NewPointsAway],Table2[GameDate], "&lt;=" &amp; $A10, Table2[AwayTeam], C$1)+SUMIFS(Table2[NewPointsHome],Table2[GameDate], "&lt;=" &amp; $A10, Table2[HomeTeam], C$1)</f>
        <v>2</v>
      </c>
      <c r="D10" s="145">
        <f>SUMIFS(Table2[NewPointsAway],Table2[GameDate], "&lt;=" &amp; $A10, Table2[AwayTeam], D$1)+SUMIFS(Table2[NewPointsHome],Table2[GameDate], "&lt;=" &amp; $A10, Table2[HomeTeam], D$1)</f>
        <v>0</v>
      </c>
      <c r="E10" s="145">
        <f>SUMIFS(Table2[NewPointsAway],Table2[GameDate], "&lt;=" &amp; $A10, Table2[AwayTeam], E$1)+SUMIFS(Table2[NewPointsHome],Table2[GameDate], "&lt;=" &amp; $A10, Table2[HomeTeam], E$1)</f>
        <v>0</v>
      </c>
      <c r="F10" s="145">
        <f>SUMIFS(Table2[NewPointsAway],Table2[GameDate], "&lt;=" &amp; $A10, Table2[AwayTeam], F$1)+SUMIFS(Table2[NewPointsHome],Table2[GameDate], "&lt;=" &amp; $A10, Table2[HomeTeam], F$1)</f>
        <v>0</v>
      </c>
      <c r="G10" s="145">
        <f>SUMIFS(Table2[NewPointsAway],Table2[GameDate], "&lt;=" &amp; $A10, Table2[AwayTeam], G$1)+SUMIFS(Table2[NewPointsHome],Table2[GameDate], "&lt;=" &amp; $A10, Table2[HomeTeam], G$1)</f>
        <v>2</v>
      </c>
      <c r="H10" s="145">
        <f>SUMIFS(Table2[NewPointsAway],Table2[GameDate], "&lt;=" &amp; $A10, Table2[AwayTeam], H$1)+SUMIFS(Table2[NewPointsHome],Table2[GameDate], "&lt;=" &amp; $A10, Table2[HomeTeam], H$1)</f>
        <v>0</v>
      </c>
      <c r="I10" s="145">
        <f>SUMIFS(Table2[NewPointsAway],Table2[GameDate], "&lt;=" &amp; $A10, Table2[AwayTeam], I$1)+SUMIFS(Table2[NewPointsHome],Table2[GameDate], "&lt;=" &amp; $A10, Table2[HomeTeam], I$1)</f>
        <v>2</v>
      </c>
      <c r="J10" s="145">
        <f>SUMIFS(Table2[NewPointsAway],Table2[GameDate], "&lt;=" &amp; $A10, Table2[AwayTeam], J$1)+SUMIFS(Table2[NewPointsHome],Table2[GameDate], "&lt;=" &amp; $A10, Table2[HomeTeam], J$1)</f>
        <v>0</v>
      </c>
      <c r="K10" s="145">
        <f>SUMIFS(Table2[NewPointsAway],Table2[GameDate], "&lt;=" &amp; $A10, Table2[AwayTeam], K$1)+SUMIFS(Table2[NewPointsHome],Table2[GameDate], "&lt;=" &amp; $A10, Table2[HomeTeam], K$1)</f>
        <v>0</v>
      </c>
      <c r="L10" s="145">
        <f>SUMIFS(Table2[NewPointsAway],Table2[GameDate], "&lt;=" &amp; $A10, Table2[AwayTeam], L$1)+SUMIFS(Table2[NewPointsHome],Table2[GameDate], "&lt;=" &amp; $A10, Table2[HomeTeam], L$1)</f>
        <v>1</v>
      </c>
      <c r="M10" s="145">
        <f>SUMIFS(Table2[NewPointsAway],Table2[GameDate], "&lt;=" &amp; $A10, Table2[AwayTeam], M$1)+SUMIFS(Table2[NewPointsHome],Table2[GameDate], "&lt;=" &amp; $A10, Table2[HomeTeam], M$1)</f>
        <v>2</v>
      </c>
      <c r="N10" s="145">
        <f>SUMIFS(Table2[NewPointsAway],Table2[GameDate], "&lt;=" &amp; $A10, Table2[AwayTeam], N$1)+SUMIFS(Table2[NewPointsHome],Table2[GameDate], "&lt;=" &amp; $A10, Table2[HomeTeam], N$1)</f>
        <v>2</v>
      </c>
      <c r="O10" s="145">
        <f>SUMIFS(Table2[NewPointsAway],Table2[GameDate], "&lt;=" &amp; $A10, Table2[AwayTeam], O$1)+SUMIFS(Table2[NewPointsHome],Table2[GameDate], "&lt;=" &amp; $A10, Table2[HomeTeam], O$1)</f>
        <v>0</v>
      </c>
      <c r="P10" s="145">
        <f>SUMIFS(Table2[NewPointsAway],Table2[GameDate], "&lt;=" &amp; $A10, Table2[AwayTeam], P$1)+SUMIFS(Table2[NewPointsHome],Table2[GameDate], "&lt;=" &amp; $A10, Table2[HomeTeam], P$1)</f>
        <v>0</v>
      </c>
      <c r="Q10" s="145">
        <f>SUMIFS(Table2[NewPointsAway],Table2[GameDate], "&lt;=" &amp; $A10, Table2[AwayTeam], Q$1)+SUMIFS(Table2[NewPointsHome],Table2[GameDate], "&lt;=" &amp; $A10, Table2[HomeTeam], Q$1)</f>
        <v>0</v>
      </c>
      <c r="R10" s="145">
        <f>SUMIFS(Table2[NewPointsAway],Table2[GameDate], "&lt;=" &amp; $A10, Table2[AwayTeam], R$1)+SUMIFS(Table2[NewPointsHome],Table2[GameDate], "&lt;=" &amp; $A10, Table2[HomeTeam], R$1)</f>
        <v>0</v>
      </c>
      <c r="S10" s="145">
        <f>SUMIFS(Table2[NewPointsAway],Table2[GameDate], "&lt;=" &amp; $A10, Table2[AwayTeam], S$1)+SUMIFS(Table2[NewPointsHome],Table2[GameDate], "&lt;=" &amp; $A10, Table2[HomeTeam], S$1)</f>
        <v>0</v>
      </c>
      <c r="T10" s="145">
        <f>SUMIFS(Table2[NewPointsAway],Table2[GameDate], "&lt;=" &amp; $A10, Table2[AwayTeam], T$1)+SUMIFS(Table2[NewPointsHome],Table2[GameDate], "&lt;=" &amp; $A10, Table2[HomeTeam], T$1)</f>
        <v>0</v>
      </c>
      <c r="U10" s="145">
        <f>SUMIFS(Table2[NewPointsAway],Table2[GameDate], "&lt;=" &amp; $A10, Table2[AwayTeam], U$1)+SUMIFS(Table2[NewPointsHome],Table2[GameDate], "&lt;=" &amp; $A10, Table2[HomeTeam], U$1)</f>
        <v>0</v>
      </c>
      <c r="V10" s="145">
        <f>SUMIFS(Table2[NewPointsAway],Table2[GameDate], "&lt;=" &amp; $A10, Table2[AwayTeam], V$1)+SUMIFS(Table2[NewPointsHome],Table2[GameDate], "&lt;=" &amp; $A10, Table2[HomeTeam], V$1)</f>
        <v>0</v>
      </c>
      <c r="W10" s="145">
        <f>SUMIFS(Table2[NewPointsAway],Table2[GameDate], "&lt;=" &amp; $A10, Table2[AwayTeam], W$1)+SUMIFS(Table2[NewPointsHome],Table2[GameDate], "&lt;=" &amp; $A10, Table2[HomeTeam], W$1)</f>
        <v>2</v>
      </c>
      <c r="X10" s="145">
        <f>SUMIFS(Table2[NewPointsAway],Table2[GameDate], "&lt;=" &amp; $A10, Table2[AwayTeam], X$1)+SUMIFS(Table2[NewPointsHome],Table2[GameDate], "&lt;=" &amp; $A10, Table2[HomeTeam], X$1)</f>
        <v>0</v>
      </c>
      <c r="Y10" s="145">
        <f>SUMIFS(Table2[NewPointsAway],Table2[GameDate], "&lt;=" &amp; $A10, Table2[AwayTeam], Y$1)+SUMIFS(Table2[NewPointsHome],Table2[GameDate], "&lt;=" &amp; $A10, Table2[HomeTeam], Y$1)</f>
        <v>0</v>
      </c>
      <c r="Z10" s="145">
        <f>SUMIFS(Table2[NewPointsAway],Table2[GameDate], "&lt;=" &amp; $A10, Table2[AwayTeam], Z$1)+SUMIFS(Table2[NewPointsHome],Table2[GameDate], "&lt;=" &amp; $A10, Table2[HomeTeam], Z$1)</f>
        <v>0</v>
      </c>
      <c r="AA10" s="145">
        <f>SUMIFS(Table2[NewPointsAway],Table2[GameDate], "&lt;=" &amp; $A10, Table2[AwayTeam], AA$1)+SUMIFS(Table2[NewPointsHome],Table2[GameDate], "&lt;=" &amp; $A10, Table2[HomeTeam], AA$1)</f>
        <v>0</v>
      </c>
      <c r="AB10" s="145">
        <f>SUMIFS(Table2[NewPointsAway],Table2[GameDate], "&lt;=" &amp; $A10, Table2[AwayTeam], AB$1)+SUMIFS(Table2[NewPointsHome],Table2[GameDate], "&lt;=" &amp; $A10, Table2[HomeTeam], AB$1)</f>
        <v>2</v>
      </c>
      <c r="AC10" s="145">
        <f>SUMIFS(Table2[NewPointsAway],Table2[GameDate], "&lt;=" &amp; $A10, Table2[AwayTeam], AC$1)+SUMIFS(Table2[NewPointsHome],Table2[GameDate], "&lt;=" &amp; $A10, Table2[HomeTeam], AC$1)</f>
        <v>0</v>
      </c>
      <c r="AD10" s="145">
        <f>SUMIFS(Table2[NewPointsAway],Table2[GameDate], "&lt;=" &amp; $A10, Table2[AwayTeam], AD$1)+SUMIFS(Table2[NewPointsHome],Table2[GameDate], "&lt;=" &amp; $A10, Table2[HomeTeam], AD$1)</f>
        <v>0</v>
      </c>
      <c r="AE10" s="145">
        <f>SUMIFS(Table2[NewPointsAway],Table2[GameDate], "&lt;=" &amp; $A10, Table2[AwayTeam], AE$1)+SUMIFS(Table2[NewPointsHome],Table2[GameDate], "&lt;=" &amp; $A10, Table2[HomeTeam], AE$1)</f>
        <v>1</v>
      </c>
      <c r="AF10" s="145">
        <f>SUMIFS(Table2[NewPointsAway],Table2[GameDate], "&lt;=" &amp; $A10, Table2[AwayTeam], AF$1)+SUMIFS(Table2[NewPointsHome],Table2[GameDate], "&lt;=" &amp; $A10, Table2[HomeTeam], AF$1)</f>
        <v>0</v>
      </c>
      <c r="AG10" s="145">
        <f>SUMIFS(Table2[NewPointsAway],Table2[GameDate], "&lt;=" &amp; $A10, Table2[AwayTeam], AG$1)+SUMIFS(Table2[NewPointsHome],Table2[GameDate], "&lt;=" &amp; $A10, Table2[HomeTeam], AG$1)</f>
        <v>0</v>
      </c>
    </row>
    <row r="11" spans="1:33" x14ac:dyDescent="0.25">
      <c r="A11" s="3">
        <v>45942</v>
      </c>
      <c r="B11" s="145">
        <f>SUMIFS(Table2[NewPointsAway],Table2[GameDate], "&lt;=" &amp; $A11, Table2[AwayTeam], B$1)+SUMIFS(Table2[NewPointsHome],Table2[GameDate], "&lt;=" &amp; $A11, Table2[HomeTeam], B$1)</f>
        <v>0</v>
      </c>
      <c r="C11" s="145">
        <f>SUMIFS(Table2[NewPointsAway],Table2[GameDate], "&lt;=" &amp; $A11, Table2[AwayTeam], C$1)+SUMIFS(Table2[NewPointsHome],Table2[GameDate], "&lt;=" &amp; $A11, Table2[HomeTeam], C$1)</f>
        <v>2</v>
      </c>
      <c r="D11" s="145">
        <f>SUMIFS(Table2[NewPointsAway],Table2[GameDate], "&lt;=" &amp; $A11, Table2[AwayTeam], D$1)+SUMIFS(Table2[NewPointsHome],Table2[GameDate], "&lt;=" &amp; $A11, Table2[HomeTeam], D$1)</f>
        <v>0</v>
      </c>
      <c r="E11" s="145">
        <f>SUMIFS(Table2[NewPointsAway],Table2[GameDate], "&lt;=" &amp; $A11, Table2[AwayTeam], E$1)+SUMIFS(Table2[NewPointsHome],Table2[GameDate], "&lt;=" &amp; $A11, Table2[HomeTeam], E$1)</f>
        <v>0</v>
      </c>
      <c r="F11" s="145">
        <f>SUMIFS(Table2[NewPointsAway],Table2[GameDate], "&lt;=" &amp; $A11, Table2[AwayTeam], F$1)+SUMIFS(Table2[NewPointsHome],Table2[GameDate], "&lt;=" &amp; $A11, Table2[HomeTeam], F$1)</f>
        <v>0</v>
      </c>
      <c r="G11" s="145">
        <f>SUMIFS(Table2[NewPointsAway],Table2[GameDate], "&lt;=" &amp; $A11, Table2[AwayTeam], G$1)+SUMIFS(Table2[NewPointsHome],Table2[GameDate], "&lt;=" &amp; $A11, Table2[HomeTeam], G$1)</f>
        <v>2</v>
      </c>
      <c r="H11" s="145">
        <f>SUMIFS(Table2[NewPointsAway],Table2[GameDate], "&lt;=" &amp; $A11, Table2[AwayTeam], H$1)+SUMIFS(Table2[NewPointsHome],Table2[GameDate], "&lt;=" &amp; $A11, Table2[HomeTeam], H$1)</f>
        <v>0</v>
      </c>
      <c r="I11" s="145">
        <f>SUMIFS(Table2[NewPointsAway],Table2[GameDate], "&lt;=" &amp; $A11, Table2[AwayTeam], I$1)+SUMIFS(Table2[NewPointsHome],Table2[GameDate], "&lt;=" &amp; $A11, Table2[HomeTeam], I$1)</f>
        <v>2</v>
      </c>
      <c r="J11" s="145">
        <f>SUMIFS(Table2[NewPointsAway],Table2[GameDate], "&lt;=" &amp; $A11, Table2[AwayTeam], J$1)+SUMIFS(Table2[NewPointsHome],Table2[GameDate], "&lt;=" &amp; $A11, Table2[HomeTeam], J$1)</f>
        <v>0</v>
      </c>
      <c r="K11" s="145">
        <f>SUMIFS(Table2[NewPointsAway],Table2[GameDate], "&lt;=" &amp; $A11, Table2[AwayTeam], K$1)+SUMIFS(Table2[NewPointsHome],Table2[GameDate], "&lt;=" &amp; $A11, Table2[HomeTeam], K$1)</f>
        <v>0</v>
      </c>
      <c r="L11" s="145">
        <f>SUMIFS(Table2[NewPointsAway],Table2[GameDate], "&lt;=" &amp; $A11, Table2[AwayTeam], L$1)+SUMIFS(Table2[NewPointsHome],Table2[GameDate], "&lt;=" &amp; $A11, Table2[HomeTeam], L$1)</f>
        <v>1</v>
      </c>
      <c r="M11" s="145">
        <f>SUMIFS(Table2[NewPointsAway],Table2[GameDate], "&lt;=" &amp; $A11, Table2[AwayTeam], M$1)+SUMIFS(Table2[NewPointsHome],Table2[GameDate], "&lt;=" &amp; $A11, Table2[HomeTeam], M$1)</f>
        <v>2</v>
      </c>
      <c r="N11" s="145">
        <f>SUMIFS(Table2[NewPointsAway],Table2[GameDate], "&lt;=" &amp; $A11, Table2[AwayTeam], N$1)+SUMIFS(Table2[NewPointsHome],Table2[GameDate], "&lt;=" &amp; $A11, Table2[HomeTeam], N$1)</f>
        <v>2</v>
      </c>
      <c r="O11" s="145">
        <f>SUMIFS(Table2[NewPointsAway],Table2[GameDate], "&lt;=" &amp; $A11, Table2[AwayTeam], O$1)+SUMIFS(Table2[NewPointsHome],Table2[GameDate], "&lt;=" &amp; $A11, Table2[HomeTeam], O$1)</f>
        <v>0</v>
      </c>
      <c r="P11" s="145">
        <f>SUMIFS(Table2[NewPointsAway],Table2[GameDate], "&lt;=" &amp; $A11, Table2[AwayTeam], P$1)+SUMIFS(Table2[NewPointsHome],Table2[GameDate], "&lt;=" &amp; $A11, Table2[HomeTeam], P$1)</f>
        <v>0</v>
      </c>
      <c r="Q11" s="145">
        <f>SUMIFS(Table2[NewPointsAway],Table2[GameDate], "&lt;=" &amp; $A11, Table2[AwayTeam], Q$1)+SUMIFS(Table2[NewPointsHome],Table2[GameDate], "&lt;=" &amp; $A11, Table2[HomeTeam], Q$1)</f>
        <v>0</v>
      </c>
      <c r="R11" s="145">
        <f>SUMIFS(Table2[NewPointsAway],Table2[GameDate], "&lt;=" &amp; $A11, Table2[AwayTeam], R$1)+SUMIFS(Table2[NewPointsHome],Table2[GameDate], "&lt;=" &amp; $A11, Table2[HomeTeam], R$1)</f>
        <v>0</v>
      </c>
      <c r="S11" s="145">
        <f>SUMIFS(Table2[NewPointsAway],Table2[GameDate], "&lt;=" &amp; $A11, Table2[AwayTeam], S$1)+SUMIFS(Table2[NewPointsHome],Table2[GameDate], "&lt;=" &amp; $A11, Table2[HomeTeam], S$1)</f>
        <v>0</v>
      </c>
      <c r="T11" s="145">
        <f>SUMIFS(Table2[NewPointsAway],Table2[GameDate], "&lt;=" &amp; $A11, Table2[AwayTeam], T$1)+SUMIFS(Table2[NewPointsHome],Table2[GameDate], "&lt;=" &amp; $A11, Table2[HomeTeam], T$1)</f>
        <v>0</v>
      </c>
      <c r="U11" s="145">
        <f>SUMIFS(Table2[NewPointsAway],Table2[GameDate], "&lt;=" &amp; $A11, Table2[AwayTeam], U$1)+SUMIFS(Table2[NewPointsHome],Table2[GameDate], "&lt;=" &amp; $A11, Table2[HomeTeam], U$1)</f>
        <v>0</v>
      </c>
      <c r="V11" s="145">
        <f>SUMIFS(Table2[NewPointsAway],Table2[GameDate], "&lt;=" &amp; $A11, Table2[AwayTeam], V$1)+SUMIFS(Table2[NewPointsHome],Table2[GameDate], "&lt;=" &amp; $A11, Table2[HomeTeam], V$1)</f>
        <v>0</v>
      </c>
      <c r="W11" s="145">
        <f>SUMIFS(Table2[NewPointsAway],Table2[GameDate], "&lt;=" &amp; $A11, Table2[AwayTeam], W$1)+SUMIFS(Table2[NewPointsHome],Table2[GameDate], "&lt;=" &amp; $A11, Table2[HomeTeam], W$1)</f>
        <v>2</v>
      </c>
      <c r="X11" s="145">
        <f>SUMIFS(Table2[NewPointsAway],Table2[GameDate], "&lt;=" &amp; $A11, Table2[AwayTeam], X$1)+SUMIFS(Table2[NewPointsHome],Table2[GameDate], "&lt;=" &amp; $A11, Table2[HomeTeam], X$1)</f>
        <v>0</v>
      </c>
      <c r="Y11" s="145">
        <f>SUMIFS(Table2[NewPointsAway],Table2[GameDate], "&lt;=" &amp; $A11, Table2[AwayTeam], Y$1)+SUMIFS(Table2[NewPointsHome],Table2[GameDate], "&lt;=" &amp; $A11, Table2[HomeTeam], Y$1)</f>
        <v>0</v>
      </c>
      <c r="Z11" s="145">
        <f>SUMIFS(Table2[NewPointsAway],Table2[GameDate], "&lt;=" &amp; $A11, Table2[AwayTeam], Z$1)+SUMIFS(Table2[NewPointsHome],Table2[GameDate], "&lt;=" &amp; $A11, Table2[HomeTeam], Z$1)</f>
        <v>0</v>
      </c>
      <c r="AA11" s="145">
        <f>SUMIFS(Table2[NewPointsAway],Table2[GameDate], "&lt;=" &amp; $A11, Table2[AwayTeam], AA$1)+SUMIFS(Table2[NewPointsHome],Table2[GameDate], "&lt;=" &amp; $A11, Table2[HomeTeam], AA$1)</f>
        <v>0</v>
      </c>
      <c r="AB11" s="145">
        <f>SUMIFS(Table2[NewPointsAway],Table2[GameDate], "&lt;=" &amp; $A11, Table2[AwayTeam], AB$1)+SUMIFS(Table2[NewPointsHome],Table2[GameDate], "&lt;=" &amp; $A11, Table2[HomeTeam], AB$1)</f>
        <v>2</v>
      </c>
      <c r="AC11" s="145">
        <f>SUMIFS(Table2[NewPointsAway],Table2[GameDate], "&lt;=" &amp; $A11, Table2[AwayTeam], AC$1)+SUMIFS(Table2[NewPointsHome],Table2[GameDate], "&lt;=" &amp; $A11, Table2[HomeTeam], AC$1)</f>
        <v>0</v>
      </c>
      <c r="AD11" s="145">
        <f>SUMIFS(Table2[NewPointsAway],Table2[GameDate], "&lt;=" &amp; $A11, Table2[AwayTeam], AD$1)+SUMIFS(Table2[NewPointsHome],Table2[GameDate], "&lt;=" &amp; $A11, Table2[HomeTeam], AD$1)</f>
        <v>0</v>
      </c>
      <c r="AE11" s="145">
        <f>SUMIFS(Table2[NewPointsAway],Table2[GameDate], "&lt;=" &amp; $A11, Table2[AwayTeam], AE$1)+SUMIFS(Table2[NewPointsHome],Table2[GameDate], "&lt;=" &amp; $A11, Table2[HomeTeam], AE$1)</f>
        <v>1</v>
      </c>
      <c r="AF11" s="145">
        <f>SUMIFS(Table2[NewPointsAway],Table2[GameDate], "&lt;=" &amp; $A11, Table2[AwayTeam], AF$1)+SUMIFS(Table2[NewPointsHome],Table2[GameDate], "&lt;=" &amp; $A11, Table2[HomeTeam], AF$1)</f>
        <v>0</v>
      </c>
      <c r="AG11" s="145">
        <f>SUMIFS(Table2[NewPointsAway],Table2[GameDate], "&lt;=" &amp; $A11, Table2[AwayTeam], AG$1)+SUMIFS(Table2[NewPointsHome],Table2[GameDate], "&lt;=" &amp; $A11, Table2[HomeTeam], AG$1)</f>
        <v>0</v>
      </c>
    </row>
    <row r="12" spans="1:33" x14ac:dyDescent="0.25">
      <c r="A12" s="3">
        <v>45943</v>
      </c>
      <c r="B12" s="145">
        <f>SUMIFS(Table2[NewPointsAway],Table2[GameDate], "&lt;=" &amp; $A12, Table2[AwayTeam], B$1)+SUMIFS(Table2[NewPointsHome],Table2[GameDate], "&lt;=" &amp; $A12, Table2[HomeTeam], B$1)</f>
        <v>0</v>
      </c>
      <c r="C12" s="145">
        <f>SUMIFS(Table2[NewPointsAway],Table2[GameDate], "&lt;=" &amp; $A12, Table2[AwayTeam], C$1)+SUMIFS(Table2[NewPointsHome],Table2[GameDate], "&lt;=" &amp; $A12, Table2[HomeTeam], C$1)</f>
        <v>2</v>
      </c>
      <c r="D12" s="145">
        <f>SUMIFS(Table2[NewPointsAway],Table2[GameDate], "&lt;=" &amp; $A12, Table2[AwayTeam], D$1)+SUMIFS(Table2[NewPointsHome],Table2[GameDate], "&lt;=" &amp; $A12, Table2[HomeTeam], D$1)</f>
        <v>0</v>
      </c>
      <c r="E12" s="145">
        <f>SUMIFS(Table2[NewPointsAway],Table2[GameDate], "&lt;=" &amp; $A12, Table2[AwayTeam], E$1)+SUMIFS(Table2[NewPointsHome],Table2[GameDate], "&lt;=" &amp; $A12, Table2[HomeTeam], E$1)</f>
        <v>0</v>
      </c>
      <c r="F12" s="145">
        <f>SUMIFS(Table2[NewPointsAway],Table2[GameDate], "&lt;=" &amp; $A12, Table2[AwayTeam], F$1)+SUMIFS(Table2[NewPointsHome],Table2[GameDate], "&lt;=" &amp; $A12, Table2[HomeTeam], F$1)</f>
        <v>0</v>
      </c>
      <c r="G12" s="145">
        <f>SUMIFS(Table2[NewPointsAway],Table2[GameDate], "&lt;=" &amp; $A12, Table2[AwayTeam], G$1)+SUMIFS(Table2[NewPointsHome],Table2[GameDate], "&lt;=" &amp; $A12, Table2[HomeTeam], G$1)</f>
        <v>2</v>
      </c>
      <c r="H12" s="145">
        <f>SUMIFS(Table2[NewPointsAway],Table2[GameDate], "&lt;=" &amp; $A12, Table2[AwayTeam], H$1)+SUMIFS(Table2[NewPointsHome],Table2[GameDate], "&lt;=" &amp; $A12, Table2[HomeTeam], H$1)</f>
        <v>0</v>
      </c>
      <c r="I12" s="145">
        <f>SUMIFS(Table2[NewPointsAway],Table2[GameDate], "&lt;=" &amp; $A12, Table2[AwayTeam], I$1)+SUMIFS(Table2[NewPointsHome],Table2[GameDate], "&lt;=" &amp; $A12, Table2[HomeTeam], I$1)</f>
        <v>2</v>
      </c>
      <c r="J12" s="145">
        <f>SUMIFS(Table2[NewPointsAway],Table2[GameDate], "&lt;=" &amp; $A12, Table2[AwayTeam], J$1)+SUMIFS(Table2[NewPointsHome],Table2[GameDate], "&lt;=" &amp; $A12, Table2[HomeTeam], J$1)</f>
        <v>0</v>
      </c>
      <c r="K12" s="145">
        <f>SUMIFS(Table2[NewPointsAway],Table2[GameDate], "&lt;=" &amp; $A12, Table2[AwayTeam], K$1)+SUMIFS(Table2[NewPointsHome],Table2[GameDate], "&lt;=" &amp; $A12, Table2[HomeTeam], K$1)</f>
        <v>0</v>
      </c>
      <c r="L12" s="145">
        <f>SUMIFS(Table2[NewPointsAway],Table2[GameDate], "&lt;=" &amp; $A12, Table2[AwayTeam], L$1)+SUMIFS(Table2[NewPointsHome],Table2[GameDate], "&lt;=" &amp; $A12, Table2[HomeTeam], L$1)</f>
        <v>1</v>
      </c>
      <c r="M12" s="145">
        <f>SUMIFS(Table2[NewPointsAway],Table2[GameDate], "&lt;=" &amp; $A12, Table2[AwayTeam], M$1)+SUMIFS(Table2[NewPointsHome],Table2[GameDate], "&lt;=" &amp; $A12, Table2[HomeTeam], M$1)</f>
        <v>2</v>
      </c>
      <c r="N12" s="145">
        <f>SUMIFS(Table2[NewPointsAway],Table2[GameDate], "&lt;=" &amp; $A12, Table2[AwayTeam], N$1)+SUMIFS(Table2[NewPointsHome],Table2[GameDate], "&lt;=" &amp; $A12, Table2[HomeTeam], N$1)</f>
        <v>2</v>
      </c>
      <c r="O12" s="145">
        <f>SUMIFS(Table2[NewPointsAway],Table2[GameDate], "&lt;=" &amp; $A12, Table2[AwayTeam], O$1)+SUMIFS(Table2[NewPointsHome],Table2[GameDate], "&lt;=" &amp; $A12, Table2[HomeTeam], O$1)</f>
        <v>0</v>
      </c>
      <c r="P12" s="145">
        <f>SUMIFS(Table2[NewPointsAway],Table2[GameDate], "&lt;=" &amp; $A12, Table2[AwayTeam], P$1)+SUMIFS(Table2[NewPointsHome],Table2[GameDate], "&lt;=" &amp; $A12, Table2[HomeTeam], P$1)</f>
        <v>0</v>
      </c>
      <c r="Q12" s="145">
        <f>SUMIFS(Table2[NewPointsAway],Table2[GameDate], "&lt;=" &amp; $A12, Table2[AwayTeam], Q$1)+SUMIFS(Table2[NewPointsHome],Table2[GameDate], "&lt;=" &amp; $A12, Table2[HomeTeam], Q$1)</f>
        <v>0</v>
      </c>
      <c r="R12" s="145">
        <f>SUMIFS(Table2[NewPointsAway],Table2[GameDate], "&lt;=" &amp; $A12, Table2[AwayTeam], R$1)+SUMIFS(Table2[NewPointsHome],Table2[GameDate], "&lt;=" &amp; $A12, Table2[HomeTeam], R$1)</f>
        <v>0</v>
      </c>
      <c r="S12" s="145">
        <f>SUMIFS(Table2[NewPointsAway],Table2[GameDate], "&lt;=" &amp; $A12, Table2[AwayTeam], S$1)+SUMIFS(Table2[NewPointsHome],Table2[GameDate], "&lt;=" &amp; $A12, Table2[HomeTeam], S$1)</f>
        <v>0</v>
      </c>
      <c r="T12" s="145">
        <f>SUMIFS(Table2[NewPointsAway],Table2[GameDate], "&lt;=" &amp; $A12, Table2[AwayTeam], T$1)+SUMIFS(Table2[NewPointsHome],Table2[GameDate], "&lt;=" &amp; $A12, Table2[HomeTeam], T$1)</f>
        <v>0</v>
      </c>
      <c r="U12" s="145">
        <f>SUMIFS(Table2[NewPointsAway],Table2[GameDate], "&lt;=" &amp; $A12, Table2[AwayTeam], U$1)+SUMIFS(Table2[NewPointsHome],Table2[GameDate], "&lt;=" &amp; $A12, Table2[HomeTeam], U$1)</f>
        <v>0</v>
      </c>
      <c r="V12" s="145">
        <f>SUMIFS(Table2[NewPointsAway],Table2[GameDate], "&lt;=" &amp; $A12, Table2[AwayTeam], V$1)+SUMIFS(Table2[NewPointsHome],Table2[GameDate], "&lt;=" &amp; $A12, Table2[HomeTeam], V$1)</f>
        <v>0</v>
      </c>
      <c r="W12" s="145">
        <f>SUMIFS(Table2[NewPointsAway],Table2[GameDate], "&lt;=" &amp; $A12, Table2[AwayTeam], W$1)+SUMIFS(Table2[NewPointsHome],Table2[GameDate], "&lt;=" &amp; $A12, Table2[HomeTeam], W$1)</f>
        <v>2</v>
      </c>
      <c r="X12" s="145">
        <f>SUMIFS(Table2[NewPointsAway],Table2[GameDate], "&lt;=" &amp; $A12, Table2[AwayTeam], X$1)+SUMIFS(Table2[NewPointsHome],Table2[GameDate], "&lt;=" &amp; $A12, Table2[HomeTeam], X$1)</f>
        <v>0</v>
      </c>
      <c r="Y12" s="145">
        <f>SUMIFS(Table2[NewPointsAway],Table2[GameDate], "&lt;=" &amp; $A12, Table2[AwayTeam], Y$1)+SUMIFS(Table2[NewPointsHome],Table2[GameDate], "&lt;=" &amp; $A12, Table2[HomeTeam], Y$1)</f>
        <v>0</v>
      </c>
      <c r="Z12" s="145">
        <f>SUMIFS(Table2[NewPointsAway],Table2[GameDate], "&lt;=" &amp; $A12, Table2[AwayTeam], Z$1)+SUMIFS(Table2[NewPointsHome],Table2[GameDate], "&lt;=" &amp; $A12, Table2[HomeTeam], Z$1)</f>
        <v>0</v>
      </c>
      <c r="AA12" s="145">
        <f>SUMIFS(Table2[NewPointsAway],Table2[GameDate], "&lt;=" &amp; $A12, Table2[AwayTeam], AA$1)+SUMIFS(Table2[NewPointsHome],Table2[GameDate], "&lt;=" &amp; $A12, Table2[HomeTeam], AA$1)</f>
        <v>0</v>
      </c>
      <c r="AB12" s="145">
        <f>SUMIFS(Table2[NewPointsAway],Table2[GameDate], "&lt;=" &amp; $A12, Table2[AwayTeam], AB$1)+SUMIFS(Table2[NewPointsHome],Table2[GameDate], "&lt;=" &amp; $A12, Table2[HomeTeam], AB$1)</f>
        <v>2</v>
      </c>
      <c r="AC12" s="145">
        <f>SUMIFS(Table2[NewPointsAway],Table2[GameDate], "&lt;=" &amp; $A12, Table2[AwayTeam], AC$1)+SUMIFS(Table2[NewPointsHome],Table2[GameDate], "&lt;=" &amp; $A12, Table2[HomeTeam], AC$1)</f>
        <v>0</v>
      </c>
      <c r="AD12" s="145">
        <f>SUMIFS(Table2[NewPointsAway],Table2[GameDate], "&lt;=" &amp; $A12, Table2[AwayTeam], AD$1)+SUMIFS(Table2[NewPointsHome],Table2[GameDate], "&lt;=" &amp; $A12, Table2[HomeTeam], AD$1)</f>
        <v>0</v>
      </c>
      <c r="AE12" s="145">
        <f>SUMIFS(Table2[NewPointsAway],Table2[GameDate], "&lt;=" &amp; $A12, Table2[AwayTeam], AE$1)+SUMIFS(Table2[NewPointsHome],Table2[GameDate], "&lt;=" &amp; $A12, Table2[HomeTeam], AE$1)</f>
        <v>1</v>
      </c>
      <c r="AF12" s="145">
        <f>SUMIFS(Table2[NewPointsAway],Table2[GameDate], "&lt;=" &amp; $A12, Table2[AwayTeam], AF$1)+SUMIFS(Table2[NewPointsHome],Table2[GameDate], "&lt;=" &amp; $A12, Table2[HomeTeam], AF$1)</f>
        <v>0</v>
      </c>
      <c r="AG12" s="145">
        <f>SUMIFS(Table2[NewPointsAway],Table2[GameDate], "&lt;=" &amp; $A12, Table2[AwayTeam], AG$1)+SUMIFS(Table2[NewPointsHome],Table2[GameDate], "&lt;=" &amp; $A12, Table2[HomeTeam], AG$1)</f>
        <v>0</v>
      </c>
    </row>
    <row r="13" spans="1:33" x14ac:dyDescent="0.25">
      <c r="A13" s="3">
        <v>45944</v>
      </c>
      <c r="B13" s="145">
        <f>SUMIFS(Table2[NewPointsAway],Table2[GameDate], "&lt;=" &amp; $A13, Table2[AwayTeam], B$1)+SUMIFS(Table2[NewPointsHome],Table2[GameDate], "&lt;=" &amp; $A13, Table2[HomeTeam], B$1)</f>
        <v>0</v>
      </c>
      <c r="C13" s="145">
        <f>SUMIFS(Table2[NewPointsAway],Table2[GameDate], "&lt;=" &amp; $A13, Table2[AwayTeam], C$1)+SUMIFS(Table2[NewPointsHome],Table2[GameDate], "&lt;=" &amp; $A13, Table2[HomeTeam], C$1)</f>
        <v>2</v>
      </c>
      <c r="D13" s="145">
        <f>SUMIFS(Table2[NewPointsAway],Table2[GameDate], "&lt;=" &amp; $A13, Table2[AwayTeam], D$1)+SUMIFS(Table2[NewPointsHome],Table2[GameDate], "&lt;=" &amp; $A13, Table2[HomeTeam], D$1)</f>
        <v>0</v>
      </c>
      <c r="E13" s="145">
        <f>SUMIFS(Table2[NewPointsAway],Table2[GameDate], "&lt;=" &amp; $A13, Table2[AwayTeam], E$1)+SUMIFS(Table2[NewPointsHome],Table2[GameDate], "&lt;=" &amp; $A13, Table2[HomeTeam], E$1)</f>
        <v>0</v>
      </c>
      <c r="F13" s="145">
        <f>SUMIFS(Table2[NewPointsAway],Table2[GameDate], "&lt;=" &amp; $A13, Table2[AwayTeam], F$1)+SUMIFS(Table2[NewPointsHome],Table2[GameDate], "&lt;=" &amp; $A13, Table2[HomeTeam], F$1)</f>
        <v>0</v>
      </c>
      <c r="G13" s="145">
        <f>SUMIFS(Table2[NewPointsAway],Table2[GameDate], "&lt;=" &amp; $A13, Table2[AwayTeam], G$1)+SUMIFS(Table2[NewPointsHome],Table2[GameDate], "&lt;=" &amp; $A13, Table2[HomeTeam], G$1)</f>
        <v>2</v>
      </c>
      <c r="H13" s="145">
        <f>SUMIFS(Table2[NewPointsAway],Table2[GameDate], "&lt;=" &amp; $A13, Table2[AwayTeam], H$1)+SUMIFS(Table2[NewPointsHome],Table2[GameDate], "&lt;=" &amp; $A13, Table2[HomeTeam], H$1)</f>
        <v>0</v>
      </c>
      <c r="I13" s="145">
        <f>SUMIFS(Table2[NewPointsAway],Table2[GameDate], "&lt;=" &amp; $A13, Table2[AwayTeam], I$1)+SUMIFS(Table2[NewPointsHome],Table2[GameDate], "&lt;=" &amp; $A13, Table2[HomeTeam], I$1)</f>
        <v>2</v>
      </c>
      <c r="J13" s="145">
        <f>SUMIFS(Table2[NewPointsAway],Table2[GameDate], "&lt;=" &amp; $A13, Table2[AwayTeam], J$1)+SUMIFS(Table2[NewPointsHome],Table2[GameDate], "&lt;=" &amp; $A13, Table2[HomeTeam], J$1)</f>
        <v>0</v>
      </c>
      <c r="K13" s="145">
        <f>SUMIFS(Table2[NewPointsAway],Table2[GameDate], "&lt;=" &amp; $A13, Table2[AwayTeam], K$1)+SUMIFS(Table2[NewPointsHome],Table2[GameDate], "&lt;=" &amp; $A13, Table2[HomeTeam], K$1)</f>
        <v>0</v>
      </c>
      <c r="L13" s="145">
        <f>SUMIFS(Table2[NewPointsAway],Table2[GameDate], "&lt;=" &amp; $A13, Table2[AwayTeam], L$1)+SUMIFS(Table2[NewPointsHome],Table2[GameDate], "&lt;=" &amp; $A13, Table2[HomeTeam], L$1)</f>
        <v>1</v>
      </c>
      <c r="M13" s="145">
        <f>SUMIFS(Table2[NewPointsAway],Table2[GameDate], "&lt;=" &amp; $A13, Table2[AwayTeam], M$1)+SUMIFS(Table2[NewPointsHome],Table2[GameDate], "&lt;=" &amp; $A13, Table2[HomeTeam], M$1)</f>
        <v>2</v>
      </c>
      <c r="N13" s="145">
        <f>SUMIFS(Table2[NewPointsAway],Table2[GameDate], "&lt;=" &amp; $A13, Table2[AwayTeam], N$1)+SUMIFS(Table2[NewPointsHome],Table2[GameDate], "&lt;=" &amp; $A13, Table2[HomeTeam], N$1)</f>
        <v>2</v>
      </c>
      <c r="O13" s="145">
        <f>SUMIFS(Table2[NewPointsAway],Table2[GameDate], "&lt;=" &amp; $A13, Table2[AwayTeam], O$1)+SUMIFS(Table2[NewPointsHome],Table2[GameDate], "&lt;=" &amp; $A13, Table2[HomeTeam], O$1)</f>
        <v>0</v>
      </c>
      <c r="P13" s="145">
        <f>SUMIFS(Table2[NewPointsAway],Table2[GameDate], "&lt;=" &amp; $A13, Table2[AwayTeam], P$1)+SUMIFS(Table2[NewPointsHome],Table2[GameDate], "&lt;=" &amp; $A13, Table2[HomeTeam], P$1)</f>
        <v>0</v>
      </c>
      <c r="Q13" s="145">
        <f>SUMIFS(Table2[NewPointsAway],Table2[GameDate], "&lt;=" &amp; $A13, Table2[AwayTeam], Q$1)+SUMIFS(Table2[NewPointsHome],Table2[GameDate], "&lt;=" &amp; $A13, Table2[HomeTeam], Q$1)</f>
        <v>0</v>
      </c>
      <c r="R13" s="145">
        <f>SUMIFS(Table2[NewPointsAway],Table2[GameDate], "&lt;=" &amp; $A13, Table2[AwayTeam], R$1)+SUMIFS(Table2[NewPointsHome],Table2[GameDate], "&lt;=" &amp; $A13, Table2[HomeTeam], R$1)</f>
        <v>0</v>
      </c>
      <c r="S13" s="145">
        <f>SUMIFS(Table2[NewPointsAway],Table2[GameDate], "&lt;=" &amp; $A13, Table2[AwayTeam], S$1)+SUMIFS(Table2[NewPointsHome],Table2[GameDate], "&lt;=" &amp; $A13, Table2[HomeTeam], S$1)</f>
        <v>0</v>
      </c>
      <c r="T13" s="145">
        <f>SUMIFS(Table2[NewPointsAway],Table2[GameDate], "&lt;=" &amp; $A13, Table2[AwayTeam], T$1)+SUMIFS(Table2[NewPointsHome],Table2[GameDate], "&lt;=" &amp; $A13, Table2[HomeTeam], T$1)</f>
        <v>0</v>
      </c>
      <c r="U13" s="145">
        <f>SUMIFS(Table2[NewPointsAway],Table2[GameDate], "&lt;=" &amp; $A13, Table2[AwayTeam], U$1)+SUMIFS(Table2[NewPointsHome],Table2[GameDate], "&lt;=" &amp; $A13, Table2[HomeTeam], U$1)</f>
        <v>0</v>
      </c>
      <c r="V13" s="145">
        <f>SUMIFS(Table2[NewPointsAway],Table2[GameDate], "&lt;=" &amp; $A13, Table2[AwayTeam], V$1)+SUMIFS(Table2[NewPointsHome],Table2[GameDate], "&lt;=" &amp; $A13, Table2[HomeTeam], V$1)</f>
        <v>0</v>
      </c>
      <c r="W13" s="145">
        <f>SUMIFS(Table2[NewPointsAway],Table2[GameDate], "&lt;=" &amp; $A13, Table2[AwayTeam], W$1)+SUMIFS(Table2[NewPointsHome],Table2[GameDate], "&lt;=" &amp; $A13, Table2[HomeTeam], W$1)</f>
        <v>2</v>
      </c>
      <c r="X13" s="145">
        <f>SUMIFS(Table2[NewPointsAway],Table2[GameDate], "&lt;=" &amp; $A13, Table2[AwayTeam], X$1)+SUMIFS(Table2[NewPointsHome],Table2[GameDate], "&lt;=" &amp; $A13, Table2[HomeTeam], X$1)</f>
        <v>0</v>
      </c>
      <c r="Y13" s="145">
        <f>SUMIFS(Table2[NewPointsAway],Table2[GameDate], "&lt;=" &amp; $A13, Table2[AwayTeam], Y$1)+SUMIFS(Table2[NewPointsHome],Table2[GameDate], "&lt;=" &amp; $A13, Table2[HomeTeam], Y$1)</f>
        <v>0</v>
      </c>
      <c r="Z13" s="145">
        <f>SUMIFS(Table2[NewPointsAway],Table2[GameDate], "&lt;=" &amp; $A13, Table2[AwayTeam], Z$1)+SUMIFS(Table2[NewPointsHome],Table2[GameDate], "&lt;=" &amp; $A13, Table2[HomeTeam], Z$1)</f>
        <v>0</v>
      </c>
      <c r="AA13" s="145">
        <f>SUMIFS(Table2[NewPointsAway],Table2[GameDate], "&lt;=" &amp; $A13, Table2[AwayTeam], AA$1)+SUMIFS(Table2[NewPointsHome],Table2[GameDate], "&lt;=" &amp; $A13, Table2[HomeTeam], AA$1)</f>
        <v>0</v>
      </c>
      <c r="AB13" s="145">
        <f>SUMIFS(Table2[NewPointsAway],Table2[GameDate], "&lt;=" &amp; $A13, Table2[AwayTeam], AB$1)+SUMIFS(Table2[NewPointsHome],Table2[GameDate], "&lt;=" &amp; $A13, Table2[HomeTeam], AB$1)</f>
        <v>2</v>
      </c>
      <c r="AC13" s="145">
        <f>SUMIFS(Table2[NewPointsAway],Table2[GameDate], "&lt;=" &amp; $A13, Table2[AwayTeam], AC$1)+SUMIFS(Table2[NewPointsHome],Table2[GameDate], "&lt;=" &amp; $A13, Table2[HomeTeam], AC$1)</f>
        <v>0</v>
      </c>
      <c r="AD13" s="145">
        <f>SUMIFS(Table2[NewPointsAway],Table2[GameDate], "&lt;=" &amp; $A13, Table2[AwayTeam], AD$1)+SUMIFS(Table2[NewPointsHome],Table2[GameDate], "&lt;=" &amp; $A13, Table2[HomeTeam], AD$1)</f>
        <v>0</v>
      </c>
      <c r="AE13" s="145">
        <f>SUMIFS(Table2[NewPointsAway],Table2[GameDate], "&lt;=" &amp; $A13, Table2[AwayTeam], AE$1)+SUMIFS(Table2[NewPointsHome],Table2[GameDate], "&lt;=" &amp; $A13, Table2[HomeTeam], AE$1)</f>
        <v>1</v>
      </c>
      <c r="AF13" s="145">
        <f>SUMIFS(Table2[NewPointsAway],Table2[GameDate], "&lt;=" &amp; $A13, Table2[AwayTeam], AF$1)+SUMIFS(Table2[NewPointsHome],Table2[GameDate], "&lt;=" &amp; $A13, Table2[HomeTeam], AF$1)</f>
        <v>0</v>
      </c>
      <c r="AG13" s="145">
        <f>SUMIFS(Table2[NewPointsAway],Table2[GameDate], "&lt;=" &amp; $A13, Table2[AwayTeam], AG$1)+SUMIFS(Table2[NewPointsHome],Table2[GameDate], "&lt;=" &amp; $A13, Table2[HomeTeam], AG$1)</f>
        <v>0</v>
      </c>
    </row>
    <row r="14" spans="1:33" x14ac:dyDescent="0.25">
      <c r="A14" s="3">
        <v>45945</v>
      </c>
      <c r="B14" s="145">
        <f>SUMIFS(Table2[NewPointsAway],Table2[GameDate], "&lt;=" &amp; $A14, Table2[AwayTeam], B$1)+SUMIFS(Table2[NewPointsHome],Table2[GameDate], "&lt;=" &amp; $A14, Table2[HomeTeam], B$1)</f>
        <v>0</v>
      </c>
      <c r="C14" s="145">
        <f>SUMIFS(Table2[NewPointsAway],Table2[GameDate], "&lt;=" &amp; $A14, Table2[AwayTeam], C$1)+SUMIFS(Table2[NewPointsHome],Table2[GameDate], "&lt;=" &amp; $A14, Table2[HomeTeam], C$1)</f>
        <v>2</v>
      </c>
      <c r="D14" s="145">
        <f>SUMIFS(Table2[NewPointsAway],Table2[GameDate], "&lt;=" &amp; $A14, Table2[AwayTeam], D$1)+SUMIFS(Table2[NewPointsHome],Table2[GameDate], "&lt;=" &amp; $A14, Table2[HomeTeam], D$1)</f>
        <v>0</v>
      </c>
      <c r="E14" s="145">
        <f>SUMIFS(Table2[NewPointsAway],Table2[GameDate], "&lt;=" &amp; $A14, Table2[AwayTeam], E$1)+SUMIFS(Table2[NewPointsHome],Table2[GameDate], "&lt;=" &amp; $A14, Table2[HomeTeam], E$1)</f>
        <v>0</v>
      </c>
      <c r="F14" s="145">
        <f>SUMIFS(Table2[NewPointsAway],Table2[GameDate], "&lt;=" &amp; $A14, Table2[AwayTeam], F$1)+SUMIFS(Table2[NewPointsHome],Table2[GameDate], "&lt;=" &amp; $A14, Table2[HomeTeam], F$1)</f>
        <v>0</v>
      </c>
      <c r="G14" s="145">
        <f>SUMIFS(Table2[NewPointsAway],Table2[GameDate], "&lt;=" &amp; $A14, Table2[AwayTeam], G$1)+SUMIFS(Table2[NewPointsHome],Table2[GameDate], "&lt;=" &amp; $A14, Table2[HomeTeam], G$1)</f>
        <v>2</v>
      </c>
      <c r="H14" s="145">
        <f>SUMIFS(Table2[NewPointsAway],Table2[GameDate], "&lt;=" &amp; $A14, Table2[AwayTeam], H$1)+SUMIFS(Table2[NewPointsHome],Table2[GameDate], "&lt;=" &amp; $A14, Table2[HomeTeam], H$1)</f>
        <v>0</v>
      </c>
      <c r="I14" s="145">
        <f>SUMIFS(Table2[NewPointsAway],Table2[GameDate], "&lt;=" &amp; $A14, Table2[AwayTeam], I$1)+SUMIFS(Table2[NewPointsHome],Table2[GameDate], "&lt;=" &amp; $A14, Table2[HomeTeam], I$1)</f>
        <v>2</v>
      </c>
      <c r="J14" s="145">
        <f>SUMIFS(Table2[NewPointsAway],Table2[GameDate], "&lt;=" &amp; $A14, Table2[AwayTeam], J$1)+SUMIFS(Table2[NewPointsHome],Table2[GameDate], "&lt;=" &amp; $A14, Table2[HomeTeam], J$1)</f>
        <v>0</v>
      </c>
      <c r="K14" s="145">
        <f>SUMIFS(Table2[NewPointsAway],Table2[GameDate], "&lt;=" &amp; $A14, Table2[AwayTeam], K$1)+SUMIFS(Table2[NewPointsHome],Table2[GameDate], "&lt;=" &amp; $A14, Table2[HomeTeam], K$1)</f>
        <v>0</v>
      </c>
      <c r="L14" s="145">
        <f>SUMIFS(Table2[NewPointsAway],Table2[GameDate], "&lt;=" &amp; $A14, Table2[AwayTeam], L$1)+SUMIFS(Table2[NewPointsHome],Table2[GameDate], "&lt;=" &amp; $A14, Table2[HomeTeam], L$1)</f>
        <v>1</v>
      </c>
      <c r="M14" s="145">
        <f>SUMIFS(Table2[NewPointsAway],Table2[GameDate], "&lt;=" &amp; $A14, Table2[AwayTeam], M$1)+SUMIFS(Table2[NewPointsHome],Table2[GameDate], "&lt;=" &amp; $A14, Table2[HomeTeam], M$1)</f>
        <v>2</v>
      </c>
      <c r="N14" s="145">
        <f>SUMIFS(Table2[NewPointsAway],Table2[GameDate], "&lt;=" &amp; $A14, Table2[AwayTeam], N$1)+SUMIFS(Table2[NewPointsHome],Table2[GameDate], "&lt;=" &amp; $A14, Table2[HomeTeam], N$1)</f>
        <v>2</v>
      </c>
      <c r="O14" s="145">
        <f>SUMIFS(Table2[NewPointsAway],Table2[GameDate], "&lt;=" &amp; $A14, Table2[AwayTeam], O$1)+SUMIFS(Table2[NewPointsHome],Table2[GameDate], "&lt;=" &amp; $A14, Table2[HomeTeam], O$1)</f>
        <v>0</v>
      </c>
      <c r="P14" s="145">
        <f>SUMIFS(Table2[NewPointsAway],Table2[GameDate], "&lt;=" &amp; $A14, Table2[AwayTeam], P$1)+SUMIFS(Table2[NewPointsHome],Table2[GameDate], "&lt;=" &amp; $A14, Table2[HomeTeam], P$1)</f>
        <v>0</v>
      </c>
      <c r="Q14" s="145">
        <f>SUMIFS(Table2[NewPointsAway],Table2[GameDate], "&lt;=" &amp; $A14, Table2[AwayTeam], Q$1)+SUMIFS(Table2[NewPointsHome],Table2[GameDate], "&lt;=" &amp; $A14, Table2[HomeTeam], Q$1)</f>
        <v>0</v>
      </c>
      <c r="R14" s="145">
        <f>SUMIFS(Table2[NewPointsAway],Table2[GameDate], "&lt;=" &amp; $A14, Table2[AwayTeam], R$1)+SUMIFS(Table2[NewPointsHome],Table2[GameDate], "&lt;=" &amp; $A14, Table2[HomeTeam], R$1)</f>
        <v>0</v>
      </c>
      <c r="S14" s="145">
        <f>SUMIFS(Table2[NewPointsAway],Table2[GameDate], "&lt;=" &amp; $A14, Table2[AwayTeam], S$1)+SUMIFS(Table2[NewPointsHome],Table2[GameDate], "&lt;=" &amp; $A14, Table2[HomeTeam], S$1)</f>
        <v>0</v>
      </c>
      <c r="T14" s="145">
        <f>SUMIFS(Table2[NewPointsAway],Table2[GameDate], "&lt;=" &amp; $A14, Table2[AwayTeam], T$1)+SUMIFS(Table2[NewPointsHome],Table2[GameDate], "&lt;=" &amp; $A14, Table2[HomeTeam], T$1)</f>
        <v>0</v>
      </c>
      <c r="U14" s="145">
        <f>SUMIFS(Table2[NewPointsAway],Table2[GameDate], "&lt;=" &amp; $A14, Table2[AwayTeam], U$1)+SUMIFS(Table2[NewPointsHome],Table2[GameDate], "&lt;=" &amp; $A14, Table2[HomeTeam], U$1)</f>
        <v>0</v>
      </c>
      <c r="V14" s="145">
        <f>SUMIFS(Table2[NewPointsAway],Table2[GameDate], "&lt;=" &amp; $A14, Table2[AwayTeam], V$1)+SUMIFS(Table2[NewPointsHome],Table2[GameDate], "&lt;=" &amp; $A14, Table2[HomeTeam], V$1)</f>
        <v>0</v>
      </c>
      <c r="W14" s="145">
        <f>SUMIFS(Table2[NewPointsAway],Table2[GameDate], "&lt;=" &amp; $A14, Table2[AwayTeam], W$1)+SUMIFS(Table2[NewPointsHome],Table2[GameDate], "&lt;=" &amp; $A14, Table2[HomeTeam], W$1)</f>
        <v>2</v>
      </c>
      <c r="X14" s="145">
        <f>SUMIFS(Table2[NewPointsAway],Table2[GameDate], "&lt;=" &amp; $A14, Table2[AwayTeam], X$1)+SUMIFS(Table2[NewPointsHome],Table2[GameDate], "&lt;=" &amp; $A14, Table2[HomeTeam], X$1)</f>
        <v>0</v>
      </c>
      <c r="Y14" s="145">
        <f>SUMIFS(Table2[NewPointsAway],Table2[GameDate], "&lt;=" &amp; $A14, Table2[AwayTeam], Y$1)+SUMIFS(Table2[NewPointsHome],Table2[GameDate], "&lt;=" &amp; $A14, Table2[HomeTeam], Y$1)</f>
        <v>0</v>
      </c>
      <c r="Z14" s="145">
        <f>SUMIFS(Table2[NewPointsAway],Table2[GameDate], "&lt;=" &amp; $A14, Table2[AwayTeam], Z$1)+SUMIFS(Table2[NewPointsHome],Table2[GameDate], "&lt;=" &amp; $A14, Table2[HomeTeam], Z$1)</f>
        <v>0</v>
      </c>
      <c r="AA14" s="145">
        <f>SUMIFS(Table2[NewPointsAway],Table2[GameDate], "&lt;=" &amp; $A14, Table2[AwayTeam], AA$1)+SUMIFS(Table2[NewPointsHome],Table2[GameDate], "&lt;=" &amp; $A14, Table2[HomeTeam], AA$1)</f>
        <v>0</v>
      </c>
      <c r="AB14" s="145">
        <f>SUMIFS(Table2[NewPointsAway],Table2[GameDate], "&lt;=" &amp; $A14, Table2[AwayTeam], AB$1)+SUMIFS(Table2[NewPointsHome],Table2[GameDate], "&lt;=" &amp; $A14, Table2[HomeTeam], AB$1)</f>
        <v>2</v>
      </c>
      <c r="AC14" s="145">
        <f>SUMIFS(Table2[NewPointsAway],Table2[GameDate], "&lt;=" &amp; $A14, Table2[AwayTeam], AC$1)+SUMIFS(Table2[NewPointsHome],Table2[GameDate], "&lt;=" &amp; $A14, Table2[HomeTeam], AC$1)</f>
        <v>0</v>
      </c>
      <c r="AD14" s="145">
        <f>SUMIFS(Table2[NewPointsAway],Table2[GameDate], "&lt;=" &amp; $A14, Table2[AwayTeam], AD$1)+SUMIFS(Table2[NewPointsHome],Table2[GameDate], "&lt;=" &amp; $A14, Table2[HomeTeam], AD$1)</f>
        <v>0</v>
      </c>
      <c r="AE14" s="145">
        <f>SUMIFS(Table2[NewPointsAway],Table2[GameDate], "&lt;=" &amp; $A14, Table2[AwayTeam], AE$1)+SUMIFS(Table2[NewPointsHome],Table2[GameDate], "&lt;=" &amp; $A14, Table2[HomeTeam], AE$1)</f>
        <v>1</v>
      </c>
      <c r="AF14" s="145">
        <f>SUMIFS(Table2[NewPointsAway],Table2[GameDate], "&lt;=" &amp; $A14, Table2[AwayTeam], AF$1)+SUMIFS(Table2[NewPointsHome],Table2[GameDate], "&lt;=" &amp; $A14, Table2[HomeTeam], AF$1)</f>
        <v>0</v>
      </c>
      <c r="AG14" s="145">
        <f>SUMIFS(Table2[NewPointsAway],Table2[GameDate], "&lt;=" &amp; $A14, Table2[AwayTeam], AG$1)+SUMIFS(Table2[NewPointsHome],Table2[GameDate], "&lt;=" &amp; $A14, Table2[HomeTeam], AG$1)</f>
        <v>0</v>
      </c>
    </row>
    <row r="15" spans="1:33" x14ac:dyDescent="0.25">
      <c r="A15" s="3">
        <v>45946</v>
      </c>
      <c r="B15" s="145">
        <f>SUMIFS(Table2[NewPointsAway],Table2[GameDate], "&lt;=" &amp; $A15, Table2[AwayTeam], B$1)+SUMIFS(Table2[NewPointsHome],Table2[GameDate], "&lt;=" &amp; $A15, Table2[HomeTeam], B$1)</f>
        <v>0</v>
      </c>
      <c r="C15" s="145">
        <f>SUMIFS(Table2[NewPointsAway],Table2[GameDate], "&lt;=" &amp; $A15, Table2[AwayTeam], C$1)+SUMIFS(Table2[NewPointsHome],Table2[GameDate], "&lt;=" &amp; $A15, Table2[HomeTeam], C$1)</f>
        <v>2</v>
      </c>
      <c r="D15" s="145">
        <f>SUMIFS(Table2[NewPointsAway],Table2[GameDate], "&lt;=" &amp; $A15, Table2[AwayTeam], D$1)+SUMIFS(Table2[NewPointsHome],Table2[GameDate], "&lt;=" &amp; $A15, Table2[HomeTeam], D$1)</f>
        <v>0</v>
      </c>
      <c r="E15" s="145">
        <f>SUMIFS(Table2[NewPointsAway],Table2[GameDate], "&lt;=" &amp; $A15, Table2[AwayTeam], E$1)+SUMIFS(Table2[NewPointsHome],Table2[GameDate], "&lt;=" &amp; $A15, Table2[HomeTeam], E$1)</f>
        <v>0</v>
      </c>
      <c r="F15" s="145">
        <f>SUMIFS(Table2[NewPointsAway],Table2[GameDate], "&lt;=" &amp; $A15, Table2[AwayTeam], F$1)+SUMIFS(Table2[NewPointsHome],Table2[GameDate], "&lt;=" &amp; $A15, Table2[HomeTeam], F$1)</f>
        <v>0</v>
      </c>
      <c r="G15" s="145">
        <f>SUMIFS(Table2[NewPointsAway],Table2[GameDate], "&lt;=" &amp; $A15, Table2[AwayTeam], G$1)+SUMIFS(Table2[NewPointsHome],Table2[GameDate], "&lt;=" &amp; $A15, Table2[HomeTeam], G$1)</f>
        <v>2</v>
      </c>
      <c r="H15" s="145">
        <f>SUMIFS(Table2[NewPointsAway],Table2[GameDate], "&lt;=" &amp; $A15, Table2[AwayTeam], H$1)+SUMIFS(Table2[NewPointsHome],Table2[GameDate], "&lt;=" &amp; $A15, Table2[HomeTeam], H$1)</f>
        <v>0</v>
      </c>
      <c r="I15" s="145">
        <f>SUMIFS(Table2[NewPointsAway],Table2[GameDate], "&lt;=" &amp; $A15, Table2[AwayTeam], I$1)+SUMIFS(Table2[NewPointsHome],Table2[GameDate], "&lt;=" &amp; $A15, Table2[HomeTeam], I$1)</f>
        <v>2</v>
      </c>
      <c r="J15" s="145">
        <f>SUMIFS(Table2[NewPointsAway],Table2[GameDate], "&lt;=" &amp; $A15, Table2[AwayTeam], J$1)+SUMIFS(Table2[NewPointsHome],Table2[GameDate], "&lt;=" &amp; $A15, Table2[HomeTeam], J$1)</f>
        <v>0</v>
      </c>
      <c r="K15" s="145">
        <f>SUMIFS(Table2[NewPointsAway],Table2[GameDate], "&lt;=" &amp; $A15, Table2[AwayTeam], K$1)+SUMIFS(Table2[NewPointsHome],Table2[GameDate], "&lt;=" &amp; $A15, Table2[HomeTeam], K$1)</f>
        <v>0</v>
      </c>
      <c r="L15" s="145">
        <f>SUMIFS(Table2[NewPointsAway],Table2[GameDate], "&lt;=" &amp; $A15, Table2[AwayTeam], L$1)+SUMIFS(Table2[NewPointsHome],Table2[GameDate], "&lt;=" &amp; $A15, Table2[HomeTeam], L$1)</f>
        <v>1</v>
      </c>
      <c r="M15" s="145">
        <f>SUMIFS(Table2[NewPointsAway],Table2[GameDate], "&lt;=" &amp; $A15, Table2[AwayTeam], M$1)+SUMIFS(Table2[NewPointsHome],Table2[GameDate], "&lt;=" &amp; $A15, Table2[HomeTeam], M$1)</f>
        <v>2</v>
      </c>
      <c r="N15" s="145">
        <f>SUMIFS(Table2[NewPointsAway],Table2[GameDate], "&lt;=" &amp; $A15, Table2[AwayTeam], N$1)+SUMIFS(Table2[NewPointsHome],Table2[GameDate], "&lt;=" &amp; $A15, Table2[HomeTeam], N$1)</f>
        <v>2</v>
      </c>
      <c r="O15" s="145">
        <f>SUMIFS(Table2[NewPointsAway],Table2[GameDate], "&lt;=" &amp; $A15, Table2[AwayTeam], O$1)+SUMIFS(Table2[NewPointsHome],Table2[GameDate], "&lt;=" &amp; $A15, Table2[HomeTeam], O$1)</f>
        <v>0</v>
      </c>
      <c r="P15" s="145">
        <f>SUMIFS(Table2[NewPointsAway],Table2[GameDate], "&lt;=" &amp; $A15, Table2[AwayTeam], P$1)+SUMIFS(Table2[NewPointsHome],Table2[GameDate], "&lt;=" &amp; $A15, Table2[HomeTeam], P$1)</f>
        <v>0</v>
      </c>
      <c r="Q15" s="145">
        <f>SUMIFS(Table2[NewPointsAway],Table2[GameDate], "&lt;=" &amp; $A15, Table2[AwayTeam], Q$1)+SUMIFS(Table2[NewPointsHome],Table2[GameDate], "&lt;=" &amp; $A15, Table2[HomeTeam], Q$1)</f>
        <v>0</v>
      </c>
      <c r="R15" s="145">
        <f>SUMIFS(Table2[NewPointsAway],Table2[GameDate], "&lt;=" &amp; $A15, Table2[AwayTeam], R$1)+SUMIFS(Table2[NewPointsHome],Table2[GameDate], "&lt;=" &amp; $A15, Table2[HomeTeam], R$1)</f>
        <v>0</v>
      </c>
      <c r="S15" s="145">
        <f>SUMIFS(Table2[NewPointsAway],Table2[GameDate], "&lt;=" &amp; $A15, Table2[AwayTeam], S$1)+SUMIFS(Table2[NewPointsHome],Table2[GameDate], "&lt;=" &amp; $A15, Table2[HomeTeam], S$1)</f>
        <v>0</v>
      </c>
      <c r="T15" s="145">
        <f>SUMIFS(Table2[NewPointsAway],Table2[GameDate], "&lt;=" &amp; $A15, Table2[AwayTeam], T$1)+SUMIFS(Table2[NewPointsHome],Table2[GameDate], "&lt;=" &amp; $A15, Table2[HomeTeam], T$1)</f>
        <v>0</v>
      </c>
      <c r="U15" s="145">
        <f>SUMIFS(Table2[NewPointsAway],Table2[GameDate], "&lt;=" &amp; $A15, Table2[AwayTeam], U$1)+SUMIFS(Table2[NewPointsHome],Table2[GameDate], "&lt;=" &amp; $A15, Table2[HomeTeam], U$1)</f>
        <v>0</v>
      </c>
      <c r="V15" s="145">
        <f>SUMIFS(Table2[NewPointsAway],Table2[GameDate], "&lt;=" &amp; $A15, Table2[AwayTeam], V$1)+SUMIFS(Table2[NewPointsHome],Table2[GameDate], "&lt;=" &amp; $A15, Table2[HomeTeam], V$1)</f>
        <v>0</v>
      </c>
      <c r="W15" s="145">
        <f>SUMIFS(Table2[NewPointsAway],Table2[GameDate], "&lt;=" &amp; $A15, Table2[AwayTeam], W$1)+SUMIFS(Table2[NewPointsHome],Table2[GameDate], "&lt;=" &amp; $A15, Table2[HomeTeam], W$1)</f>
        <v>2</v>
      </c>
      <c r="X15" s="145">
        <f>SUMIFS(Table2[NewPointsAway],Table2[GameDate], "&lt;=" &amp; $A15, Table2[AwayTeam], X$1)+SUMIFS(Table2[NewPointsHome],Table2[GameDate], "&lt;=" &amp; $A15, Table2[HomeTeam], X$1)</f>
        <v>0</v>
      </c>
      <c r="Y15" s="145">
        <f>SUMIFS(Table2[NewPointsAway],Table2[GameDate], "&lt;=" &amp; $A15, Table2[AwayTeam], Y$1)+SUMIFS(Table2[NewPointsHome],Table2[GameDate], "&lt;=" &amp; $A15, Table2[HomeTeam], Y$1)</f>
        <v>0</v>
      </c>
      <c r="Z15" s="145">
        <f>SUMIFS(Table2[NewPointsAway],Table2[GameDate], "&lt;=" &amp; $A15, Table2[AwayTeam], Z$1)+SUMIFS(Table2[NewPointsHome],Table2[GameDate], "&lt;=" &amp; $A15, Table2[HomeTeam], Z$1)</f>
        <v>0</v>
      </c>
      <c r="AA15" s="145">
        <f>SUMIFS(Table2[NewPointsAway],Table2[GameDate], "&lt;=" &amp; $A15, Table2[AwayTeam], AA$1)+SUMIFS(Table2[NewPointsHome],Table2[GameDate], "&lt;=" &amp; $A15, Table2[HomeTeam], AA$1)</f>
        <v>0</v>
      </c>
      <c r="AB15" s="145">
        <f>SUMIFS(Table2[NewPointsAway],Table2[GameDate], "&lt;=" &amp; $A15, Table2[AwayTeam], AB$1)+SUMIFS(Table2[NewPointsHome],Table2[GameDate], "&lt;=" &amp; $A15, Table2[HomeTeam], AB$1)</f>
        <v>2</v>
      </c>
      <c r="AC15" s="145">
        <f>SUMIFS(Table2[NewPointsAway],Table2[GameDate], "&lt;=" &amp; $A15, Table2[AwayTeam], AC$1)+SUMIFS(Table2[NewPointsHome],Table2[GameDate], "&lt;=" &amp; $A15, Table2[HomeTeam], AC$1)</f>
        <v>0</v>
      </c>
      <c r="AD15" s="145">
        <f>SUMIFS(Table2[NewPointsAway],Table2[GameDate], "&lt;=" &amp; $A15, Table2[AwayTeam], AD$1)+SUMIFS(Table2[NewPointsHome],Table2[GameDate], "&lt;=" &amp; $A15, Table2[HomeTeam], AD$1)</f>
        <v>0</v>
      </c>
      <c r="AE15" s="145">
        <f>SUMIFS(Table2[NewPointsAway],Table2[GameDate], "&lt;=" &amp; $A15, Table2[AwayTeam], AE$1)+SUMIFS(Table2[NewPointsHome],Table2[GameDate], "&lt;=" &amp; $A15, Table2[HomeTeam], AE$1)</f>
        <v>1</v>
      </c>
      <c r="AF15" s="145">
        <f>SUMIFS(Table2[NewPointsAway],Table2[GameDate], "&lt;=" &amp; $A15, Table2[AwayTeam], AF$1)+SUMIFS(Table2[NewPointsHome],Table2[GameDate], "&lt;=" &amp; $A15, Table2[HomeTeam], AF$1)</f>
        <v>0</v>
      </c>
      <c r="AG15" s="145">
        <f>SUMIFS(Table2[NewPointsAway],Table2[GameDate], "&lt;=" &amp; $A15, Table2[AwayTeam], AG$1)+SUMIFS(Table2[NewPointsHome],Table2[GameDate], "&lt;=" &amp; $A15, Table2[HomeTeam], AG$1)</f>
        <v>0</v>
      </c>
    </row>
    <row r="16" spans="1:33" x14ac:dyDescent="0.25">
      <c r="A16" s="3">
        <v>45947</v>
      </c>
      <c r="B16" s="145">
        <f>SUMIFS(Table2[NewPointsAway],Table2[GameDate], "&lt;=" &amp; $A16, Table2[AwayTeam], B$1)+SUMIFS(Table2[NewPointsHome],Table2[GameDate], "&lt;=" &amp; $A16, Table2[HomeTeam], B$1)</f>
        <v>0</v>
      </c>
      <c r="C16" s="145">
        <f>SUMIFS(Table2[NewPointsAway],Table2[GameDate], "&lt;=" &amp; $A16, Table2[AwayTeam], C$1)+SUMIFS(Table2[NewPointsHome],Table2[GameDate], "&lt;=" &amp; $A16, Table2[HomeTeam], C$1)</f>
        <v>2</v>
      </c>
      <c r="D16" s="145">
        <f>SUMIFS(Table2[NewPointsAway],Table2[GameDate], "&lt;=" &amp; $A16, Table2[AwayTeam], D$1)+SUMIFS(Table2[NewPointsHome],Table2[GameDate], "&lt;=" &amp; $A16, Table2[HomeTeam], D$1)</f>
        <v>0</v>
      </c>
      <c r="E16" s="145">
        <f>SUMIFS(Table2[NewPointsAway],Table2[GameDate], "&lt;=" &amp; $A16, Table2[AwayTeam], E$1)+SUMIFS(Table2[NewPointsHome],Table2[GameDate], "&lt;=" &amp; $A16, Table2[HomeTeam], E$1)</f>
        <v>0</v>
      </c>
      <c r="F16" s="145">
        <f>SUMIFS(Table2[NewPointsAway],Table2[GameDate], "&lt;=" &amp; $A16, Table2[AwayTeam], F$1)+SUMIFS(Table2[NewPointsHome],Table2[GameDate], "&lt;=" &amp; $A16, Table2[HomeTeam], F$1)</f>
        <v>0</v>
      </c>
      <c r="G16" s="145">
        <f>SUMIFS(Table2[NewPointsAway],Table2[GameDate], "&lt;=" &amp; $A16, Table2[AwayTeam], G$1)+SUMIFS(Table2[NewPointsHome],Table2[GameDate], "&lt;=" &amp; $A16, Table2[HomeTeam], G$1)</f>
        <v>2</v>
      </c>
      <c r="H16" s="145">
        <f>SUMIFS(Table2[NewPointsAway],Table2[GameDate], "&lt;=" &amp; $A16, Table2[AwayTeam], H$1)+SUMIFS(Table2[NewPointsHome],Table2[GameDate], "&lt;=" &amp; $A16, Table2[HomeTeam], H$1)</f>
        <v>0</v>
      </c>
      <c r="I16" s="145">
        <f>SUMIFS(Table2[NewPointsAway],Table2[GameDate], "&lt;=" &amp; $A16, Table2[AwayTeam], I$1)+SUMIFS(Table2[NewPointsHome],Table2[GameDate], "&lt;=" &amp; $A16, Table2[HomeTeam], I$1)</f>
        <v>2</v>
      </c>
      <c r="J16" s="145">
        <f>SUMIFS(Table2[NewPointsAway],Table2[GameDate], "&lt;=" &amp; $A16, Table2[AwayTeam], J$1)+SUMIFS(Table2[NewPointsHome],Table2[GameDate], "&lt;=" &amp; $A16, Table2[HomeTeam], J$1)</f>
        <v>0</v>
      </c>
      <c r="K16" s="145">
        <f>SUMIFS(Table2[NewPointsAway],Table2[GameDate], "&lt;=" &amp; $A16, Table2[AwayTeam], K$1)+SUMIFS(Table2[NewPointsHome],Table2[GameDate], "&lt;=" &amp; $A16, Table2[HomeTeam], K$1)</f>
        <v>0</v>
      </c>
      <c r="L16" s="145">
        <f>SUMIFS(Table2[NewPointsAway],Table2[GameDate], "&lt;=" &amp; $A16, Table2[AwayTeam], L$1)+SUMIFS(Table2[NewPointsHome],Table2[GameDate], "&lt;=" &amp; $A16, Table2[HomeTeam], L$1)</f>
        <v>1</v>
      </c>
      <c r="M16" s="145">
        <f>SUMIFS(Table2[NewPointsAway],Table2[GameDate], "&lt;=" &amp; $A16, Table2[AwayTeam], M$1)+SUMIFS(Table2[NewPointsHome],Table2[GameDate], "&lt;=" &amp; $A16, Table2[HomeTeam], M$1)</f>
        <v>2</v>
      </c>
      <c r="N16" s="145">
        <f>SUMIFS(Table2[NewPointsAway],Table2[GameDate], "&lt;=" &amp; $A16, Table2[AwayTeam], N$1)+SUMIFS(Table2[NewPointsHome],Table2[GameDate], "&lt;=" &amp; $A16, Table2[HomeTeam], N$1)</f>
        <v>2</v>
      </c>
      <c r="O16" s="145">
        <f>SUMIFS(Table2[NewPointsAway],Table2[GameDate], "&lt;=" &amp; $A16, Table2[AwayTeam], O$1)+SUMIFS(Table2[NewPointsHome],Table2[GameDate], "&lt;=" &amp; $A16, Table2[HomeTeam], O$1)</f>
        <v>0</v>
      </c>
      <c r="P16" s="145">
        <f>SUMIFS(Table2[NewPointsAway],Table2[GameDate], "&lt;=" &amp; $A16, Table2[AwayTeam], P$1)+SUMIFS(Table2[NewPointsHome],Table2[GameDate], "&lt;=" &amp; $A16, Table2[HomeTeam], P$1)</f>
        <v>0</v>
      </c>
      <c r="Q16" s="145">
        <f>SUMIFS(Table2[NewPointsAway],Table2[GameDate], "&lt;=" &amp; $A16, Table2[AwayTeam], Q$1)+SUMIFS(Table2[NewPointsHome],Table2[GameDate], "&lt;=" &amp; $A16, Table2[HomeTeam], Q$1)</f>
        <v>0</v>
      </c>
      <c r="R16" s="145">
        <f>SUMIFS(Table2[NewPointsAway],Table2[GameDate], "&lt;=" &amp; $A16, Table2[AwayTeam], R$1)+SUMIFS(Table2[NewPointsHome],Table2[GameDate], "&lt;=" &amp; $A16, Table2[HomeTeam], R$1)</f>
        <v>0</v>
      </c>
      <c r="S16" s="145">
        <f>SUMIFS(Table2[NewPointsAway],Table2[GameDate], "&lt;=" &amp; $A16, Table2[AwayTeam], S$1)+SUMIFS(Table2[NewPointsHome],Table2[GameDate], "&lt;=" &amp; $A16, Table2[HomeTeam], S$1)</f>
        <v>0</v>
      </c>
      <c r="T16" s="145">
        <f>SUMIFS(Table2[NewPointsAway],Table2[GameDate], "&lt;=" &amp; $A16, Table2[AwayTeam], T$1)+SUMIFS(Table2[NewPointsHome],Table2[GameDate], "&lt;=" &amp; $A16, Table2[HomeTeam], T$1)</f>
        <v>0</v>
      </c>
      <c r="U16" s="145">
        <f>SUMIFS(Table2[NewPointsAway],Table2[GameDate], "&lt;=" &amp; $A16, Table2[AwayTeam], U$1)+SUMIFS(Table2[NewPointsHome],Table2[GameDate], "&lt;=" &amp; $A16, Table2[HomeTeam], U$1)</f>
        <v>0</v>
      </c>
      <c r="V16" s="145">
        <f>SUMIFS(Table2[NewPointsAway],Table2[GameDate], "&lt;=" &amp; $A16, Table2[AwayTeam], V$1)+SUMIFS(Table2[NewPointsHome],Table2[GameDate], "&lt;=" &amp; $A16, Table2[HomeTeam], V$1)</f>
        <v>0</v>
      </c>
      <c r="W16" s="145">
        <f>SUMIFS(Table2[NewPointsAway],Table2[GameDate], "&lt;=" &amp; $A16, Table2[AwayTeam], W$1)+SUMIFS(Table2[NewPointsHome],Table2[GameDate], "&lt;=" &amp; $A16, Table2[HomeTeam], W$1)</f>
        <v>2</v>
      </c>
      <c r="X16" s="145">
        <f>SUMIFS(Table2[NewPointsAway],Table2[GameDate], "&lt;=" &amp; $A16, Table2[AwayTeam], X$1)+SUMIFS(Table2[NewPointsHome],Table2[GameDate], "&lt;=" &amp; $A16, Table2[HomeTeam], X$1)</f>
        <v>0</v>
      </c>
      <c r="Y16" s="145">
        <f>SUMIFS(Table2[NewPointsAway],Table2[GameDate], "&lt;=" &amp; $A16, Table2[AwayTeam], Y$1)+SUMIFS(Table2[NewPointsHome],Table2[GameDate], "&lt;=" &amp; $A16, Table2[HomeTeam], Y$1)</f>
        <v>0</v>
      </c>
      <c r="Z16" s="145">
        <f>SUMIFS(Table2[NewPointsAway],Table2[GameDate], "&lt;=" &amp; $A16, Table2[AwayTeam], Z$1)+SUMIFS(Table2[NewPointsHome],Table2[GameDate], "&lt;=" &amp; $A16, Table2[HomeTeam], Z$1)</f>
        <v>0</v>
      </c>
      <c r="AA16" s="145">
        <f>SUMIFS(Table2[NewPointsAway],Table2[GameDate], "&lt;=" &amp; $A16, Table2[AwayTeam], AA$1)+SUMIFS(Table2[NewPointsHome],Table2[GameDate], "&lt;=" &amp; $A16, Table2[HomeTeam], AA$1)</f>
        <v>0</v>
      </c>
      <c r="AB16" s="145">
        <f>SUMIFS(Table2[NewPointsAway],Table2[GameDate], "&lt;=" &amp; $A16, Table2[AwayTeam], AB$1)+SUMIFS(Table2[NewPointsHome],Table2[GameDate], "&lt;=" &amp; $A16, Table2[HomeTeam], AB$1)</f>
        <v>2</v>
      </c>
      <c r="AC16" s="145">
        <f>SUMIFS(Table2[NewPointsAway],Table2[GameDate], "&lt;=" &amp; $A16, Table2[AwayTeam], AC$1)+SUMIFS(Table2[NewPointsHome],Table2[GameDate], "&lt;=" &amp; $A16, Table2[HomeTeam], AC$1)</f>
        <v>0</v>
      </c>
      <c r="AD16" s="145">
        <f>SUMIFS(Table2[NewPointsAway],Table2[GameDate], "&lt;=" &amp; $A16, Table2[AwayTeam], AD$1)+SUMIFS(Table2[NewPointsHome],Table2[GameDate], "&lt;=" &amp; $A16, Table2[HomeTeam], AD$1)</f>
        <v>0</v>
      </c>
      <c r="AE16" s="145">
        <f>SUMIFS(Table2[NewPointsAway],Table2[GameDate], "&lt;=" &amp; $A16, Table2[AwayTeam], AE$1)+SUMIFS(Table2[NewPointsHome],Table2[GameDate], "&lt;=" &amp; $A16, Table2[HomeTeam], AE$1)</f>
        <v>1</v>
      </c>
      <c r="AF16" s="145">
        <f>SUMIFS(Table2[NewPointsAway],Table2[GameDate], "&lt;=" &amp; $A16, Table2[AwayTeam], AF$1)+SUMIFS(Table2[NewPointsHome],Table2[GameDate], "&lt;=" &amp; $A16, Table2[HomeTeam], AF$1)</f>
        <v>0</v>
      </c>
      <c r="AG16" s="145">
        <f>SUMIFS(Table2[NewPointsAway],Table2[GameDate], "&lt;=" &amp; $A16, Table2[AwayTeam], AG$1)+SUMIFS(Table2[NewPointsHome],Table2[GameDate], "&lt;=" &amp; $A16, Table2[HomeTeam], AG$1)</f>
        <v>0</v>
      </c>
    </row>
    <row r="17" spans="1:33" x14ac:dyDescent="0.25">
      <c r="A17" s="3">
        <v>45948</v>
      </c>
      <c r="B17" s="145">
        <f>SUMIFS(Table2[NewPointsAway],Table2[GameDate], "&lt;=" &amp; $A17, Table2[AwayTeam], B$1)+SUMIFS(Table2[NewPointsHome],Table2[GameDate], "&lt;=" &amp; $A17, Table2[HomeTeam], B$1)</f>
        <v>0</v>
      </c>
      <c r="C17" s="145">
        <f>SUMIFS(Table2[NewPointsAway],Table2[GameDate], "&lt;=" &amp; $A17, Table2[AwayTeam], C$1)+SUMIFS(Table2[NewPointsHome],Table2[GameDate], "&lt;=" &amp; $A17, Table2[HomeTeam], C$1)</f>
        <v>2</v>
      </c>
      <c r="D17" s="145">
        <f>SUMIFS(Table2[NewPointsAway],Table2[GameDate], "&lt;=" &amp; $A17, Table2[AwayTeam], D$1)+SUMIFS(Table2[NewPointsHome],Table2[GameDate], "&lt;=" &amp; $A17, Table2[HomeTeam], D$1)</f>
        <v>0</v>
      </c>
      <c r="E17" s="145">
        <f>SUMIFS(Table2[NewPointsAway],Table2[GameDate], "&lt;=" &amp; $A17, Table2[AwayTeam], E$1)+SUMIFS(Table2[NewPointsHome],Table2[GameDate], "&lt;=" &amp; $A17, Table2[HomeTeam], E$1)</f>
        <v>0</v>
      </c>
      <c r="F17" s="145">
        <f>SUMIFS(Table2[NewPointsAway],Table2[GameDate], "&lt;=" &amp; $A17, Table2[AwayTeam], F$1)+SUMIFS(Table2[NewPointsHome],Table2[GameDate], "&lt;=" &amp; $A17, Table2[HomeTeam], F$1)</f>
        <v>0</v>
      </c>
      <c r="G17" s="145">
        <f>SUMIFS(Table2[NewPointsAway],Table2[GameDate], "&lt;=" &amp; $A17, Table2[AwayTeam], G$1)+SUMIFS(Table2[NewPointsHome],Table2[GameDate], "&lt;=" &amp; $A17, Table2[HomeTeam], G$1)</f>
        <v>2</v>
      </c>
      <c r="H17" s="145">
        <f>SUMIFS(Table2[NewPointsAway],Table2[GameDate], "&lt;=" &amp; $A17, Table2[AwayTeam], H$1)+SUMIFS(Table2[NewPointsHome],Table2[GameDate], "&lt;=" &amp; $A17, Table2[HomeTeam], H$1)</f>
        <v>0</v>
      </c>
      <c r="I17" s="145">
        <f>SUMIFS(Table2[NewPointsAway],Table2[GameDate], "&lt;=" &amp; $A17, Table2[AwayTeam], I$1)+SUMIFS(Table2[NewPointsHome],Table2[GameDate], "&lt;=" &amp; $A17, Table2[HomeTeam], I$1)</f>
        <v>2</v>
      </c>
      <c r="J17" s="145">
        <f>SUMIFS(Table2[NewPointsAway],Table2[GameDate], "&lt;=" &amp; $A17, Table2[AwayTeam], J$1)+SUMIFS(Table2[NewPointsHome],Table2[GameDate], "&lt;=" &amp; $A17, Table2[HomeTeam], J$1)</f>
        <v>0</v>
      </c>
      <c r="K17" s="145">
        <f>SUMIFS(Table2[NewPointsAway],Table2[GameDate], "&lt;=" &amp; $A17, Table2[AwayTeam], K$1)+SUMIFS(Table2[NewPointsHome],Table2[GameDate], "&lt;=" &amp; $A17, Table2[HomeTeam], K$1)</f>
        <v>0</v>
      </c>
      <c r="L17" s="145">
        <f>SUMIFS(Table2[NewPointsAway],Table2[GameDate], "&lt;=" &amp; $A17, Table2[AwayTeam], L$1)+SUMIFS(Table2[NewPointsHome],Table2[GameDate], "&lt;=" &amp; $A17, Table2[HomeTeam], L$1)</f>
        <v>1</v>
      </c>
      <c r="M17" s="145">
        <f>SUMIFS(Table2[NewPointsAway],Table2[GameDate], "&lt;=" &amp; $A17, Table2[AwayTeam], M$1)+SUMIFS(Table2[NewPointsHome],Table2[GameDate], "&lt;=" &amp; $A17, Table2[HomeTeam], M$1)</f>
        <v>2</v>
      </c>
      <c r="N17" s="145">
        <f>SUMIFS(Table2[NewPointsAway],Table2[GameDate], "&lt;=" &amp; $A17, Table2[AwayTeam], N$1)+SUMIFS(Table2[NewPointsHome],Table2[GameDate], "&lt;=" &amp; $A17, Table2[HomeTeam], N$1)</f>
        <v>2</v>
      </c>
      <c r="O17" s="145">
        <f>SUMIFS(Table2[NewPointsAway],Table2[GameDate], "&lt;=" &amp; $A17, Table2[AwayTeam], O$1)+SUMIFS(Table2[NewPointsHome],Table2[GameDate], "&lt;=" &amp; $A17, Table2[HomeTeam], O$1)</f>
        <v>0</v>
      </c>
      <c r="P17" s="145">
        <f>SUMIFS(Table2[NewPointsAway],Table2[GameDate], "&lt;=" &amp; $A17, Table2[AwayTeam], P$1)+SUMIFS(Table2[NewPointsHome],Table2[GameDate], "&lt;=" &amp; $A17, Table2[HomeTeam], P$1)</f>
        <v>0</v>
      </c>
      <c r="Q17" s="145">
        <f>SUMIFS(Table2[NewPointsAway],Table2[GameDate], "&lt;=" &amp; $A17, Table2[AwayTeam], Q$1)+SUMIFS(Table2[NewPointsHome],Table2[GameDate], "&lt;=" &amp; $A17, Table2[HomeTeam], Q$1)</f>
        <v>0</v>
      </c>
      <c r="R17" s="145">
        <f>SUMIFS(Table2[NewPointsAway],Table2[GameDate], "&lt;=" &amp; $A17, Table2[AwayTeam], R$1)+SUMIFS(Table2[NewPointsHome],Table2[GameDate], "&lt;=" &amp; $A17, Table2[HomeTeam], R$1)</f>
        <v>0</v>
      </c>
      <c r="S17" s="145">
        <f>SUMIFS(Table2[NewPointsAway],Table2[GameDate], "&lt;=" &amp; $A17, Table2[AwayTeam], S$1)+SUMIFS(Table2[NewPointsHome],Table2[GameDate], "&lt;=" &amp; $A17, Table2[HomeTeam], S$1)</f>
        <v>0</v>
      </c>
      <c r="T17" s="145">
        <f>SUMIFS(Table2[NewPointsAway],Table2[GameDate], "&lt;=" &amp; $A17, Table2[AwayTeam], T$1)+SUMIFS(Table2[NewPointsHome],Table2[GameDate], "&lt;=" &amp; $A17, Table2[HomeTeam], T$1)</f>
        <v>0</v>
      </c>
      <c r="U17" s="145">
        <f>SUMIFS(Table2[NewPointsAway],Table2[GameDate], "&lt;=" &amp; $A17, Table2[AwayTeam], U$1)+SUMIFS(Table2[NewPointsHome],Table2[GameDate], "&lt;=" &amp; $A17, Table2[HomeTeam], U$1)</f>
        <v>0</v>
      </c>
      <c r="V17" s="145">
        <f>SUMIFS(Table2[NewPointsAway],Table2[GameDate], "&lt;=" &amp; $A17, Table2[AwayTeam], V$1)+SUMIFS(Table2[NewPointsHome],Table2[GameDate], "&lt;=" &amp; $A17, Table2[HomeTeam], V$1)</f>
        <v>0</v>
      </c>
      <c r="W17" s="145">
        <f>SUMIFS(Table2[NewPointsAway],Table2[GameDate], "&lt;=" &amp; $A17, Table2[AwayTeam], W$1)+SUMIFS(Table2[NewPointsHome],Table2[GameDate], "&lt;=" &amp; $A17, Table2[HomeTeam], W$1)</f>
        <v>2</v>
      </c>
      <c r="X17" s="145">
        <f>SUMIFS(Table2[NewPointsAway],Table2[GameDate], "&lt;=" &amp; $A17, Table2[AwayTeam], X$1)+SUMIFS(Table2[NewPointsHome],Table2[GameDate], "&lt;=" &amp; $A17, Table2[HomeTeam], X$1)</f>
        <v>0</v>
      </c>
      <c r="Y17" s="145">
        <f>SUMIFS(Table2[NewPointsAway],Table2[GameDate], "&lt;=" &amp; $A17, Table2[AwayTeam], Y$1)+SUMIFS(Table2[NewPointsHome],Table2[GameDate], "&lt;=" &amp; $A17, Table2[HomeTeam], Y$1)</f>
        <v>0</v>
      </c>
      <c r="Z17" s="145">
        <f>SUMIFS(Table2[NewPointsAway],Table2[GameDate], "&lt;=" &amp; $A17, Table2[AwayTeam], Z$1)+SUMIFS(Table2[NewPointsHome],Table2[GameDate], "&lt;=" &amp; $A17, Table2[HomeTeam], Z$1)</f>
        <v>0</v>
      </c>
      <c r="AA17" s="145">
        <f>SUMIFS(Table2[NewPointsAway],Table2[GameDate], "&lt;=" &amp; $A17, Table2[AwayTeam], AA$1)+SUMIFS(Table2[NewPointsHome],Table2[GameDate], "&lt;=" &amp; $A17, Table2[HomeTeam], AA$1)</f>
        <v>0</v>
      </c>
      <c r="AB17" s="145">
        <f>SUMIFS(Table2[NewPointsAway],Table2[GameDate], "&lt;=" &amp; $A17, Table2[AwayTeam], AB$1)+SUMIFS(Table2[NewPointsHome],Table2[GameDate], "&lt;=" &amp; $A17, Table2[HomeTeam], AB$1)</f>
        <v>2</v>
      </c>
      <c r="AC17" s="145">
        <f>SUMIFS(Table2[NewPointsAway],Table2[GameDate], "&lt;=" &amp; $A17, Table2[AwayTeam], AC$1)+SUMIFS(Table2[NewPointsHome],Table2[GameDate], "&lt;=" &amp; $A17, Table2[HomeTeam], AC$1)</f>
        <v>0</v>
      </c>
      <c r="AD17" s="145">
        <f>SUMIFS(Table2[NewPointsAway],Table2[GameDate], "&lt;=" &amp; $A17, Table2[AwayTeam], AD$1)+SUMIFS(Table2[NewPointsHome],Table2[GameDate], "&lt;=" &amp; $A17, Table2[HomeTeam], AD$1)</f>
        <v>0</v>
      </c>
      <c r="AE17" s="145">
        <f>SUMIFS(Table2[NewPointsAway],Table2[GameDate], "&lt;=" &amp; $A17, Table2[AwayTeam], AE$1)+SUMIFS(Table2[NewPointsHome],Table2[GameDate], "&lt;=" &amp; $A17, Table2[HomeTeam], AE$1)</f>
        <v>1</v>
      </c>
      <c r="AF17" s="145">
        <f>SUMIFS(Table2[NewPointsAway],Table2[GameDate], "&lt;=" &amp; $A17, Table2[AwayTeam], AF$1)+SUMIFS(Table2[NewPointsHome],Table2[GameDate], "&lt;=" &amp; $A17, Table2[HomeTeam], AF$1)</f>
        <v>0</v>
      </c>
      <c r="AG17" s="145">
        <f>SUMIFS(Table2[NewPointsAway],Table2[GameDate], "&lt;=" &amp; $A17, Table2[AwayTeam], AG$1)+SUMIFS(Table2[NewPointsHome],Table2[GameDate], "&lt;=" &amp; $A17, Table2[HomeTeam], AG$1)</f>
        <v>0</v>
      </c>
    </row>
    <row r="18" spans="1:33" x14ac:dyDescent="0.25">
      <c r="A18" s="3">
        <v>45949</v>
      </c>
      <c r="B18" s="145">
        <f>SUMIFS(Table2[NewPointsAway],Table2[GameDate], "&lt;=" &amp; $A18, Table2[AwayTeam], B$1)+SUMIFS(Table2[NewPointsHome],Table2[GameDate], "&lt;=" &amp; $A18, Table2[HomeTeam], B$1)</f>
        <v>0</v>
      </c>
      <c r="C18" s="145">
        <f>SUMIFS(Table2[NewPointsAway],Table2[GameDate], "&lt;=" &amp; $A18, Table2[AwayTeam], C$1)+SUMIFS(Table2[NewPointsHome],Table2[GameDate], "&lt;=" &amp; $A18, Table2[HomeTeam], C$1)</f>
        <v>2</v>
      </c>
      <c r="D18" s="145">
        <f>SUMIFS(Table2[NewPointsAway],Table2[GameDate], "&lt;=" &amp; $A18, Table2[AwayTeam], D$1)+SUMIFS(Table2[NewPointsHome],Table2[GameDate], "&lt;=" &amp; $A18, Table2[HomeTeam], D$1)</f>
        <v>0</v>
      </c>
      <c r="E18" s="145">
        <f>SUMIFS(Table2[NewPointsAway],Table2[GameDate], "&lt;=" &amp; $A18, Table2[AwayTeam], E$1)+SUMIFS(Table2[NewPointsHome],Table2[GameDate], "&lt;=" &amp; $A18, Table2[HomeTeam], E$1)</f>
        <v>0</v>
      </c>
      <c r="F18" s="145">
        <f>SUMIFS(Table2[NewPointsAway],Table2[GameDate], "&lt;=" &amp; $A18, Table2[AwayTeam], F$1)+SUMIFS(Table2[NewPointsHome],Table2[GameDate], "&lt;=" &amp; $A18, Table2[HomeTeam], F$1)</f>
        <v>0</v>
      </c>
      <c r="G18" s="145">
        <f>SUMIFS(Table2[NewPointsAway],Table2[GameDate], "&lt;=" &amp; $A18, Table2[AwayTeam], G$1)+SUMIFS(Table2[NewPointsHome],Table2[GameDate], "&lt;=" &amp; $A18, Table2[HomeTeam], G$1)</f>
        <v>2</v>
      </c>
      <c r="H18" s="145">
        <f>SUMIFS(Table2[NewPointsAway],Table2[GameDate], "&lt;=" &amp; $A18, Table2[AwayTeam], H$1)+SUMIFS(Table2[NewPointsHome],Table2[GameDate], "&lt;=" &amp; $A18, Table2[HomeTeam], H$1)</f>
        <v>0</v>
      </c>
      <c r="I18" s="145">
        <f>SUMIFS(Table2[NewPointsAway],Table2[GameDate], "&lt;=" &amp; $A18, Table2[AwayTeam], I$1)+SUMIFS(Table2[NewPointsHome],Table2[GameDate], "&lt;=" &amp; $A18, Table2[HomeTeam], I$1)</f>
        <v>2</v>
      </c>
      <c r="J18" s="145">
        <f>SUMIFS(Table2[NewPointsAway],Table2[GameDate], "&lt;=" &amp; $A18, Table2[AwayTeam], J$1)+SUMIFS(Table2[NewPointsHome],Table2[GameDate], "&lt;=" &amp; $A18, Table2[HomeTeam], J$1)</f>
        <v>0</v>
      </c>
      <c r="K18" s="145">
        <f>SUMIFS(Table2[NewPointsAway],Table2[GameDate], "&lt;=" &amp; $A18, Table2[AwayTeam], K$1)+SUMIFS(Table2[NewPointsHome],Table2[GameDate], "&lt;=" &amp; $A18, Table2[HomeTeam], K$1)</f>
        <v>0</v>
      </c>
      <c r="L18" s="145">
        <f>SUMIFS(Table2[NewPointsAway],Table2[GameDate], "&lt;=" &amp; $A18, Table2[AwayTeam], L$1)+SUMIFS(Table2[NewPointsHome],Table2[GameDate], "&lt;=" &amp; $A18, Table2[HomeTeam], L$1)</f>
        <v>1</v>
      </c>
      <c r="M18" s="145">
        <f>SUMIFS(Table2[NewPointsAway],Table2[GameDate], "&lt;=" &amp; $A18, Table2[AwayTeam], M$1)+SUMIFS(Table2[NewPointsHome],Table2[GameDate], "&lt;=" &amp; $A18, Table2[HomeTeam], M$1)</f>
        <v>2</v>
      </c>
      <c r="N18" s="145">
        <f>SUMIFS(Table2[NewPointsAway],Table2[GameDate], "&lt;=" &amp; $A18, Table2[AwayTeam], N$1)+SUMIFS(Table2[NewPointsHome],Table2[GameDate], "&lt;=" &amp; $A18, Table2[HomeTeam], N$1)</f>
        <v>2</v>
      </c>
      <c r="O18" s="145">
        <f>SUMIFS(Table2[NewPointsAway],Table2[GameDate], "&lt;=" &amp; $A18, Table2[AwayTeam], O$1)+SUMIFS(Table2[NewPointsHome],Table2[GameDate], "&lt;=" &amp; $A18, Table2[HomeTeam], O$1)</f>
        <v>0</v>
      </c>
      <c r="P18" s="145">
        <f>SUMIFS(Table2[NewPointsAway],Table2[GameDate], "&lt;=" &amp; $A18, Table2[AwayTeam], P$1)+SUMIFS(Table2[NewPointsHome],Table2[GameDate], "&lt;=" &amp; $A18, Table2[HomeTeam], P$1)</f>
        <v>0</v>
      </c>
      <c r="Q18" s="145">
        <f>SUMIFS(Table2[NewPointsAway],Table2[GameDate], "&lt;=" &amp; $A18, Table2[AwayTeam], Q$1)+SUMIFS(Table2[NewPointsHome],Table2[GameDate], "&lt;=" &amp; $A18, Table2[HomeTeam], Q$1)</f>
        <v>0</v>
      </c>
      <c r="R18" s="145">
        <f>SUMIFS(Table2[NewPointsAway],Table2[GameDate], "&lt;=" &amp; $A18, Table2[AwayTeam], R$1)+SUMIFS(Table2[NewPointsHome],Table2[GameDate], "&lt;=" &amp; $A18, Table2[HomeTeam], R$1)</f>
        <v>0</v>
      </c>
      <c r="S18" s="145">
        <f>SUMIFS(Table2[NewPointsAway],Table2[GameDate], "&lt;=" &amp; $A18, Table2[AwayTeam], S$1)+SUMIFS(Table2[NewPointsHome],Table2[GameDate], "&lt;=" &amp; $A18, Table2[HomeTeam], S$1)</f>
        <v>0</v>
      </c>
      <c r="T18" s="145">
        <f>SUMIFS(Table2[NewPointsAway],Table2[GameDate], "&lt;=" &amp; $A18, Table2[AwayTeam], T$1)+SUMIFS(Table2[NewPointsHome],Table2[GameDate], "&lt;=" &amp; $A18, Table2[HomeTeam], T$1)</f>
        <v>0</v>
      </c>
      <c r="U18" s="145">
        <f>SUMIFS(Table2[NewPointsAway],Table2[GameDate], "&lt;=" &amp; $A18, Table2[AwayTeam], U$1)+SUMIFS(Table2[NewPointsHome],Table2[GameDate], "&lt;=" &amp; $A18, Table2[HomeTeam], U$1)</f>
        <v>0</v>
      </c>
      <c r="V18" s="145">
        <f>SUMIFS(Table2[NewPointsAway],Table2[GameDate], "&lt;=" &amp; $A18, Table2[AwayTeam], V$1)+SUMIFS(Table2[NewPointsHome],Table2[GameDate], "&lt;=" &amp; $A18, Table2[HomeTeam], V$1)</f>
        <v>0</v>
      </c>
      <c r="W18" s="145">
        <f>SUMIFS(Table2[NewPointsAway],Table2[GameDate], "&lt;=" &amp; $A18, Table2[AwayTeam], W$1)+SUMIFS(Table2[NewPointsHome],Table2[GameDate], "&lt;=" &amp; $A18, Table2[HomeTeam], W$1)</f>
        <v>2</v>
      </c>
      <c r="X18" s="145">
        <f>SUMIFS(Table2[NewPointsAway],Table2[GameDate], "&lt;=" &amp; $A18, Table2[AwayTeam], X$1)+SUMIFS(Table2[NewPointsHome],Table2[GameDate], "&lt;=" &amp; $A18, Table2[HomeTeam], X$1)</f>
        <v>0</v>
      </c>
      <c r="Y18" s="145">
        <f>SUMIFS(Table2[NewPointsAway],Table2[GameDate], "&lt;=" &amp; $A18, Table2[AwayTeam], Y$1)+SUMIFS(Table2[NewPointsHome],Table2[GameDate], "&lt;=" &amp; $A18, Table2[HomeTeam], Y$1)</f>
        <v>0</v>
      </c>
      <c r="Z18" s="145">
        <f>SUMIFS(Table2[NewPointsAway],Table2[GameDate], "&lt;=" &amp; $A18, Table2[AwayTeam], Z$1)+SUMIFS(Table2[NewPointsHome],Table2[GameDate], "&lt;=" &amp; $A18, Table2[HomeTeam], Z$1)</f>
        <v>0</v>
      </c>
      <c r="AA18" s="145">
        <f>SUMIFS(Table2[NewPointsAway],Table2[GameDate], "&lt;=" &amp; $A18, Table2[AwayTeam], AA$1)+SUMIFS(Table2[NewPointsHome],Table2[GameDate], "&lt;=" &amp; $A18, Table2[HomeTeam], AA$1)</f>
        <v>0</v>
      </c>
      <c r="AB18" s="145">
        <f>SUMIFS(Table2[NewPointsAway],Table2[GameDate], "&lt;=" &amp; $A18, Table2[AwayTeam], AB$1)+SUMIFS(Table2[NewPointsHome],Table2[GameDate], "&lt;=" &amp; $A18, Table2[HomeTeam], AB$1)</f>
        <v>2</v>
      </c>
      <c r="AC18" s="145">
        <f>SUMIFS(Table2[NewPointsAway],Table2[GameDate], "&lt;=" &amp; $A18, Table2[AwayTeam], AC$1)+SUMIFS(Table2[NewPointsHome],Table2[GameDate], "&lt;=" &amp; $A18, Table2[HomeTeam], AC$1)</f>
        <v>0</v>
      </c>
      <c r="AD18" s="145">
        <f>SUMIFS(Table2[NewPointsAway],Table2[GameDate], "&lt;=" &amp; $A18, Table2[AwayTeam], AD$1)+SUMIFS(Table2[NewPointsHome],Table2[GameDate], "&lt;=" &amp; $A18, Table2[HomeTeam], AD$1)</f>
        <v>0</v>
      </c>
      <c r="AE18" s="145">
        <f>SUMIFS(Table2[NewPointsAway],Table2[GameDate], "&lt;=" &amp; $A18, Table2[AwayTeam], AE$1)+SUMIFS(Table2[NewPointsHome],Table2[GameDate], "&lt;=" &amp; $A18, Table2[HomeTeam], AE$1)</f>
        <v>1</v>
      </c>
      <c r="AF18" s="145">
        <f>SUMIFS(Table2[NewPointsAway],Table2[GameDate], "&lt;=" &amp; $A18, Table2[AwayTeam], AF$1)+SUMIFS(Table2[NewPointsHome],Table2[GameDate], "&lt;=" &amp; $A18, Table2[HomeTeam], AF$1)</f>
        <v>0</v>
      </c>
      <c r="AG18" s="145">
        <f>SUMIFS(Table2[NewPointsAway],Table2[GameDate], "&lt;=" &amp; $A18, Table2[AwayTeam], AG$1)+SUMIFS(Table2[NewPointsHome],Table2[GameDate], "&lt;=" &amp; $A18, Table2[HomeTeam], AG$1)</f>
        <v>0</v>
      </c>
    </row>
    <row r="19" spans="1:33" x14ac:dyDescent="0.25">
      <c r="A19" s="3">
        <v>45950</v>
      </c>
      <c r="B19" s="145">
        <f>SUMIFS(Table2[NewPointsAway],Table2[GameDate], "&lt;=" &amp; $A19, Table2[AwayTeam], B$1)+SUMIFS(Table2[NewPointsHome],Table2[GameDate], "&lt;=" &amp; $A19, Table2[HomeTeam], B$1)</f>
        <v>0</v>
      </c>
      <c r="C19" s="145">
        <f>SUMIFS(Table2[NewPointsAway],Table2[GameDate], "&lt;=" &amp; $A19, Table2[AwayTeam], C$1)+SUMIFS(Table2[NewPointsHome],Table2[GameDate], "&lt;=" &amp; $A19, Table2[HomeTeam], C$1)</f>
        <v>2</v>
      </c>
      <c r="D19" s="145">
        <f>SUMIFS(Table2[NewPointsAway],Table2[GameDate], "&lt;=" &amp; $A19, Table2[AwayTeam], D$1)+SUMIFS(Table2[NewPointsHome],Table2[GameDate], "&lt;=" &amp; $A19, Table2[HomeTeam], D$1)</f>
        <v>0</v>
      </c>
      <c r="E19" s="145">
        <f>SUMIFS(Table2[NewPointsAway],Table2[GameDate], "&lt;=" &amp; $A19, Table2[AwayTeam], E$1)+SUMIFS(Table2[NewPointsHome],Table2[GameDate], "&lt;=" &amp; $A19, Table2[HomeTeam], E$1)</f>
        <v>0</v>
      </c>
      <c r="F19" s="145">
        <f>SUMIFS(Table2[NewPointsAway],Table2[GameDate], "&lt;=" &amp; $A19, Table2[AwayTeam], F$1)+SUMIFS(Table2[NewPointsHome],Table2[GameDate], "&lt;=" &amp; $A19, Table2[HomeTeam], F$1)</f>
        <v>0</v>
      </c>
      <c r="G19" s="145">
        <f>SUMIFS(Table2[NewPointsAway],Table2[GameDate], "&lt;=" &amp; $A19, Table2[AwayTeam], G$1)+SUMIFS(Table2[NewPointsHome],Table2[GameDate], "&lt;=" &amp; $A19, Table2[HomeTeam], G$1)</f>
        <v>2</v>
      </c>
      <c r="H19" s="145">
        <f>SUMIFS(Table2[NewPointsAway],Table2[GameDate], "&lt;=" &amp; $A19, Table2[AwayTeam], H$1)+SUMIFS(Table2[NewPointsHome],Table2[GameDate], "&lt;=" &amp; $A19, Table2[HomeTeam], H$1)</f>
        <v>0</v>
      </c>
      <c r="I19" s="145">
        <f>SUMIFS(Table2[NewPointsAway],Table2[GameDate], "&lt;=" &amp; $A19, Table2[AwayTeam], I$1)+SUMIFS(Table2[NewPointsHome],Table2[GameDate], "&lt;=" &amp; $A19, Table2[HomeTeam], I$1)</f>
        <v>2</v>
      </c>
      <c r="J19" s="145">
        <f>SUMIFS(Table2[NewPointsAway],Table2[GameDate], "&lt;=" &amp; $A19, Table2[AwayTeam], J$1)+SUMIFS(Table2[NewPointsHome],Table2[GameDate], "&lt;=" &amp; $A19, Table2[HomeTeam], J$1)</f>
        <v>0</v>
      </c>
      <c r="K19" s="145">
        <f>SUMIFS(Table2[NewPointsAway],Table2[GameDate], "&lt;=" &amp; $A19, Table2[AwayTeam], K$1)+SUMIFS(Table2[NewPointsHome],Table2[GameDate], "&lt;=" &amp; $A19, Table2[HomeTeam], K$1)</f>
        <v>0</v>
      </c>
      <c r="L19" s="145">
        <f>SUMIFS(Table2[NewPointsAway],Table2[GameDate], "&lt;=" &amp; $A19, Table2[AwayTeam], L$1)+SUMIFS(Table2[NewPointsHome],Table2[GameDate], "&lt;=" &amp; $A19, Table2[HomeTeam], L$1)</f>
        <v>1</v>
      </c>
      <c r="M19" s="145">
        <f>SUMIFS(Table2[NewPointsAway],Table2[GameDate], "&lt;=" &amp; $A19, Table2[AwayTeam], M$1)+SUMIFS(Table2[NewPointsHome],Table2[GameDate], "&lt;=" &amp; $A19, Table2[HomeTeam], M$1)</f>
        <v>2</v>
      </c>
      <c r="N19" s="145">
        <f>SUMIFS(Table2[NewPointsAway],Table2[GameDate], "&lt;=" &amp; $A19, Table2[AwayTeam], N$1)+SUMIFS(Table2[NewPointsHome],Table2[GameDate], "&lt;=" &amp; $A19, Table2[HomeTeam], N$1)</f>
        <v>2</v>
      </c>
      <c r="O19" s="145">
        <f>SUMIFS(Table2[NewPointsAway],Table2[GameDate], "&lt;=" &amp; $A19, Table2[AwayTeam], O$1)+SUMIFS(Table2[NewPointsHome],Table2[GameDate], "&lt;=" &amp; $A19, Table2[HomeTeam], O$1)</f>
        <v>0</v>
      </c>
      <c r="P19" s="145">
        <f>SUMIFS(Table2[NewPointsAway],Table2[GameDate], "&lt;=" &amp; $A19, Table2[AwayTeam], P$1)+SUMIFS(Table2[NewPointsHome],Table2[GameDate], "&lt;=" &amp; $A19, Table2[HomeTeam], P$1)</f>
        <v>0</v>
      </c>
      <c r="Q19" s="145">
        <f>SUMIFS(Table2[NewPointsAway],Table2[GameDate], "&lt;=" &amp; $A19, Table2[AwayTeam], Q$1)+SUMIFS(Table2[NewPointsHome],Table2[GameDate], "&lt;=" &amp; $A19, Table2[HomeTeam], Q$1)</f>
        <v>0</v>
      </c>
      <c r="R19" s="145">
        <f>SUMIFS(Table2[NewPointsAway],Table2[GameDate], "&lt;=" &amp; $A19, Table2[AwayTeam], R$1)+SUMIFS(Table2[NewPointsHome],Table2[GameDate], "&lt;=" &amp; $A19, Table2[HomeTeam], R$1)</f>
        <v>0</v>
      </c>
      <c r="S19" s="145">
        <f>SUMIFS(Table2[NewPointsAway],Table2[GameDate], "&lt;=" &amp; $A19, Table2[AwayTeam], S$1)+SUMIFS(Table2[NewPointsHome],Table2[GameDate], "&lt;=" &amp; $A19, Table2[HomeTeam], S$1)</f>
        <v>0</v>
      </c>
      <c r="T19" s="145">
        <f>SUMIFS(Table2[NewPointsAway],Table2[GameDate], "&lt;=" &amp; $A19, Table2[AwayTeam], T$1)+SUMIFS(Table2[NewPointsHome],Table2[GameDate], "&lt;=" &amp; $A19, Table2[HomeTeam], T$1)</f>
        <v>0</v>
      </c>
      <c r="U19" s="145">
        <f>SUMIFS(Table2[NewPointsAway],Table2[GameDate], "&lt;=" &amp; $A19, Table2[AwayTeam], U$1)+SUMIFS(Table2[NewPointsHome],Table2[GameDate], "&lt;=" &amp; $A19, Table2[HomeTeam], U$1)</f>
        <v>0</v>
      </c>
      <c r="V19" s="145">
        <f>SUMIFS(Table2[NewPointsAway],Table2[GameDate], "&lt;=" &amp; $A19, Table2[AwayTeam], V$1)+SUMIFS(Table2[NewPointsHome],Table2[GameDate], "&lt;=" &amp; $A19, Table2[HomeTeam], V$1)</f>
        <v>0</v>
      </c>
      <c r="W19" s="145">
        <f>SUMIFS(Table2[NewPointsAway],Table2[GameDate], "&lt;=" &amp; $A19, Table2[AwayTeam], W$1)+SUMIFS(Table2[NewPointsHome],Table2[GameDate], "&lt;=" &amp; $A19, Table2[HomeTeam], W$1)</f>
        <v>2</v>
      </c>
      <c r="X19" s="145">
        <f>SUMIFS(Table2[NewPointsAway],Table2[GameDate], "&lt;=" &amp; $A19, Table2[AwayTeam], X$1)+SUMIFS(Table2[NewPointsHome],Table2[GameDate], "&lt;=" &amp; $A19, Table2[HomeTeam], X$1)</f>
        <v>0</v>
      </c>
      <c r="Y19" s="145">
        <f>SUMIFS(Table2[NewPointsAway],Table2[GameDate], "&lt;=" &amp; $A19, Table2[AwayTeam], Y$1)+SUMIFS(Table2[NewPointsHome],Table2[GameDate], "&lt;=" &amp; $A19, Table2[HomeTeam], Y$1)</f>
        <v>0</v>
      </c>
      <c r="Z19" s="145">
        <f>SUMIFS(Table2[NewPointsAway],Table2[GameDate], "&lt;=" &amp; $A19, Table2[AwayTeam], Z$1)+SUMIFS(Table2[NewPointsHome],Table2[GameDate], "&lt;=" &amp; $A19, Table2[HomeTeam], Z$1)</f>
        <v>0</v>
      </c>
      <c r="AA19" s="145">
        <f>SUMIFS(Table2[NewPointsAway],Table2[GameDate], "&lt;=" &amp; $A19, Table2[AwayTeam], AA$1)+SUMIFS(Table2[NewPointsHome],Table2[GameDate], "&lt;=" &amp; $A19, Table2[HomeTeam], AA$1)</f>
        <v>0</v>
      </c>
      <c r="AB19" s="145">
        <f>SUMIFS(Table2[NewPointsAway],Table2[GameDate], "&lt;=" &amp; $A19, Table2[AwayTeam], AB$1)+SUMIFS(Table2[NewPointsHome],Table2[GameDate], "&lt;=" &amp; $A19, Table2[HomeTeam], AB$1)</f>
        <v>2</v>
      </c>
      <c r="AC19" s="145">
        <f>SUMIFS(Table2[NewPointsAway],Table2[GameDate], "&lt;=" &amp; $A19, Table2[AwayTeam], AC$1)+SUMIFS(Table2[NewPointsHome],Table2[GameDate], "&lt;=" &amp; $A19, Table2[HomeTeam], AC$1)</f>
        <v>0</v>
      </c>
      <c r="AD19" s="145">
        <f>SUMIFS(Table2[NewPointsAway],Table2[GameDate], "&lt;=" &amp; $A19, Table2[AwayTeam], AD$1)+SUMIFS(Table2[NewPointsHome],Table2[GameDate], "&lt;=" &amp; $A19, Table2[HomeTeam], AD$1)</f>
        <v>0</v>
      </c>
      <c r="AE19" s="145">
        <f>SUMIFS(Table2[NewPointsAway],Table2[GameDate], "&lt;=" &amp; $A19, Table2[AwayTeam], AE$1)+SUMIFS(Table2[NewPointsHome],Table2[GameDate], "&lt;=" &amp; $A19, Table2[HomeTeam], AE$1)</f>
        <v>1</v>
      </c>
      <c r="AF19" s="145">
        <f>SUMIFS(Table2[NewPointsAway],Table2[GameDate], "&lt;=" &amp; $A19, Table2[AwayTeam], AF$1)+SUMIFS(Table2[NewPointsHome],Table2[GameDate], "&lt;=" &amp; $A19, Table2[HomeTeam], AF$1)</f>
        <v>0</v>
      </c>
      <c r="AG19" s="145">
        <f>SUMIFS(Table2[NewPointsAway],Table2[GameDate], "&lt;=" &amp; $A19, Table2[AwayTeam], AG$1)+SUMIFS(Table2[NewPointsHome],Table2[GameDate], "&lt;=" &amp; $A19, Table2[HomeTeam], AG$1)</f>
        <v>0</v>
      </c>
    </row>
    <row r="20" spans="1:33" x14ac:dyDescent="0.25">
      <c r="A20" s="3">
        <v>45951</v>
      </c>
      <c r="B20" s="145">
        <f>SUMIFS(Table2[NewPointsAway],Table2[GameDate], "&lt;=" &amp; $A20, Table2[AwayTeam], B$1)+SUMIFS(Table2[NewPointsHome],Table2[GameDate], "&lt;=" &amp; $A20, Table2[HomeTeam], B$1)</f>
        <v>0</v>
      </c>
      <c r="C20" s="145">
        <f>SUMIFS(Table2[NewPointsAway],Table2[GameDate], "&lt;=" &amp; $A20, Table2[AwayTeam], C$1)+SUMIFS(Table2[NewPointsHome],Table2[GameDate], "&lt;=" &amp; $A20, Table2[HomeTeam], C$1)</f>
        <v>2</v>
      </c>
      <c r="D20" s="145">
        <f>SUMIFS(Table2[NewPointsAway],Table2[GameDate], "&lt;=" &amp; $A20, Table2[AwayTeam], D$1)+SUMIFS(Table2[NewPointsHome],Table2[GameDate], "&lt;=" &amp; $A20, Table2[HomeTeam], D$1)</f>
        <v>0</v>
      </c>
      <c r="E20" s="145">
        <f>SUMIFS(Table2[NewPointsAway],Table2[GameDate], "&lt;=" &amp; $A20, Table2[AwayTeam], E$1)+SUMIFS(Table2[NewPointsHome],Table2[GameDate], "&lt;=" &amp; $A20, Table2[HomeTeam], E$1)</f>
        <v>0</v>
      </c>
      <c r="F20" s="145">
        <f>SUMIFS(Table2[NewPointsAway],Table2[GameDate], "&lt;=" &amp; $A20, Table2[AwayTeam], F$1)+SUMIFS(Table2[NewPointsHome],Table2[GameDate], "&lt;=" &amp; $A20, Table2[HomeTeam], F$1)</f>
        <v>0</v>
      </c>
      <c r="G20" s="145">
        <f>SUMIFS(Table2[NewPointsAway],Table2[GameDate], "&lt;=" &amp; $A20, Table2[AwayTeam], G$1)+SUMIFS(Table2[NewPointsHome],Table2[GameDate], "&lt;=" &amp; $A20, Table2[HomeTeam], G$1)</f>
        <v>2</v>
      </c>
      <c r="H20" s="145">
        <f>SUMIFS(Table2[NewPointsAway],Table2[GameDate], "&lt;=" &amp; $A20, Table2[AwayTeam], H$1)+SUMIFS(Table2[NewPointsHome],Table2[GameDate], "&lt;=" &amp; $A20, Table2[HomeTeam], H$1)</f>
        <v>0</v>
      </c>
      <c r="I20" s="145">
        <f>SUMIFS(Table2[NewPointsAway],Table2[GameDate], "&lt;=" &amp; $A20, Table2[AwayTeam], I$1)+SUMIFS(Table2[NewPointsHome],Table2[GameDate], "&lt;=" &amp; $A20, Table2[HomeTeam], I$1)</f>
        <v>2</v>
      </c>
      <c r="J20" s="145">
        <f>SUMIFS(Table2[NewPointsAway],Table2[GameDate], "&lt;=" &amp; $A20, Table2[AwayTeam], J$1)+SUMIFS(Table2[NewPointsHome],Table2[GameDate], "&lt;=" &amp; $A20, Table2[HomeTeam], J$1)</f>
        <v>0</v>
      </c>
      <c r="K20" s="145">
        <f>SUMIFS(Table2[NewPointsAway],Table2[GameDate], "&lt;=" &amp; $A20, Table2[AwayTeam], K$1)+SUMIFS(Table2[NewPointsHome],Table2[GameDate], "&lt;=" &amp; $A20, Table2[HomeTeam], K$1)</f>
        <v>0</v>
      </c>
      <c r="L20" s="145">
        <f>SUMIFS(Table2[NewPointsAway],Table2[GameDate], "&lt;=" &amp; $A20, Table2[AwayTeam], L$1)+SUMIFS(Table2[NewPointsHome],Table2[GameDate], "&lt;=" &amp; $A20, Table2[HomeTeam], L$1)</f>
        <v>1</v>
      </c>
      <c r="M20" s="145">
        <f>SUMIFS(Table2[NewPointsAway],Table2[GameDate], "&lt;=" &amp; $A20, Table2[AwayTeam], M$1)+SUMIFS(Table2[NewPointsHome],Table2[GameDate], "&lt;=" &amp; $A20, Table2[HomeTeam], M$1)</f>
        <v>2</v>
      </c>
      <c r="N20" s="145">
        <f>SUMIFS(Table2[NewPointsAway],Table2[GameDate], "&lt;=" &amp; $A20, Table2[AwayTeam], N$1)+SUMIFS(Table2[NewPointsHome],Table2[GameDate], "&lt;=" &amp; $A20, Table2[HomeTeam], N$1)</f>
        <v>2</v>
      </c>
      <c r="O20" s="145">
        <f>SUMIFS(Table2[NewPointsAway],Table2[GameDate], "&lt;=" &amp; $A20, Table2[AwayTeam], O$1)+SUMIFS(Table2[NewPointsHome],Table2[GameDate], "&lt;=" &amp; $A20, Table2[HomeTeam], O$1)</f>
        <v>0</v>
      </c>
      <c r="P20" s="145">
        <f>SUMIFS(Table2[NewPointsAway],Table2[GameDate], "&lt;=" &amp; $A20, Table2[AwayTeam], P$1)+SUMIFS(Table2[NewPointsHome],Table2[GameDate], "&lt;=" &amp; $A20, Table2[HomeTeam], P$1)</f>
        <v>0</v>
      </c>
      <c r="Q20" s="145">
        <f>SUMIFS(Table2[NewPointsAway],Table2[GameDate], "&lt;=" &amp; $A20, Table2[AwayTeam], Q$1)+SUMIFS(Table2[NewPointsHome],Table2[GameDate], "&lt;=" &amp; $A20, Table2[HomeTeam], Q$1)</f>
        <v>0</v>
      </c>
      <c r="R20" s="145">
        <f>SUMIFS(Table2[NewPointsAway],Table2[GameDate], "&lt;=" &amp; $A20, Table2[AwayTeam], R$1)+SUMIFS(Table2[NewPointsHome],Table2[GameDate], "&lt;=" &amp; $A20, Table2[HomeTeam], R$1)</f>
        <v>0</v>
      </c>
      <c r="S20" s="145">
        <f>SUMIFS(Table2[NewPointsAway],Table2[GameDate], "&lt;=" &amp; $A20, Table2[AwayTeam], S$1)+SUMIFS(Table2[NewPointsHome],Table2[GameDate], "&lt;=" &amp; $A20, Table2[HomeTeam], S$1)</f>
        <v>0</v>
      </c>
      <c r="T20" s="145">
        <f>SUMIFS(Table2[NewPointsAway],Table2[GameDate], "&lt;=" &amp; $A20, Table2[AwayTeam], T$1)+SUMIFS(Table2[NewPointsHome],Table2[GameDate], "&lt;=" &amp; $A20, Table2[HomeTeam], T$1)</f>
        <v>0</v>
      </c>
      <c r="U20" s="145">
        <f>SUMIFS(Table2[NewPointsAway],Table2[GameDate], "&lt;=" &amp; $A20, Table2[AwayTeam], U$1)+SUMIFS(Table2[NewPointsHome],Table2[GameDate], "&lt;=" &amp; $A20, Table2[HomeTeam], U$1)</f>
        <v>0</v>
      </c>
      <c r="V20" s="145">
        <f>SUMIFS(Table2[NewPointsAway],Table2[GameDate], "&lt;=" &amp; $A20, Table2[AwayTeam], V$1)+SUMIFS(Table2[NewPointsHome],Table2[GameDate], "&lt;=" &amp; $A20, Table2[HomeTeam], V$1)</f>
        <v>0</v>
      </c>
      <c r="W20" s="145">
        <f>SUMIFS(Table2[NewPointsAway],Table2[GameDate], "&lt;=" &amp; $A20, Table2[AwayTeam], W$1)+SUMIFS(Table2[NewPointsHome],Table2[GameDate], "&lt;=" &amp; $A20, Table2[HomeTeam], W$1)</f>
        <v>2</v>
      </c>
      <c r="X20" s="145">
        <f>SUMIFS(Table2[NewPointsAway],Table2[GameDate], "&lt;=" &amp; $A20, Table2[AwayTeam], X$1)+SUMIFS(Table2[NewPointsHome],Table2[GameDate], "&lt;=" &amp; $A20, Table2[HomeTeam], X$1)</f>
        <v>0</v>
      </c>
      <c r="Y20" s="145">
        <f>SUMIFS(Table2[NewPointsAway],Table2[GameDate], "&lt;=" &amp; $A20, Table2[AwayTeam], Y$1)+SUMIFS(Table2[NewPointsHome],Table2[GameDate], "&lt;=" &amp; $A20, Table2[HomeTeam], Y$1)</f>
        <v>0</v>
      </c>
      <c r="Z20" s="145">
        <f>SUMIFS(Table2[NewPointsAway],Table2[GameDate], "&lt;=" &amp; $A20, Table2[AwayTeam], Z$1)+SUMIFS(Table2[NewPointsHome],Table2[GameDate], "&lt;=" &amp; $A20, Table2[HomeTeam], Z$1)</f>
        <v>0</v>
      </c>
      <c r="AA20" s="145">
        <f>SUMIFS(Table2[NewPointsAway],Table2[GameDate], "&lt;=" &amp; $A20, Table2[AwayTeam], AA$1)+SUMIFS(Table2[NewPointsHome],Table2[GameDate], "&lt;=" &amp; $A20, Table2[HomeTeam], AA$1)</f>
        <v>0</v>
      </c>
      <c r="AB20" s="145">
        <f>SUMIFS(Table2[NewPointsAway],Table2[GameDate], "&lt;=" &amp; $A20, Table2[AwayTeam], AB$1)+SUMIFS(Table2[NewPointsHome],Table2[GameDate], "&lt;=" &amp; $A20, Table2[HomeTeam], AB$1)</f>
        <v>2</v>
      </c>
      <c r="AC20" s="145">
        <f>SUMIFS(Table2[NewPointsAway],Table2[GameDate], "&lt;=" &amp; $A20, Table2[AwayTeam], AC$1)+SUMIFS(Table2[NewPointsHome],Table2[GameDate], "&lt;=" &amp; $A20, Table2[HomeTeam], AC$1)</f>
        <v>0</v>
      </c>
      <c r="AD20" s="145">
        <f>SUMIFS(Table2[NewPointsAway],Table2[GameDate], "&lt;=" &amp; $A20, Table2[AwayTeam], AD$1)+SUMIFS(Table2[NewPointsHome],Table2[GameDate], "&lt;=" &amp; $A20, Table2[HomeTeam], AD$1)</f>
        <v>0</v>
      </c>
      <c r="AE20" s="145">
        <f>SUMIFS(Table2[NewPointsAway],Table2[GameDate], "&lt;=" &amp; $A20, Table2[AwayTeam], AE$1)+SUMIFS(Table2[NewPointsHome],Table2[GameDate], "&lt;=" &amp; $A20, Table2[HomeTeam], AE$1)</f>
        <v>1</v>
      </c>
      <c r="AF20" s="145">
        <f>SUMIFS(Table2[NewPointsAway],Table2[GameDate], "&lt;=" &amp; $A20, Table2[AwayTeam], AF$1)+SUMIFS(Table2[NewPointsHome],Table2[GameDate], "&lt;=" &amp; $A20, Table2[HomeTeam], AF$1)</f>
        <v>0</v>
      </c>
      <c r="AG20" s="145">
        <f>SUMIFS(Table2[NewPointsAway],Table2[GameDate], "&lt;=" &amp; $A20, Table2[AwayTeam], AG$1)+SUMIFS(Table2[NewPointsHome],Table2[GameDate], "&lt;=" &amp; $A20, Table2[HomeTeam], AG$1)</f>
        <v>0</v>
      </c>
    </row>
    <row r="21" spans="1:33" x14ac:dyDescent="0.25">
      <c r="A21" s="3">
        <v>45952</v>
      </c>
      <c r="B21" s="145">
        <f>SUMIFS(Table2[NewPointsAway],Table2[GameDate], "&lt;=" &amp; $A21, Table2[AwayTeam], B$1)+SUMIFS(Table2[NewPointsHome],Table2[GameDate], "&lt;=" &amp; $A21, Table2[HomeTeam], B$1)</f>
        <v>0</v>
      </c>
      <c r="C21" s="145">
        <f>SUMIFS(Table2[NewPointsAway],Table2[GameDate], "&lt;=" &amp; $A21, Table2[AwayTeam], C$1)+SUMIFS(Table2[NewPointsHome],Table2[GameDate], "&lt;=" &amp; $A21, Table2[HomeTeam], C$1)</f>
        <v>2</v>
      </c>
      <c r="D21" s="145">
        <f>SUMIFS(Table2[NewPointsAway],Table2[GameDate], "&lt;=" &amp; $A21, Table2[AwayTeam], D$1)+SUMIFS(Table2[NewPointsHome],Table2[GameDate], "&lt;=" &amp; $A21, Table2[HomeTeam], D$1)</f>
        <v>0</v>
      </c>
      <c r="E21" s="145">
        <f>SUMIFS(Table2[NewPointsAway],Table2[GameDate], "&lt;=" &amp; $A21, Table2[AwayTeam], E$1)+SUMIFS(Table2[NewPointsHome],Table2[GameDate], "&lt;=" &amp; $A21, Table2[HomeTeam], E$1)</f>
        <v>0</v>
      </c>
      <c r="F21" s="145">
        <f>SUMIFS(Table2[NewPointsAway],Table2[GameDate], "&lt;=" &amp; $A21, Table2[AwayTeam], F$1)+SUMIFS(Table2[NewPointsHome],Table2[GameDate], "&lt;=" &amp; $A21, Table2[HomeTeam], F$1)</f>
        <v>0</v>
      </c>
      <c r="G21" s="145">
        <f>SUMIFS(Table2[NewPointsAway],Table2[GameDate], "&lt;=" &amp; $A21, Table2[AwayTeam], G$1)+SUMIFS(Table2[NewPointsHome],Table2[GameDate], "&lt;=" &amp; $A21, Table2[HomeTeam], G$1)</f>
        <v>2</v>
      </c>
      <c r="H21" s="145">
        <f>SUMIFS(Table2[NewPointsAway],Table2[GameDate], "&lt;=" &amp; $A21, Table2[AwayTeam], H$1)+SUMIFS(Table2[NewPointsHome],Table2[GameDate], "&lt;=" &amp; $A21, Table2[HomeTeam], H$1)</f>
        <v>0</v>
      </c>
      <c r="I21" s="145">
        <f>SUMIFS(Table2[NewPointsAway],Table2[GameDate], "&lt;=" &amp; $A21, Table2[AwayTeam], I$1)+SUMIFS(Table2[NewPointsHome],Table2[GameDate], "&lt;=" &amp; $A21, Table2[HomeTeam], I$1)</f>
        <v>2</v>
      </c>
      <c r="J21" s="145">
        <f>SUMIFS(Table2[NewPointsAway],Table2[GameDate], "&lt;=" &amp; $A21, Table2[AwayTeam], J$1)+SUMIFS(Table2[NewPointsHome],Table2[GameDate], "&lt;=" &amp; $A21, Table2[HomeTeam], J$1)</f>
        <v>0</v>
      </c>
      <c r="K21" s="145">
        <f>SUMIFS(Table2[NewPointsAway],Table2[GameDate], "&lt;=" &amp; $A21, Table2[AwayTeam], K$1)+SUMIFS(Table2[NewPointsHome],Table2[GameDate], "&lt;=" &amp; $A21, Table2[HomeTeam], K$1)</f>
        <v>0</v>
      </c>
      <c r="L21" s="145">
        <f>SUMIFS(Table2[NewPointsAway],Table2[GameDate], "&lt;=" &amp; $A21, Table2[AwayTeam], L$1)+SUMIFS(Table2[NewPointsHome],Table2[GameDate], "&lt;=" &amp; $A21, Table2[HomeTeam], L$1)</f>
        <v>1</v>
      </c>
      <c r="M21" s="145">
        <f>SUMIFS(Table2[NewPointsAway],Table2[GameDate], "&lt;=" &amp; $A21, Table2[AwayTeam], M$1)+SUMIFS(Table2[NewPointsHome],Table2[GameDate], "&lt;=" &amp; $A21, Table2[HomeTeam], M$1)</f>
        <v>2</v>
      </c>
      <c r="N21" s="145">
        <f>SUMIFS(Table2[NewPointsAway],Table2[GameDate], "&lt;=" &amp; $A21, Table2[AwayTeam], N$1)+SUMIFS(Table2[NewPointsHome],Table2[GameDate], "&lt;=" &amp; $A21, Table2[HomeTeam], N$1)</f>
        <v>2</v>
      </c>
      <c r="O21" s="145">
        <f>SUMIFS(Table2[NewPointsAway],Table2[GameDate], "&lt;=" &amp; $A21, Table2[AwayTeam], O$1)+SUMIFS(Table2[NewPointsHome],Table2[GameDate], "&lt;=" &amp; $A21, Table2[HomeTeam], O$1)</f>
        <v>0</v>
      </c>
      <c r="P21" s="145">
        <f>SUMIFS(Table2[NewPointsAway],Table2[GameDate], "&lt;=" &amp; $A21, Table2[AwayTeam], P$1)+SUMIFS(Table2[NewPointsHome],Table2[GameDate], "&lt;=" &amp; $A21, Table2[HomeTeam], P$1)</f>
        <v>0</v>
      </c>
      <c r="Q21" s="145">
        <f>SUMIFS(Table2[NewPointsAway],Table2[GameDate], "&lt;=" &amp; $A21, Table2[AwayTeam], Q$1)+SUMIFS(Table2[NewPointsHome],Table2[GameDate], "&lt;=" &amp; $A21, Table2[HomeTeam], Q$1)</f>
        <v>0</v>
      </c>
      <c r="R21" s="145">
        <f>SUMIFS(Table2[NewPointsAway],Table2[GameDate], "&lt;=" &amp; $A21, Table2[AwayTeam], R$1)+SUMIFS(Table2[NewPointsHome],Table2[GameDate], "&lt;=" &amp; $A21, Table2[HomeTeam], R$1)</f>
        <v>0</v>
      </c>
      <c r="S21" s="145">
        <f>SUMIFS(Table2[NewPointsAway],Table2[GameDate], "&lt;=" &amp; $A21, Table2[AwayTeam], S$1)+SUMIFS(Table2[NewPointsHome],Table2[GameDate], "&lt;=" &amp; $A21, Table2[HomeTeam], S$1)</f>
        <v>0</v>
      </c>
      <c r="T21" s="145">
        <f>SUMIFS(Table2[NewPointsAway],Table2[GameDate], "&lt;=" &amp; $A21, Table2[AwayTeam], T$1)+SUMIFS(Table2[NewPointsHome],Table2[GameDate], "&lt;=" &amp; $A21, Table2[HomeTeam], T$1)</f>
        <v>0</v>
      </c>
      <c r="U21" s="145">
        <f>SUMIFS(Table2[NewPointsAway],Table2[GameDate], "&lt;=" &amp; $A21, Table2[AwayTeam], U$1)+SUMIFS(Table2[NewPointsHome],Table2[GameDate], "&lt;=" &amp; $A21, Table2[HomeTeam], U$1)</f>
        <v>0</v>
      </c>
      <c r="V21" s="145">
        <f>SUMIFS(Table2[NewPointsAway],Table2[GameDate], "&lt;=" &amp; $A21, Table2[AwayTeam], V$1)+SUMIFS(Table2[NewPointsHome],Table2[GameDate], "&lt;=" &amp; $A21, Table2[HomeTeam], V$1)</f>
        <v>0</v>
      </c>
      <c r="W21" s="145">
        <f>SUMIFS(Table2[NewPointsAway],Table2[GameDate], "&lt;=" &amp; $A21, Table2[AwayTeam], W$1)+SUMIFS(Table2[NewPointsHome],Table2[GameDate], "&lt;=" &amp; $A21, Table2[HomeTeam], W$1)</f>
        <v>2</v>
      </c>
      <c r="X21" s="145">
        <f>SUMIFS(Table2[NewPointsAway],Table2[GameDate], "&lt;=" &amp; $A21, Table2[AwayTeam], X$1)+SUMIFS(Table2[NewPointsHome],Table2[GameDate], "&lt;=" &amp; $A21, Table2[HomeTeam], X$1)</f>
        <v>0</v>
      </c>
      <c r="Y21" s="145">
        <f>SUMIFS(Table2[NewPointsAway],Table2[GameDate], "&lt;=" &amp; $A21, Table2[AwayTeam], Y$1)+SUMIFS(Table2[NewPointsHome],Table2[GameDate], "&lt;=" &amp; $A21, Table2[HomeTeam], Y$1)</f>
        <v>0</v>
      </c>
      <c r="Z21" s="145">
        <f>SUMIFS(Table2[NewPointsAway],Table2[GameDate], "&lt;=" &amp; $A21, Table2[AwayTeam], Z$1)+SUMIFS(Table2[NewPointsHome],Table2[GameDate], "&lt;=" &amp; $A21, Table2[HomeTeam], Z$1)</f>
        <v>0</v>
      </c>
      <c r="AA21" s="145">
        <f>SUMIFS(Table2[NewPointsAway],Table2[GameDate], "&lt;=" &amp; $A21, Table2[AwayTeam], AA$1)+SUMIFS(Table2[NewPointsHome],Table2[GameDate], "&lt;=" &amp; $A21, Table2[HomeTeam], AA$1)</f>
        <v>0</v>
      </c>
      <c r="AB21" s="145">
        <f>SUMIFS(Table2[NewPointsAway],Table2[GameDate], "&lt;=" &amp; $A21, Table2[AwayTeam], AB$1)+SUMIFS(Table2[NewPointsHome],Table2[GameDate], "&lt;=" &amp; $A21, Table2[HomeTeam], AB$1)</f>
        <v>2</v>
      </c>
      <c r="AC21" s="145">
        <f>SUMIFS(Table2[NewPointsAway],Table2[GameDate], "&lt;=" &amp; $A21, Table2[AwayTeam], AC$1)+SUMIFS(Table2[NewPointsHome],Table2[GameDate], "&lt;=" &amp; $A21, Table2[HomeTeam], AC$1)</f>
        <v>0</v>
      </c>
      <c r="AD21" s="145">
        <f>SUMIFS(Table2[NewPointsAway],Table2[GameDate], "&lt;=" &amp; $A21, Table2[AwayTeam], AD$1)+SUMIFS(Table2[NewPointsHome],Table2[GameDate], "&lt;=" &amp; $A21, Table2[HomeTeam], AD$1)</f>
        <v>0</v>
      </c>
      <c r="AE21" s="145">
        <f>SUMIFS(Table2[NewPointsAway],Table2[GameDate], "&lt;=" &amp; $A21, Table2[AwayTeam], AE$1)+SUMIFS(Table2[NewPointsHome],Table2[GameDate], "&lt;=" &amp; $A21, Table2[HomeTeam], AE$1)</f>
        <v>1</v>
      </c>
      <c r="AF21" s="145">
        <f>SUMIFS(Table2[NewPointsAway],Table2[GameDate], "&lt;=" &amp; $A21, Table2[AwayTeam], AF$1)+SUMIFS(Table2[NewPointsHome],Table2[GameDate], "&lt;=" &amp; $A21, Table2[HomeTeam], AF$1)</f>
        <v>0</v>
      </c>
      <c r="AG21" s="145">
        <f>SUMIFS(Table2[NewPointsAway],Table2[GameDate], "&lt;=" &amp; $A21, Table2[AwayTeam], AG$1)+SUMIFS(Table2[NewPointsHome],Table2[GameDate], "&lt;=" &amp; $A21, Table2[HomeTeam], AG$1)</f>
        <v>0</v>
      </c>
    </row>
    <row r="22" spans="1:33" x14ac:dyDescent="0.25">
      <c r="A22" s="3">
        <v>45953</v>
      </c>
      <c r="B22" s="145">
        <f>SUMIFS(Table2[NewPointsAway],Table2[GameDate], "&lt;=" &amp; $A22, Table2[AwayTeam], B$1)+SUMIFS(Table2[NewPointsHome],Table2[GameDate], "&lt;=" &amp; $A22, Table2[HomeTeam], B$1)</f>
        <v>0</v>
      </c>
      <c r="C22" s="145">
        <f>SUMIFS(Table2[NewPointsAway],Table2[GameDate], "&lt;=" &amp; $A22, Table2[AwayTeam], C$1)+SUMIFS(Table2[NewPointsHome],Table2[GameDate], "&lt;=" &amp; $A22, Table2[HomeTeam], C$1)</f>
        <v>2</v>
      </c>
      <c r="D22" s="145">
        <f>SUMIFS(Table2[NewPointsAway],Table2[GameDate], "&lt;=" &amp; $A22, Table2[AwayTeam], D$1)+SUMIFS(Table2[NewPointsHome],Table2[GameDate], "&lt;=" &amp; $A22, Table2[HomeTeam], D$1)</f>
        <v>0</v>
      </c>
      <c r="E22" s="145">
        <f>SUMIFS(Table2[NewPointsAway],Table2[GameDate], "&lt;=" &amp; $A22, Table2[AwayTeam], E$1)+SUMIFS(Table2[NewPointsHome],Table2[GameDate], "&lt;=" &amp; $A22, Table2[HomeTeam], E$1)</f>
        <v>0</v>
      </c>
      <c r="F22" s="145">
        <f>SUMIFS(Table2[NewPointsAway],Table2[GameDate], "&lt;=" &amp; $A22, Table2[AwayTeam], F$1)+SUMIFS(Table2[NewPointsHome],Table2[GameDate], "&lt;=" &amp; $A22, Table2[HomeTeam], F$1)</f>
        <v>0</v>
      </c>
      <c r="G22" s="145">
        <f>SUMIFS(Table2[NewPointsAway],Table2[GameDate], "&lt;=" &amp; $A22, Table2[AwayTeam], G$1)+SUMIFS(Table2[NewPointsHome],Table2[GameDate], "&lt;=" &amp; $A22, Table2[HomeTeam], G$1)</f>
        <v>2</v>
      </c>
      <c r="H22" s="145">
        <f>SUMIFS(Table2[NewPointsAway],Table2[GameDate], "&lt;=" &amp; $A22, Table2[AwayTeam], H$1)+SUMIFS(Table2[NewPointsHome],Table2[GameDate], "&lt;=" &amp; $A22, Table2[HomeTeam], H$1)</f>
        <v>0</v>
      </c>
      <c r="I22" s="145">
        <f>SUMIFS(Table2[NewPointsAway],Table2[GameDate], "&lt;=" &amp; $A22, Table2[AwayTeam], I$1)+SUMIFS(Table2[NewPointsHome],Table2[GameDate], "&lt;=" &amp; $A22, Table2[HomeTeam], I$1)</f>
        <v>2</v>
      </c>
      <c r="J22" s="145">
        <f>SUMIFS(Table2[NewPointsAway],Table2[GameDate], "&lt;=" &amp; $A22, Table2[AwayTeam], J$1)+SUMIFS(Table2[NewPointsHome],Table2[GameDate], "&lt;=" &amp; $A22, Table2[HomeTeam], J$1)</f>
        <v>0</v>
      </c>
      <c r="K22" s="145">
        <f>SUMIFS(Table2[NewPointsAway],Table2[GameDate], "&lt;=" &amp; $A22, Table2[AwayTeam], K$1)+SUMIFS(Table2[NewPointsHome],Table2[GameDate], "&lt;=" &amp; $A22, Table2[HomeTeam], K$1)</f>
        <v>0</v>
      </c>
      <c r="L22" s="145">
        <f>SUMIFS(Table2[NewPointsAway],Table2[GameDate], "&lt;=" &amp; $A22, Table2[AwayTeam], L$1)+SUMIFS(Table2[NewPointsHome],Table2[GameDate], "&lt;=" &amp; $A22, Table2[HomeTeam], L$1)</f>
        <v>1</v>
      </c>
      <c r="M22" s="145">
        <f>SUMIFS(Table2[NewPointsAway],Table2[GameDate], "&lt;=" &amp; $A22, Table2[AwayTeam], M$1)+SUMIFS(Table2[NewPointsHome],Table2[GameDate], "&lt;=" &amp; $A22, Table2[HomeTeam], M$1)</f>
        <v>2</v>
      </c>
      <c r="N22" s="145">
        <f>SUMIFS(Table2[NewPointsAway],Table2[GameDate], "&lt;=" &amp; $A22, Table2[AwayTeam], N$1)+SUMIFS(Table2[NewPointsHome],Table2[GameDate], "&lt;=" &amp; $A22, Table2[HomeTeam], N$1)</f>
        <v>2</v>
      </c>
      <c r="O22" s="145">
        <f>SUMIFS(Table2[NewPointsAway],Table2[GameDate], "&lt;=" &amp; $A22, Table2[AwayTeam], O$1)+SUMIFS(Table2[NewPointsHome],Table2[GameDate], "&lt;=" &amp; $A22, Table2[HomeTeam], O$1)</f>
        <v>0</v>
      </c>
      <c r="P22" s="145">
        <f>SUMIFS(Table2[NewPointsAway],Table2[GameDate], "&lt;=" &amp; $A22, Table2[AwayTeam], P$1)+SUMIFS(Table2[NewPointsHome],Table2[GameDate], "&lt;=" &amp; $A22, Table2[HomeTeam], P$1)</f>
        <v>0</v>
      </c>
      <c r="Q22" s="145">
        <f>SUMIFS(Table2[NewPointsAway],Table2[GameDate], "&lt;=" &amp; $A22, Table2[AwayTeam], Q$1)+SUMIFS(Table2[NewPointsHome],Table2[GameDate], "&lt;=" &amp; $A22, Table2[HomeTeam], Q$1)</f>
        <v>0</v>
      </c>
      <c r="R22" s="145">
        <f>SUMIFS(Table2[NewPointsAway],Table2[GameDate], "&lt;=" &amp; $A22, Table2[AwayTeam], R$1)+SUMIFS(Table2[NewPointsHome],Table2[GameDate], "&lt;=" &amp; $A22, Table2[HomeTeam], R$1)</f>
        <v>0</v>
      </c>
      <c r="S22" s="145">
        <f>SUMIFS(Table2[NewPointsAway],Table2[GameDate], "&lt;=" &amp; $A22, Table2[AwayTeam], S$1)+SUMIFS(Table2[NewPointsHome],Table2[GameDate], "&lt;=" &amp; $A22, Table2[HomeTeam], S$1)</f>
        <v>0</v>
      </c>
      <c r="T22" s="145">
        <f>SUMIFS(Table2[NewPointsAway],Table2[GameDate], "&lt;=" &amp; $A22, Table2[AwayTeam], T$1)+SUMIFS(Table2[NewPointsHome],Table2[GameDate], "&lt;=" &amp; $A22, Table2[HomeTeam], T$1)</f>
        <v>0</v>
      </c>
      <c r="U22" s="145">
        <f>SUMIFS(Table2[NewPointsAway],Table2[GameDate], "&lt;=" &amp; $A22, Table2[AwayTeam], U$1)+SUMIFS(Table2[NewPointsHome],Table2[GameDate], "&lt;=" &amp; $A22, Table2[HomeTeam], U$1)</f>
        <v>0</v>
      </c>
      <c r="V22" s="145">
        <f>SUMIFS(Table2[NewPointsAway],Table2[GameDate], "&lt;=" &amp; $A22, Table2[AwayTeam], V$1)+SUMIFS(Table2[NewPointsHome],Table2[GameDate], "&lt;=" &amp; $A22, Table2[HomeTeam], V$1)</f>
        <v>0</v>
      </c>
      <c r="W22" s="145">
        <f>SUMIFS(Table2[NewPointsAway],Table2[GameDate], "&lt;=" &amp; $A22, Table2[AwayTeam], W$1)+SUMIFS(Table2[NewPointsHome],Table2[GameDate], "&lt;=" &amp; $A22, Table2[HomeTeam], W$1)</f>
        <v>2</v>
      </c>
      <c r="X22" s="145">
        <f>SUMIFS(Table2[NewPointsAway],Table2[GameDate], "&lt;=" &amp; $A22, Table2[AwayTeam], X$1)+SUMIFS(Table2[NewPointsHome],Table2[GameDate], "&lt;=" &amp; $A22, Table2[HomeTeam], X$1)</f>
        <v>0</v>
      </c>
      <c r="Y22" s="145">
        <f>SUMIFS(Table2[NewPointsAway],Table2[GameDate], "&lt;=" &amp; $A22, Table2[AwayTeam], Y$1)+SUMIFS(Table2[NewPointsHome],Table2[GameDate], "&lt;=" &amp; $A22, Table2[HomeTeam], Y$1)</f>
        <v>0</v>
      </c>
      <c r="Z22" s="145">
        <f>SUMIFS(Table2[NewPointsAway],Table2[GameDate], "&lt;=" &amp; $A22, Table2[AwayTeam], Z$1)+SUMIFS(Table2[NewPointsHome],Table2[GameDate], "&lt;=" &amp; $A22, Table2[HomeTeam], Z$1)</f>
        <v>0</v>
      </c>
      <c r="AA22" s="145">
        <f>SUMIFS(Table2[NewPointsAway],Table2[GameDate], "&lt;=" &amp; $A22, Table2[AwayTeam], AA$1)+SUMIFS(Table2[NewPointsHome],Table2[GameDate], "&lt;=" &amp; $A22, Table2[HomeTeam], AA$1)</f>
        <v>0</v>
      </c>
      <c r="AB22" s="145">
        <f>SUMIFS(Table2[NewPointsAway],Table2[GameDate], "&lt;=" &amp; $A22, Table2[AwayTeam], AB$1)+SUMIFS(Table2[NewPointsHome],Table2[GameDate], "&lt;=" &amp; $A22, Table2[HomeTeam], AB$1)</f>
        <v>2</v>
      </c>
      <c r="AC22" s="145">
        <f>SUMIFS(Table2[NewPointsAway],Table2[GameDate], "&lt;=" &amp; $A22, Table2[AwayTeam], AC$1)+SUMIFS(Table2[NewPointsHome],Table2[GameDate], "&lt;=" &amp; $A22, Table2[HomeTeam], AC$1)</f>
        <v>0</v>
      </c>
      <c r="AD22" s="145">
        <f>SUMIFS(Table2[NewPointsAway],Table2[GameDate], "&lt;=" &amp; $A22, Table2[AwayTeam], AD$1)+SUMIFS(Table2[NewPointsHome],Table2[GameDate], "&lt;=" &amp; $A22, Table2[HomeTeam], AD$1)</f>
        <v>0</v>
      </c>
      <c r="AE22" s="145">
        <f>SUMIFS(Table2[NewPointsAway],Table2[GameDate], "&lt;=" &amp; $A22, Table2[AwayTeam], AE$1)+SUMIFS(Table2[NewPointsHome],Table2[GameDate], "&lt;=" &amp; $A22, Table2[HomeTeam], AE$1)</f>
        <v>1</v>
      </c>
      <c r="AF22" s="145">
        <f>SUMIFS(Table2[NewPointsAway],Table2[GameDate], "&lt;=" &amp; $A22, Table2[AwayTeam], AF$1)+SUMIFS(Table2[NewPointsHome],Table2[GameDate], "&lt;=" &amp; $A22, Table2[HomeTeam], AF$1)</f>
        <v>0</v>
      </c>
      <c r="AG22" s="145">
        <f>SUMIFS(Table2[NewPointsAway],Table2[GameDate], "&lt;=" &amp; $A22, Table2[AwayTeam], AG$1)+SUMIFS(Table2[NewPointsHome],Table2[GameDate], "&lt;=" &amp; $A22, Table2[HomeTeam], AG$1)</f>
        <v>0</v>
      </c>
    </row>
    <row r="23" spans="1:33" x14ac:dyDescent="0.25">
      <c r="A23" s="3">
        <v>45954</v>
      </c>
      <c r="B23" s="145">
        <f>SUMIFS(Table2[NewPointsAway],Table2[GameDate], "&lt;=" &amp; $A23, Table2[AwayTeam], B$1)+SUMIFS(Table2[NewPointsHome],Table2[GameDate], "&lt;=" &amp; $A23, Table2[HomeTeam], B$1)</f>
        <v>0</v>
      </c>
      <c r="C23" s="145">
        <f>SUMIFS(Table2[NewPointsAway],Table2[GameDate], "&lt;=" &amp; $A23, Table2[AwayTeam], C$1)+SUMIFS(Table2[NewPointsHome],Table2[GameDate], "&lt;=" &amp; $A23, Table2[HomeTeam], C$1)</f>
        <v>2</v>
      </c>
      <c r="D23" s="145">
        <f>SUMIFS(Table2[NewPointsAway],Table2[GameDate], "&lt;=" &amp; $A23, Table2[AwayTeam], D$1)+SUMIFS(Table2[NewPointsHome],Table2[GameDate], "&lt;=" &amp; $A23, Table2[HomeTeam], D$1)</f>
        <v>0</v>
      </c>
      <c r="E23" s="145">
        <f>SUMIFS(Table2[NewPointsAway],Table2[GameDate], "&lt;=" &amp; $A23, Table2[AwayTeam], E$1)+SUMIFS(Table2[NewPointsHome],Table2[GameDate], "&lt;=" &amp; $A23, Table2[HomeTeam], E$1)</f>
        <v>0</v>
      </c>
      <c r="F23" s="145">
        <f>SUMIFS(Table2[NewPointsAway],Table2[GameDate], "&lt;=" &amp; $A23, Table2[AwayTeam], F$1)+SUMIFS(Table2[NewPointsHome],Table2[GameDate], "&lt;=" &amp; $A23, Table2[HomeTeam], F$1)</f>
        <v>0</v>
      </c>
      <c r="G23" s="145">
        <f>SUMIFS(Table2[NewPointsAway],Table2[GameDate], "&lt;=" &amp; $A23, Table2[AwayTeam], G$1)+SUMIFS(Table2[NewPointsHome],Table2[GameDate], "&lt;=" &amp; $A23, Table2[HomeTeam], G$1)</f>
        <v>2</v>
      </c>
      <c r="H23" s="145">
        <f>SUMIFS(Table2[NewPointsAway],Table2[GameDate], "&lt;=" &amp; $A23, Table2[AwayTeam], H$1)+SUMIFS(Table2[NewPointsHome],Table2[GameDate], "&lt;=" &amp; $A23, Table2[HomeTeam], H$1)</f>
        <v>0</v>
      </c>
      <c r="I23" s="145">
        <f>SUMIFS(Table2[NewPointsAway],Table2[GameDate], "&lt;=" &amp; $A23, Table2[AwayTeam], I$1)+SUMIFS(Table2[NewPointsHome],Table2[GameDate], "&lt;=" &amp; $A23, Table2[HomeTeam], I$1)</f>
        <v>2</v>
      </c>
      <c r="J23" s="145">
        <f>SUMIFS(Table2[NewPointsAway],Table2[GameDate], "&lt;=" &amp; $A23, Table2[AwayTeam], J$1)+SUMIFS(Table2[NewPointsHome],Table2[GameDate], "&lt;=" &amp; $A23, Table2[HomeTeam], J$1)</f>
        <v>0</v>
      </c>
      <c r="K23" s="145">
        <f>SUMIFS(Table2[NewPointsAway],Table2[GameDate], "&lt;=" &amp; $A23, Table2[AwayTeam], K$1)+SUMIFS(Table2[NewPointsHome],Table2[GameDate], "&lt;=" &amp; $A23, Table2[HomeTeam], K$1)</f>
        <v>0</v>
      </c>
      <c r="L23" s="145">
        <f>SUMIFS(Table2[NewPointsAway],Table2[GameDate], "&lt;=" &amp; $A23, Table2[AwayTeam], L$1)+SUMIFS(Table2[NewPointsHome],Table2[GameDate], "&lt;=" &amp; $A23, Table2[HomeTeam], L$1)</f>
        <v>1</v>
      </c>
      <c r="M23" s="145">
        <f>SUMIFS(Table2[NewPointsAway],Table2[GameDate], "&lt;=" &amp; $A23, Table2[AwayTeam], M$1)+SUMIFS(Table2[NewPointsHome],Table2[GameDate], "&lt;=" &amp; $A23, Table2[HomeTeam], M$1)</f>
        <v>2</v>
      </c>
      <c r="N23" s="145">
        <f>SUMIFS(Table2[NewPointsAway],Table2[GameDate], "&lt;=" &amp; $A23, Table2[AwayTeam], N$1)+SUMIFS(Table2[NewPointsHome],Table2[GameDate], "&lt;=" &amp; $A23, Table2[HomeTeam], N$1)</f>
        <v>2</v>
      </c>
      <c r="O23" s="145">
        <f>SUMIFS(Table2[NewPointsAway],Table2[GameDate], "&lt;=" &amp; $A23, Table2[AwayTeam], O$1)+SUMIFS(Table2[NewPointsHome],Table2[GameDate], "&lt;=" &amp; $A23, Table2[HomeTeam], O$1)</f>
        <v>0</v>
      </c>
      <c r="P23" s="145">
        <f>SUMIFS(Table2[NewPointsAway],Table2[GameDate], "&lt;=" &amp; $A23, Table2[AwayTeam], P$1)+SUMIFS(Table2[NewPointsHome],Table2[GameDate], "&lt;=" &amp; $A23, Table2[HomeTeam], P$1)</f>
        <v>0</v>
      </c>
      <c r="Q23" s="145">
        <f>SUMIFS(Table2[NewPointsAway],Table2[GameDate], "&lt;=" &amp; $A23, Table2[AwayTeam], Q$1)+SUMIFS(Table2[NewPointsHome],Table2[GameDate], "&lt;=" &amp; $A23, Table2[HomeTeam], Q$1)</f>
        <v>0</v>
      </c>
      <c r="R23" s="145">
        <f>SUMIFS(Table2[NewPointsAway],Table2[GameDate], "&lt;=" &amp; $A23, Table2[AwayTeam], R$1)+SUMIFS(Table2[NewPointsHome],Table2[GameDate], "&lt;=" &amp; $A23, Table2[HomeTeam], R$1)</f>
        <v>0</v>
      </c>
      <c r="S23" s="145">
        <f>SUMIFS(Table2[NewPointsAway],Table2[GameDate], "&lt;=" &amp; $A23, Table2[AwayTeam], S$1)+SUMIFS(Table2[NewPointsHome],Table2[GameDate], "&lt;=" &amp; $A23, Table2[HomeTeam], S$1)</f>
        <v>0</v>
      </c>
      <c r="T23" s="145">
        <f>SUMIFS(Table2[NewPointsAway],Table2[GameDate], "&lt;=" &amp; $A23, Table2[AwayTeam], T$1)+SUMIFS(Table2[NewPointsHome],Table2[GameDate], "&lt;=" &amp; $A23, Table2[HomeTeam], T$1)</f>
        <v>0</v>
      </c>
      <c r="U23" s="145">
        <f>SUMIFS(Table2[NewPointsAway],Table2[GameDate], "&lt;=" &amp; $A23, Table2[AwayTeam], U$1)+SUMIFS(Table2[NewPointsHome],Table2[GameDate], "&lt;=" &amp; $A23, Table2[HomeTeam], U$1)</f>
        <v>0</v>
      </c>
      <c r="V23" s="145">
        <f>SUMIFS(Table2[NewPointsAway],Table2[GameDate], "&lt;=" &amp; $A23, Table2[AwayTeam], V$1)+SUMIFS(Table2[NewPointsHome],Table2[GameDate], "&lt;=" &amp; $A23, Table2[HomeTeam], V$1)</f>
        <v>0</v>
      </c>
      <c r="W23" s="145">
        <f>SUMIFS(Table2[NewPointsAway],Table2[GameDate], "&lt;=" &amp; $A23, Table2[AwayTeam], W$1)+SUMIFS(Table2[NewPointsHome],Table2[GameDate], "&lt;=" &amp; $A23, Table2[HomeTeam], W$1)</f>
        <v>2</v>
      </c>
      <c r="X23" s="145">
        <f>SUMIFS(Table2[NewPointsAway],Table2[GameDate], "&lt;=" &amp; $A23, Table2[AwayTeam], X$1)+SUMIFS(Table2[NewPointsHome],Table2[GameDate], "&lt;=" &amp; $A23, Table2[HomeTeam], X$1)</f>
        <v>0</v>
      </c>
      <c r="Y23" s="145">
        <f>SUMIFS(Table2[NewPointsAway],Table2[GameDate], "&lt;=" &amp; $A23, Table2[AwayTeam], Y$1)+SUMIFS(Table2[NewPointsHome],Table2[GameDate], "&lt;=" &amp; $A23, Table2[HomeTeam], Y$1)</f>
        <v>0</v>
      </c>
      <c r="Z23" s="145">
        <f>SUMIFS(Table2[NewPointsAway],Table2[GameDate], "&lt;=" &amp; $A23, Table2[AwayTeam], Z$1)+SUMIFS(Table2[NewPointsHome],Table2[GameDate], "&lt;=" &amp; $A23, Table2[HomeTeam], Z$1)</f>
        <v>0</v>
      </c>
      <c r="AA23" s="145">
        <f>SUMIFS(Table2[NewPointsAway],Table2[GameDate], "&lt;=" &amp; $A23, Table2[AwayTeam], AA$1)+SUMIFS(Table2[NewPointsHome],Table2[GameDate], "&lt;=" &amp; $A23, Table2[HomeTeam], AA$1)</f>
        <v>0</v>
      </c>
      <c r="AB23" s="145">
        <f>SUMIFS(Table2[NewPointsAway],Table2[GameDate], "&lt;=" &amp; $A23, Table2[AwayTeam], AB$1)+SUMIFS(Table2[NewPointsHome],Table2[GameDate], "&lt;=" &amp; $A23, Table2[HomeTeam], AB$1)</f>
        <v>2</v>
      </c>
      <c r="AC23" s="145">
        <f>SUMIFS(Table2[NewPointsAway],Table2[GameDate], "&lt;=" &amp; $A23, Table2[AwayTeam], AC$1)+SUMIFS(Table2[NewPointsHome],Table2[GameDate], "&lt;=" &amp; $A23, Table2[HomeTeam], AC$1)</f>
        <v>0</v>
      </c>
      <c r="AD23" s="145">
        <f>SUMIFS(Table2[NewPointsAway],Table2[GameDate], "&lt;=" &amp; $A23, Table2[AwayTeam], AD$1)+SUMIFS(Table2[NewPointsHome],Table2[GameDate], "&lt;=" &amp; $A23, Table2[HomeTeam], AD$1)</f>
        <v>0</v>
      </c>
      <c r="AE23" s="145">
        <f>SUMIFS(Table2[NewPointsAway],Table2[GameDate], "&lt;=" &amp; $A23, Table2[AwayTeam], AE$1)+SUMIFS(Table2[NewPointsHome],Table2[GameDate], "&lt;=" &amp; $A23, Table2[HomeTeam], AE$1)</f>
        <v>1</v>
      </c>
      <c r="AF23" s="145">
        <f>SUMIFS(Table2[NewPointsAway],Table2[GameDate], "&lt;=" &amp; $A23, Table2[AwayTeam], AF$1)+SUMIFS(Table2[NewPointsHome],Table2[GameDate], "&lt;=" &amp; $A23, Table2[HomeTeam], AF$1)</f>
        <v>0</v>
      </c>
      <c r="AG23" s="145">
        <f>SUMIFS(Table2[NewPointsAway],Table2[GameDate], "&lt;=" &amp; $A23, Table2[AwayTeam], AG$1)+SUMIFS(Table2[NewPointsHome],Table2[GameDate], "&lt;=" &amp; $A23, Table2[HomeTeam], AG$1)</f>
        <v>0</v>
      </c>
    </row>
    <row r="24" spans="1:33" x14ac:dyDescent="0.25">
      <c r="A24" s="3">
        <v>45955</v>
      </c>
      <c r="B24" s="145">
        <f>SUMIFS(Table2[NewPointsAway],Table2[GameDate], "&lt;=" &amp; $A24, Table2[AwayTeam], B$1)+SUMIFS(Table2[NewPointsHome],Table2[GameDate], "&lt;=" &amp; $A24, Table2[HomeTeam], B$1)</f>
        <v>0</v>
      </c>
      <c r="C24" s="145">
        <f>SUMIFS(Table2[NewPointsAway],Table2[GameDate], "&lt;=" &amp; $A24, Table2[AwayTeam], C$1)+SUMIFS(Table2[NewPointsHome],Table2[GameDate], "&lt;=" &amp; $A24, Table2[HomeTeam], C$1)</f>
        <v>2</v>
      </c>
      <c r="D24" s="145">
        <f>SUMIFS(Table2[NewPointsAway],Table2[GameDate], "&lt;=" &amp; $A24, Table2[AwayTeam], D$1)+SUMIFS(Table2[NewPointsHome],Table2[GameDate], "&lt;=" &amp; $A24, Table2[HomeTeam], D$1)</f>
        <v>0</v>
      </c>
      <c r="E24" s="145">
        <f>SUMIFS(Table2[NewPointsAway],Table2[GameDate], "&lt;=" &amp; $A24, Table2[AwayTeam], E$1)+SUMIFS(Table2[NewPointsHome],Table2[GameDate], "&lt;=" &amp; $A24, Table2[HomeTeam], E$1)</f>
        <v>0</v>
      </c>
      <c r="F24" s="145">
        <f>SUMIFS(Table2[NewPointsAway],Table2[GameDate], "&lt;=" &amp; $A24, Table2[AwayTeam], F$1)+SUMIFS(Table2[NewPointsHome],Table2[GameDate], "&lt;=" &amp; $A24, Table2[HomeTeam], F$1)</f>
        <v>0</v>
      </c>
      <c r="G24" s="145">
        <f>SUMIFS(Table2[NewPointsAway],Table2[GameDate], "&lt;=" &amp; $A24, Table2[AwayTeam], G$1)+SUMIFS(Table2[NewPointsHome],Table2[GameDate], "&lt;=" &amp; $A24, Table2[HomeTeam], G$1)</f>
        <v>2</v>
      </c>
      <c r="H24" s="145">
        <f>SUMIFS(Table2[NewPointsAway],Table2[GameDate], "&lt;=" &amp; $A24, Table2[AwayTeam], H$1)+SUMIFS(Table2[NewPointsHome],Table2[GameDate], "&lt;=" &amp; $A24, Table2[HomeTeam], H$1)</f>
        <v>0</v>
      </c>
      <c r="I24" s="145">
        <f>SUMIFS(Table2[NewPointsAway],Table2[GameDate], "&lt;=" &amp; $A24, Table2[AwayTeam], I$1)+SUMIFS(Table2[NewPointsHome],Table2[GameDate], "&lt;=" &amp; $A24, Table2[HomeTeam], I$1)</f>
        <v>2</v>
      </c>
      <c r="J24" s="145">
        <f>SUMIFS(Table2[NewPointsAway],Table2[GameDate], "&lt;=" &amp; $A24, Table2[AwayTeam], J$1)+SUMIFS(Table2[NewPointsHome],Table2[GameDate], "&lt;=" &amp; $A24, Table2[HomeTeam], J$1)</f>
        <v>0</v>
      </c>
      <c r="K24" s="145">
        <f>SUMIFS(Table2[NewPointsAway],Table2[GameDate], "&lt;=" &amp; $A24, Table2[AwayTeam], K$1)+SUMIFS(Table2[NewPointsHome],Table2[GameDate], "&lt;=" &amp; $A24, Table2[HomeTeam], K$1)</f>
        <v>0</v>
      </c>
      <c r="L24" s="145">
        <f>SUMIFS(Table2[NewPointsAway],Table2[GameDate], "&lt;=" &amp; $A24, Table2[AwayTeam], L$1)+SUMIFS(Table2[NewPointsHome],Table2[GameDate], "&lt;=" &amp; $A24, Table2[HomeTeam], L$1)</f>
        <v>1</v>
      </c>
      <c r="M24" s="145">
        <f>SUMIFS(Table2[NewPointsAway],Table2[GameDate], "&lt;=" &amp; $A24, Table2[AwayTeam], M$1)+SUMIFS(Table2[NewPointsHome],Table2[GameDate], "&lt;=" &amp; $A24, Table2[HomeTeam], M$1)</f>
        <v>2</v>
      </c>
      <c r="N24" s="145">
        <f>SUMIFS(Table2[NewPointsAway],Table2[GameDate], "&lt;=" &amp; $A24, Table2[AwayTeam], N$1)+SUMIFS(Table2[NewPointsHome],Table2[GameDate], "&lt;=" &amp; $A24, Table2[HomeTeam], N$1)</f>
        <v>2</v>
      </c>
      <c r="O24" s="145">
        <f>SUMIFS(Table2[NewPointsAway],Table2[GameDate], "&lt;=" &amp; $A24, Table2[AwayTeam], O$1)+SUMIFS(Table2[NewPointsHome],Table2[GameDate], "&lt;=" &amp; $A24, Table2[HomeTeam], O$1)</f>
        <v>0</v>
      </c>
      <c r="P24" s="145">
        <f>SUMIFS(Table2[NewPointsAway],Table2[GameDate], "&lt;=" &amp; $A24, Table2[AwayTeam], P$1)+SUMIFS(Table2[NewPointsHome],Table2[GameDate], "&lt;=" &amp; $A24, Table2[HomeTeam], P$1)</f>
        <v>0</v>
      </c>
      <c r="Q24" s="145">
        <f>SUMIFS(Table2[NewPointsAway],Table2[GameDate], "&lt;=" &amp; $A24, Table2[AwayTeam], Q$1)+SUMIFS(Table2[NewPointsHome],Table2[GameDate], "&lt;=" &amp; $A24, Table2[HomeTeam], Q$1)</f>
        <v>0</v>
      </c>
      <c r="R24" s="145">
        <f>SUMIFS(Table2[NewPointsAway],Table2[GameDate], "&lt;=" &amp; $A24, Table2[AwayTeam], R$1)+SUMIFS(Table2[NewPointsHome],Table2[GameDate], "&lt;=" &amp; $A24, Table2[HomeTeam], R$1)</f>
        <v>0</v>
      </c>
      <c r="S24" s="145">
        <f>SUMIFS(Table2[NewPointsAway],Table2[GameDate], "&lt;=" &amp; $A24, Table2[AwayTeam], S$1)+SUMIFS(Table2[NewPointsHome],Table2[GameDate], "&lt;=" &amp; $A24, Table2[HomeTeam], S$1)</f>
        <v>0</v>
      </c>
      <c r="T24" s="145">
        <f>SUMIFS(Table2[NewPointsAway],Table2[GameDate], "&lt;=" &amp; $A24, Table2[AwayTeam], T$1)+SUMIFS(Table2[NewPointsHome],Table2[GameDate], "&lt;=" &amp; $A24, Table2[HomeTeam], T$1)</f>
        <v>0</v>
      </c>
      <c r="U24" s="145">
        <f>SUMIFS(Table2[NewPointsAway],Table2[GameDate], "&lt;=" &amp; $A24, Table2[AwayTeam], U$1)+SUMIFS(Table2[NewPointsHome],Table2[GameDate], "&lt;=" &amp; $A24, Table2[HomeTeam], U$1)</f>
        <v>0</v>
      </c>
      <c r="V24" s="145">
        <f>SUMIFS(Table2[NewPointsAway],Table2[GameDate], "&lt;=" &amp; $A24, Table2[AwayTeam], V$1)+SUMIFS(Table2[NewPointsHome],Table2[GameDate], "&lt;=" &amp; $A24, Table2[HomeTeam], V$1)</f>
        <v>0</v>
      </c>
      <c r="W24" s="145">
        <f>SUMIFS(Table2[NewPointsAway],Table2[GameDate], "&lt;=" &amp; $A24, Table2[AwayTeam], W$1)+SUMIFS(Table2[NewPointsHome],Table2[GameDate], "&lt;=" &amp; $A24, Table2[HomeTeam], W$1)</f>
        <v>2</v>
      </c>
      <c r="X24" s="145">
        <f>SUMIFS(Table2[NewPointsAway],Table2[GameDate], "&lt;=" &amp; $A24, Table2[AwayTeam], X$1)+SUMIFS(Table2[NewPointsHome],Table2[GameDate], "&lt;=" &amp; $A24, Table2[HomeTeam], X$1)</f>
        <v>0</v>
      </c>
      <c r="Y24" s="145">
        <f>SUMIFS(Table2[NewPointsAway],Table2[GameDate], "&lt;=" &amp; $A24, Table2[AwayTeam], Y$1)+SUMIFS(Table2[NewPointsHome],Table2[GameDate], "&lt;=" &amp; $A24, Table2[HomeTeam], Y$1)</f>
        <v>0</v>
      </c>
      <c r="Z24" s="145">
        <f>SUMIFS(Table2[NewPointsAway],Table2[GameDate], "&lt;=" &amp; $A24, Table2[AwayTeam], Z$1)+SUMIFS(Table2[NewPointsHome],Table2[GameDate], "&lt;=" &amp; $A24, Table2[HomeTeam], Z$1)</f>
        <v>0</v>
      </c>
      <c r="AA24" s="145">
        <f>SUMIFS(Table2[NewPointsAway],Table2[GameDate], "&lt;=" &amp; $A24, Table2[AwayTeam], AA$1)+SUMIFS(Table2[NewPointsHome],Table2[GameDate], "&lt;=" &amp; $A24, Table2[HomeTeam], AA$1)</f>
        <v>0</v>
      </c>
      <c r="AB24" s="145">
        <f>SUMIFS(Table2[NewPointsAway],Table2[GameDate], "&lt;=" &amp; $A24, Table2[AwayTeam], AB$1)+SUMIFS(Table2[NewPointsHome],Table2[GameDate], "&lt;=" &amp; $A24, Table2[HomeTeam], AB$1)</f>
        <v>2</v>
      </c>
      <c r="AC24" s="145">
        <f>SUMIFS(Table2[NewPointsAway],Table2[GameDate], "&lt;=" &amp; $A24, Table2[AwayTeam], AC$1)+SUMIFS(Table2[NewPointsHome],Table2[GameDate], "&lt;=" &amp; $A24, Table2[HomeTeam], AC$1)</f>
        <v>0</v>
      </c>
      <c r="AD24" s="145">
        <f>SUMIFS(Table2[NewPointsAway],Table2[GameDate], "&lt;=" &amp; $A24, Table2[AwayTeam], AD$1)+SUMIFS(Table2[NewPointsHome],Table2[GameDate], "&lt;=" &amp; $A24, Table2[HomeTeam], AD$1)</f>
        <v>0</v>
      </c>
      <c r="AE24" s="145">
        <f>SUMIFS(Table2[NewPointsAway],Table2[GameDate], "&lt;=" &amp; $A24, Table2[AwayTeam], AE$1)+SUMIFS(Table2[NewPointsHome],Table2[GameDate], "&lt;=" &amp; $A24, Table2[HomeTeam], AE$1)</f>
        <v>1</v>
      </c>
      <c r="AF24" s="145">
        <f>SUMIFS(Table2[NewPointsAway],Table2[GameDate], "&lt;=" &amp; $A24, Table2[AwayTeam], AF$1)+SUMIFS(Table2[NewPointsHome],Table2[GameDate], "&lt;=" &amp; $A24, Table2[HomeTeam], AF$1)</f>
        <v>0</v>
      </c>
      <c r="AG24" s="145">
        <f>SUMIFS(Table2[NewPointsAway],Table2[GameDate], "&lt;=" &amp; $A24, Table2[AwayTeam], AG$1)+SUMIFS(Table2[NewPointsHome],Table2[GameDate], "&lt;=" &amp; $A24, Table2[HomeTeam], AG$1)</f>
        <v>0</v>
      </c>
    </row>
    <row r="25" spans="1:33" x14ac:dyDescent="0.25">
      <c r="A25" s="3">
        <v>45956</v>
      </c>
      <c r="B25" s="145">
        <f>SUMIFS(Table2[NewPointsAway],Table2[GameDate], "&lt;=" &amp; $A25, Table2[AwayTeam], B$1)+SUMIFS(Table2[NewPointsHome],Table2[GameDate], "&lt;=" &amp; $A25, Table2[HomeTeam], B$1)</f>
        <v>0</v>
      </c>
      <c r="C25" s="145">
        <f>SUMIFS(Table2[NewPointsAway],Table2[GameDate], "&lt;=" &amp; $A25, Table2[AwayTeam], C$1)+SUMIFS(Table2[NewPointsHome],Table2[GameDate], "&lt;=" &amp; $A25, Table2[HomeTeam], C$1)</f>
        <v>2</v>
      </c>
      <c r="D25" s="145">
        <f>SUMIFS(Table2[NewPointsAway],Table2[GameDate], "&lt;=" &amp; $A25, Table2[AwayTeam], D$1)+SUMIFS(Table2[NewPointsHome],Table2[GameDate], "&lt;=" &amp; $A25, Table2[HomeTeam], D$1)</f>
        <v>0</v>
      </c>
      <c r="E25" s="145">
        <f>SUMIFS(Table2[NewPointsAway],Table2[GameDate], "&lt;=" &amp; $A25, Table2[AwayTeam], E$1)+SUMIFS(Table2[NewPointsHome],Table2[GameDate], "&lt;=" &amp; $A25, Table2[HomeTeam], E$1)</f>
        <v>0</v>
      </c>
      <c r="F25" s="145">
        <f>SUMIFS(Table2[NewPointsAway],Table2[GameDate], "&lt;=" &amp; $A25, Table2[AwayTeam], F$1)+SUMIFS(Table2[NewPointsHome],Table2[GameDate], "&lt;=" &amp; $A25, Table2[HomeTeam], F$1)</f>
        <v>0</v>
      </c>
      <c r="G25" s="145">
        <f>SUMIFS(Table2[NewPointsAway],Table2[GameDate], "&lt;=" &amp; $A25, Table2[AwayTeam], G$1)+SUMIFS(Table2[NewPointsHome],Table2[GameDate], "&lt;=" &amp; $A25, Table2[HomeTeam], G$1)</f>
        <v>2</v>
      </c>
      <c r="H25" s="145">
        <f>SUMIFS(Table2[NewPointsAway],Table2[GameDate], "&lt;=" &amp; $A25, Table2[AwayTeam], H$1)+SUMIFS(Table2[NewPointsHome],Table2[GameDate], "&lt;=" &amp; $A25, Table2[HomeTeam], H$1)</f>
        <v>0</v>
      </c>
      <c r="I25" s="145">
        <f>SUMIFS(Table2[NewPointsAway],Table2[GameDate], "&lt;=" &amp; $A25, Table2[AwayTeam], I$1)+SUMIFS(Table2[NewPointsHome],Table2[GameDate], "&lt;=" &amp; $A25, Table2[HomeTeam], I$1)</f>
        <v>2</v>
      </c>
      <c r="J25" s="145">
        <f>SUMIFS(Table2[NewPointsAway],Table2[GameDate], "&lt;=" &amp; $A25, Table2[AwayTeam], J$1)+SUMIFS(Table2[NewPointsHome],Table2[GameDate], "&lt;=" &amp; $A25, Table2[HomeTeam], J$1)</f>
        <v>0</v>
      </c>
      <c r="K25" s="145">
        <f>SUMIFS(Table2[NewPointsAway],Table2[GameDate], "&lt;=" &amp; $A25, Table2[AwayTeam], K$1)+SUMIFS(Table2[NewPointsHome],Table2[GameDate], "&lt;=" &amp; $A25, Table2[HomeTeam], K$1)</f>
        <v>0</v>
      </c>
      <c r="L25" s="145">
        <f>SUMIFS(Table2[NewPointsAway],Table2[GameDate], "&lt;=" &amp; $A25, Table2[AwayTeam], L$1)+SUMIFS(Table2[NewPointsHome],Table2[GameDate], "&lt;=" &amp; $A25, Table2[HomeTeam], L$1)</f>
        <v>1</v>
      </c>
      <c r="M25" s="145">
        <f>SUMIFS(Table2[NewPointsAway],Table2[GameDate], "&lt;=" &amp; $A25, Table2[AwayTeam], M$1)+SUMIFS(Table2[NewPointsHome],Table2[GameDate], "&lt;=" &amp; $A25, Table2[HomeTeam], M$1)</f>
        <v>2</v>
      </c>
      <c r="N25" s="145">
        <f>SUMIFS(Table2[NewPointsAway],Table2[GameDate], "&lt;=" &amp; $A25, Table2[AwayTeam], N$1)+SUMIFS(Table2[NewPointsHome],Table2[GameDate], "&lt;=" &amp; $A25, Table2[HomeTeam], N$1)</f>
        <v>2</v>
      </c>
      <c r="O25" s="145">
        <f>SUMIFS(Table2[NewPointsAway],Table2[GameDate], "&lt;=" &amp; $A25, Table2[AwayTeam], O$1)+SUMIFS(Table2[NewPointsHome],Table2[GameDate], "&lt;=" &amp; $A25, Table2[HomeTeam], O$1)</f>
        <v>0</v>
      </c>
      <c r="P25" s="145">
        <f>SUMIFS(Table2[NewPointsAway],Table2[GameDate], "&lt;=" &amp; $A25, Table2[AwayTeam], P$1)+SUMIFS(Table2[NewPointsHome],Table2[GameDate], "&lt;=" &amp; $A25, Table2[HomeTeam], P$1)</f>
        <v>0</v>
      </c>
      <c r="Q25" s="145">
        <f>SUMIFS(Table2[NewPointsAway],Table2[GameDate], "&lt;=" &amp; $A25, Table2[AwayTeam], Q$1)+SUMIFS(Table2[NewPointsHome],Table2[GameDate], "&lt;=" &amp; $A25, Table2[HomeTeam], Q$1)</f>
        <v>0</v>
      </c>
      <c r="R25" s="145">
        <f>SUMIFS(Table2[NewPointsAway],Table2[GameDate], "&lt;=" &amp; $A25, Table2[AwayTeam], R$1)+SUMIFS(Table2[NewPointsHome],Table2[GameDate], "&lt;=" &amp; $A25, Table2[HomeTeam], R$1)</f>
        <v>0</v>
      </c>
      <c r="S25" s="145">
        <f>SUMIFS(Table2[NewPointsAway],Table2[GameDate], "&lt;=" &amp; $A25, Table2[AwayTeam], S$1)+SUMIFS(Table2[NewPointsHome],Table2[GameDate], "&lt;=" &amp; $A25, Table2[HomeTeam], S$1)</f>
        <v>0</v>
      </c>
      <c r="T25" s="145">
        <f>SUMIFS(Table2[NewPointsAway],Table2[GameDate], "&lt;=" &amp; $A25, Table2[AwayTeam], T$1)+SUMIFS(Table2[NewPointsHome],Table2[GameDate], "&lt;=" &amp; $A25, Table2[HomeTeam], T$1)</f>
        <v>0</v>
      </c>
      <c r="U25" s="145">
        <f>SUMIFS(Table2[NewPointsAway],Table2[GameDate], "&lt;=" &amp; $A25, Table2[AwayTeam], U$1)+SUMIFS(Table2[NewPointsHome],Table2[GameDate], "&lt;=" &amp; $A25, Table2[HomeTeam], U$1)</f>
        <v>0</v>
      </c>
      <c r="V25" s="145">
        <f>SUMIFS(Table2[NewPointsAway],Table2[GameDate], "&lt;=" &amp; $A25, Table2[AwayTeam], V$1)+SUMIFS(Table2[NewPointsHome],Table2[GameDate], "&lt;=" &amp; $A25, Table2[HomeTeam], V$1)</f>
        <v>0</v>
      </c>
      <c r="W25" s="145">
        <f>SUMIFS(Table2[NewPointsAway],Table2[GameDate], "&lt;=" &amp; $A25, Table2[AwayTeam], W$1)+SUMIFS(Table2[NewPointsHome],Table2[GameDate], "&lt;=" &amp; $A25, Table2[HomeTeam], W$1)</f>
        <v>2</v>
      </c>
      <c r="X25" s="145">
        <f>SUMIFS(Table2[NewPointsAway],Table2[GameDate], "&lt;=" &amp; $A25, Table2[AwayTeam], X$1)+SUMIFS(Table2[NewPointsHome],Table2[GameDate], "&lt;=" &amp; $A25, Table2[HomeTeam], X$1)</f>
        <v>0</v>
      </c>
      <c r="Y25" s="145">
        <f>SUMIFS(Table2[NewPointsAway],Table2[GameDate], "&lt;=" &amp; $A25, Table2[AwayTeam], Y$1)+SUMIFS(Table2[NewPointsHome],Table2[GameDate], "&lt;=" &amp; $A25, Table2[HomeTeam], Y$1)</f>
        <v>0</v>
      </c>
      <c r="Z25" s="145">
        <f>SUMIFS(Table2[NewPointsAway],Table2[GameDate], "&lt;=" &amp; $A25, Table2[AwayTeam], Z$1)+SUMIFS(Table2[NewPointsHome],Table2[GameDate], "&lt;=" &amp; $A25, Table2[HomeTeam], Z$1)</f>
        <v>0</v>
      </c>
      <c r="AA25" s="145">
        <f>SUMIFS(Table2[NewPointsAway],Table2[GameDate], "&lt;=" &amp; $A25, Table2[AwayTeam], AA$1)+SUMIFS(Table2[NewPointsHome],Table2[GameDate], "&lt;=" &amp; $A25, Table2[HomeTeam], AA$1)</f>
        <v>0</v>
      </c>
      <c r="AB25" s="145">
        <f>SUMIFS(Table2[NewPointsAway],Table2[GameDate], "&lt;=" &amp; $A25, Table2[AwayTeam], AB$1)+SUMIFS(Table2[NewPointsHome],Table2[GameDate], "&lt;=" &amp; $A25, Table2[HomeTeam], AB$1)</f>
        <v>2</v>
      </c>
      <c r="AC25" s="145">
        <f>SUMIFS(Table2[NewPointsAway],Table2[GameDate], "&lt;=" &amp; $A25, Table2[AwayTeam], AC$1)+SUMIFS(Table2[NewPointsHome],Table2[GameDate], "&lt;=" &amp; $A25, Table2[HomeTeam], AC$1)</f>
        <v>0</v>
      </c>
      <c r="AD25" s="145">
        <f>SUMIFS(Table2[NewPointsAway],Table2[GameDate], "&lt;=" &amp; $A25, Table2[AwayTeam], AD$1)+SUMIFS(Table2[NewPointsHome],Table2[GameDate], "&lt;=" &amp; $A25, Table2[HomeTeam], AD$1)</f>
        <v>0</v>
      </c>
      <c r="AE25" s="145">
        <f>SUMIFS(Table2[NewPointsAway],Table2[GameDate], "&lt;=" &amp; $A25, Table2[AwayTeam], AE$1)+SUMIFS(Table2[NewPointsHome],Table2[GameDate], "&lt;=" &amp; $A25, Table2[HomeTeam], AE$1)</f>
        <v>1</v>
      </c>
      <c r="AF25" s="145">
        <f>SUMIFS(Table2[NewPointsAway],Table2[GameDate], "&lt;=" &amp; $A25, Table2[AwayTeam], AF$1)+SUMIFS(Table2[NewPointsHome],Table2[GameDate], "&lt;=" &amp; $A25, Table2[HomeTeam], AF$1)</f>
        <v>0</v>
      </c>
      <c r="AG25" s="145">
        <f>SUMIFS(Table2[NewPointsAway],Table2[GameDate], "&lt;=" &amp; $A25, Table2[AwayTeam], AG$1)+SUMIFS(Table2[NewPointsHome],Table2[GameDate], "&lt;=" &amp; $A25, Table2[HomeTeam], AG$1)</f>
        <v>0</v>
      </c>
    </row>
    <row r="26" spans="1:33" x14ac:dyDescent="0.25">
      <c r="A26" s="3">
        <v>45957</v>
      </c>
      <c r="B26" s="145">
        <f>SUMIFS(Table2[NewPointsAway],Table2[GameDate], "&lt;=" &amp; $A26, Table2[AwayTeam], B$1)+SUMIFS(Table2[NewPointsHome],Table2[GameDate], "&lt;=" &amp; $A26, Table2[HomeTeam], B$1)</f>
        <v>0</v>
      </c>
      <c r="C26" s="145">
        <f>SUMIFS(Table2[NewPointsAway],Table2[GameDate], "&lt;=" &amp; $A26, Table2[AwayTeam], C$1)+SUMIFS(Table2[NewPointsHome],Table2[GameDate], "&lt;=" &amp; $A26, Table2[HomeTeam], C$1)</f>
        <v>2</v>
      </c>
      <c r="D26" s="145">
        <f>SUMIFS(Table2[NewPointsAway],Table2[GameDate], "&lt;=" &amp; $A26, Table2[AwayTeam], D$1)+SUMIFS(Table2[NewPointsHome],Table2[GameDate], "&lt;=" &amp; $A26, Table2[HomeTeam], D$1)</f>
        <v>0</v>
      </c>
      <c r="E26" s="145">
        <f>SUMIFS(Table2[NewPointsAway],Table2[GameDate], "&lt;=" &amp; $A26, Table2[AwayTeam], E$1)+SUMIFS(Table2[NewPointsHome],Table2[GameDate], "&lt;=" &amp; $A26, Table2[HomeTeam], E$1)</f>
        <v>0</v>
      </c>
      <c r="F26" s="145">
        <f>SUMIFS(Table2[NewPointsAway],Table2[GameDate], "&lt;=" &amp; $A26, Table2[AwayTeam], F$1)+SUMIFS(Table2[NewPointsHome],Table2[GameDate], "&lt;=" &amp; $A26, Table2[HomeTeam], F$1)</f>
        <v>0</v>
      </c>
      <c r="G26" s="145">
        <f>SUMIFS(Table2[NewPointsAway],Table2[GameDate], "&lt;=" &amp; $A26, Table2[AwayTeam], G$1)+SUMIFS(Table2[NewPointsHome],Table2[GameDate], "&lt;=" &amp; $A26, Table2[HomeTeam], G$1)</f>
        <v>2</v>
      </c>
      <c r="H26" s="145">
        <f>SUMIFS(Table2[NewPointsAway],Table2[GameDate], "&lt;=" &amp; $A26, Table2[AwayTeam], H$1)+SUMIFS(Table2[NewPointsHome],Table2[GameDate], "&lt;=" &amp; $A26, Table2[HomeTeam], H$1)</f>
        <v>0</v>
      </c>
      <c r="I26" s="145">
        <f>SUMIFS(Table2[NewPointsAway],Table2[GameDate], "&lt;=" &amp; $A26, Table2[AwayTeam], I$1)+SUMIFS(Table2[NewPointsHome],Table2[GameDate], "&lt;=" &amp; $A26, Table2[HomeTeam], I$1)</f>
        <v>2</v>
      </c>
      <c r="J26" s="145">
        <f>SUMIFS(Table2[NewPointsAway],Table2[GameDate], "&lt;=" &amp; $A26, Table2[AwayTeam], J$1)+SUMIFS(Table2[NewPointsHome],Table2[GameDate], "&lt;=" &amp; $A26, Table2[HomeTeam], J$1)</f>
        <v>0</v>
      </c>
      <c r="K26" s="145">
        <f>SUMIFS(Table2[NewPointsAway],Table2[GameDate], "&lt;=" &amp; $A26, Table2[AwayTeam], K$1)+SUMIFS(Table2[NewPointsHome],Table2[GameDate], "&lt;=" &amp; $A26, Table2[HomeTeam], K$1)</f>
        <v>0</v>
      </c>
      <c r="L26" s="145">
        <f>SUMIFS(Table2[NewPointsAway],Table2[GameDate], "&lt;=" &amp; $A26, Table2[AwayTeam], L$1)+SUMIFS(Table2[NewPointsHome],Table2[GameDate], "&lt;=" &amp; $A26, Table2[HomeTeam], L$1)</f>
        <v>1</v>
      </c>
      <c r="M26" s="145">
        <f>SUMIFS(Table2[NewPointsAway],Table2[GameDate], "&lt;=" &amp; $A26, Table2[AwayTeam], M$1)+SUMIFS(Table2[NewPointsHome],Table2[GameDate], "&lt;=" &amp; $A26, Table2[HomeTeam], M$1)</f>
        <v>2</v>
      </c>
      <c r="N26" s="145">
        <f>SUMIFS(Table2[NewPointsAway],Table2[GameDate], "&lt;=" &amp; $A26, Table2[AwayTeam], N$1)+SUMIFS(Table2[NewPointsHome],Table2[GameDate], "&lt;=" &amp; $A26, Table2[HomeTeam], N$1)</f>
        <v>2</v>
      </c>
      <c r="O26" s="145">
        <f>SUMIFS(Table2[NewPointsAway],Table2[GameDate], "&lt;=" &amp; $A26, Table2[AwayTeam], O$1)+SUMIFS(Table2[NewPointsHome],Table2[GameDate], "&lt;=" &amp; $A26, Table2[HomeTeam], O$1)</f>
        <v>0</v>
      </c>
      <c r="P26" s="145">
        <f>SUMIFS(Table2[NewPointsAway],Table2[GameDate], "&lt;=" &amp; $A26, Table2[AwayTeam], P$1)+SUMIFS(Table2[NewPointsHome],Table2[GameDate], "&lt;=" &amp; $A26, Table2[HomeTeam], P$1)</f>
        <v>0</v>
      </c>
      <c r="Q26" s="145">
        <f>SUMIFS(Table2[NewPointsAway],Table2[GameDate], "&lt;=" &amp; $A26, Table2[AwayTeam], Q$1)+SUMIFS(Table2[NewPointsHome],Table2[GameDate], "&lt;=" &amp; $A26, Table2[HomeTeam], Q$1)</f>
        <v>0</v>
      </c>
      <c r="R26" s="145">
        <f>SUMIFS(Table2[NewPointsAway],Table2[GameDate], "&lt;=" &amp; $A26, Table2[AwayTeam], R$1)+SUMIFS(Table2[NewPointsHome],Table2[GameDate], "&lt;=" &amp; $A26, Table2[HomeTeam], R$1)</f>
        <v>0</v>
      </c>
      <c r="S26" s="145">
        <f>SUMIFS(Table2[NewPointsAway],Table2[GameDate], "&lt;=" &amp; $A26, Table2[AwayTeam], S$1)+SUMIFS(Table2[NewPointsHome],Table2[GameDate], "&lt;=" &amp; $A26, Table2[HomeTeam], S$1)</f>
        <v>0</v>
      </c>
      <c r="T26" s="145">
        <f>SUMIFS(Table2[NewPointsAway],Table2[GameDate], "&lt;=" &amp; $A26, Table2[AwayTeam], T$1)+SUMIFS(Table2[NewPointsHome],Table2[GameDate], "&lt;=" &amp; $A26, Table2[HomeTeam], T$1)</f>
        <v>0</v>
      </c>
      <c r="U26" s="145">
        <f>SUMIFS(Table2[NewPointsAway],Table2[GameDate], "&lt;=" &amp; $A26, Table2[AwayTeam], U$1)+SUMIFS(Table2[NewPointsHome],Table2[GameDate], "&lt;=" &amp; $A26, Table2[HomeTeam], U$1)</f>
        <v>0</v>
      </c>
      <c r="V26" s="145">
        <f>SUMIFS(Table2[NewPointsAway],Table2[GameDate], "&lt;=" &amp; $A26, Table2[AwayTeam], V$1)+SUMIFS(Table2[NewPointsHome],Table2[GameDate], "&lt;=" &amp; $A26, Table2[HomeTeam], V$1)</f>
        <v>0</v>
      </c>
      <c r="W26" s="145">
        <f>SUMIFS(Table2[NewPointsAway],Table2[GameDate], "&lt;=" &amp; $A26, Table2[AwayTeam], W$1)+SUMIFS(Table2[NewPointsHome],Table2[GameDate], "&lt;=" &amp; $A26, Table2[HomeTeam], W$1)</f>
        <v>2</v>
      </c>
      <c r="X26" s="145">
        <f>SUMIFS(Table2[NewPointsAway],Table2[GameDate], "&lt;=" &amp; $A26, Table2[AwayTeam], X$1)+SUMIFS(Table2[NewPointsHome],Table2[GameDate], "&lt;=" &amp; $A26, Table2[HomeTeam], X$1)</f>
        <v>0</v>
      </c>
      <c r="Y26" s="145">
        <f>SUMIFS(Table2[NewPointsAway],Table2[GameDate], "&lt;=" &amp; $A26, Table2[AwayTeam], Y$1)+SUMIFS(Table2[NewPointsHome],Table2[GameDate], "&lt;=" &amp; $A26, Table2[HomeTeam], Y$1)</f>
        <v>0</v>
      </c>
      <c r="Z26" s="145">
        <f>SUMIFS(Table2[NewPointsAway],Table2[GameDate], "&lt;=" &amp; $A26, Table2[AwayTeam], Z$1)+SUMIFS(Table2[NewPointsHome],Table2[GameDate], "&lt;=" &amp; $A26, Table2[HomeTeam], Z$1)</f>
        <v>0</v>
      </c>
      <c r="AA26" s="145">
        <f>SUMIFS(Table2[NewPointsAway],Table2[GameDate], "&lt;=" &amp; $A26, Table2[AwayTeam], AA$1)+SUMIFS(Table2[NewPointsHome],Table2[GameDate], "&lt;=" &amp; $A26, Table2[HomeTeam], AA$1)</f>
        <v>0</v>
      </c>
      <c r="AB26" s="145">
        <f>SUMIFS(Table2[NewPointsAway],Table2[GameDate], "&lt;=" &amp; $A26, Table2[AwayTeam], AB$1)+SUMIFS(Table2[NewPointsHome],Table2[GameDate], "&lt;=" &amp; $A26, Table2[HomeTeam], AB$1)</f>
        <v>2</v>
      </c>
      <c r="AC26" s="145">
        <f>SUMIFS(Table2[NewPointsAway],Table2[GameDate], "&lt;=" &amp; $A26, Table2[AwayTeam], AC$1)+SUMIFS(Table2[NewPointsHome],Table2[GameDate], "&lt;=" &amp; $A26, Table2[HomeTeam], AC$1)</f>
        <v>0</v>
      </c>
      <c r="AD26" s="145">
        <f>SUMIFS(Table2[NewPointsAway],Table2[GameDate], "&lt;=" &amp; $A26, Table2[AwayTeam], AD$1)+SUMIFS(Table2[NewPointsHome],Table2[GameDate], "&lt;=" &amp; $A26, Table2[HomeTeam], AD$1)</f>
        <v>0</v>
      </c>
      <c r="AE26" s="145">
        <f>SUMIFS(Table2[NewPointsAway],Table2[GameDate], "&lt;=" &amp; $A26, Table2[AwayTeam], AE$1)+SUMIFS(Table2[NewPointsHome],Table2[GameDate], "&lt;=" &amp; $A26, Table2[HomeTeam], AE$1)</f>
        <v>1</v>
      </c>
      <c r="AF26" s="145">
        <f>SUMIFS(Table2[NewPointsAway],Table2[GameDate], "&lt;=" &amp; $A26, Table2[AwayTeam], AF$1)+SUMIFS(Table2[NewPointsHome],Table2[GameDate], "&lt;=" &amp; $A26, Table2[HomeTeam], AF$1)</f>
        <v>0</v>
      </c>
      <c r="AG26" s="145">
        <f>SUMIFS(Table2[NewPointsAway],Table2[GameDate], "&lt;=" &amp; $A26, Table2[AwayTeam], AG$1)+SUMIFS(Table2[NewPointsHome],Table2[GameDate], "&lt;=" &amp; $A26, Table2[HomeTeam], AG$1)</f>
        <v>0</v>
      </c>
    </row>
    <row r="27" spans="1:33" x14ac:dyDescent="0.25">
      <c r="A27" s="3">
        <v>45958</v>
      </c>
      <c r="B27" s="145">
        <f>SUMIFS(Table2[NewPointsAway],Table2[GameDate], "&lt;=" &amp; $A27, Table2[AwayTeam], B$1)+SUMIFS(Table2[NewPointsHome],Table2[GameDate], "&lt;=" &amp; $A27, Table2[HomeTeam], B$1)</f>
        <v>0</v>
      </c>
      <c r="C27" s="145">
        <f>SUMIFS(Table2[NewPointsAway],Table2[GameDate], "&lt;=" &amp; $A27, Table2[AwayTeam], C$1)+SUMIFS(Table2[NewPointsHome],Table2[GameDate], "&lt;=" &amp; $A27, Table2[HomeTeam], C$1)</f>
        <v>2</v>
      </c>
      <c r="D27" s="145">
        <f>SUMIFS(Table2[NewPointsAway],Table2[GameDate], "&lt;=" &amp; $A27, Table2[AwayTeam], D$1)+SUMIFS(Table2[NewPointsHome],Table2[GameDate], "&lt;=" &amp; $A27, Table2[HomeTeam], D$1)</f>
        <v>0</v>
      </c>
      <c r="E27" s="145">
        <f>SUMIFS(Table2[NewPointsAway],Table2[GameDate], "&lt;=" &amp; $A27, Table2[AwayTeam], E$1)+SUMIFS(Table2[NewPointsHome],Table2[GameDate], "&lt;=" &amp; $A27, Table2[HomeTeam], E$1)</f>
        <v>0</v>
      </c>
      <c r="F27" s="145">
        <f>SUMIFS(Table2[NewPointsAway],Table2[GameDate], "&lt;=" &amp; $A27, Table2[AwayTeam], F$1)+SUMIFS(Table2[NewPointsHome],Table2[GameDate], "&lt;=" &amp; $A27, Table2[HomeTeam], F$1)</f>
        <v>0</v>
      </c>
      <c r="G27" s="145">
        <f>SUMIFS(Table2[NewPointsAway],Table2[GameDate], "&lt;=" &amp; $A27, Table2[AwayTeam], G$1)+SUMIFS(Table2[NewPointsHome],Table2[GameDate], "&lt;=" &amp; $A27, Table2[HomeTeam], G$1)</f>
        <v>2</v>
      </c>
      <c r="H27" s="145">
        <f>SUMIFS(Table2[NewPointsAway],Table2[GameDate], "&lt;=" &amp; $A27, Table2[AwayTeam], H$1)+SUMIFS(Table2[NewPointsHome],Table2[GameDate], "&lt;=" &amp; $A27, Table2[HomeTeam], H$1)</f>
        <v>0</v>
      </c>
      <c r="I27" s="145">
        <f>SUMIFS(Table2[NewPointsAway],Table2[GameDate], "&lt;=" &amp; $A27, Table2[AwayTeam], I$1)+SUMIFS(Table2[NewPointsHome],Table2[GameDate], "&lt;=" &amp; $A27, Table2[HomeTeam], I$1)</f>
        <v>2</v>
      </c>
      <c r="J27" s="145">
        <f>SUMIFS(Table2[NewPointsAway],Table2[GameDate], "&lt;=" &amp; $A27, Table2[AwayTeam], J$1)+SUMIFS(Table2[NewPointsHome],Table2[GameDate], "&lt;=" &amp; $A27, Table2[HomeTeam], J$1)</f>
        <v>0</v>
      </c>
      <c r="K27" s="145">
        <f>SUMIFS(Table2[NewPointsAway],Table2[GameDate], "&lt;=" &amp; $A27, Table2[AwayTeam], K$1)+SUMIFS(Table2[NewPointsHome],Table2[GameDate], "&lt;=" &amp; $A27, Table2[HomeTeam], K$1)</f>
        <v>0</v>
      </c>
      <c r="L27" s="145">
        <f>SUMIFS(Table2[NewPointsAway],Table2[GameDate], "&lt;=" &amp; $A27, Table2[AwayTeam], L$1)+SUMIFS(Table2[NewPointsHome],Table2[GameDate], "&lt;=" &amp; $A27, Table2[HomeTeam], L$1)</f>
        <v>1</v>
      </c>
      <c r="M27" s="145">
        <f>SUMIFS(Table2[NewPointsAway],Table2[GameDate], "&lt;=" &amp; $A27, Table2[AwayTeam], M$1)+SUMIFS(Table2[NewPointsHome],Table2[GameDate], "&lt;=" &amp; $A27, Table2[HomeTeam], M$1)</f>
        <v>2</v>
      </c>
      <c r="N27" s="145">
        <f>SUMIFS(Table2[NewPointsAway],Table2[GameDate], "&lt;=" &amp; $A27, Table2[AwayTeam], N$1)+SUMIFS(Table2[NewPointsHome],Table2[GameDate], "&lt;=" &amp; $A27, Table2[HomeTeam], N$1)</f>
        <v>2</v>
      </c>
      <c r="O27" s="145">
        <f>SUMIFS(Table2[NewPointsAway],Table2[GameDate], "&lt;=" &amp; $A27, Table2[AwayTeam], O$1)+SUMIFS(Table2[NewPointsHome],Table2[GameDate], "&lt;=" &amp; $A27, Table2[HomeTeam], O$1)</f>
        <v>0</v>
      </c>
      <c r="P27" s="145">
        <f>SUMIFS(Table2[NewPointsAway],Table2[GameDate], "&lt;=" &amp; $A27, Table2[AwayTeam], P$1)+SUMIFS(Table2[NewPointsHome],Table2[GameDate], "&lt;=" &amp; $A27, Table2[HomeTeam], P$1)</f>
        <v>0</v>
      </c>
      <c r="Q27" s="145">
        <f>SUMIFS(Table2[NewPointsAway],Table2[GameDate], "&lt;=" &amp; $A27, Table2[AwayTeam], Q$1)+SUMIFS(Table2[NewPointsHome],Table2[GameDate], "&lt;=" &amp; $A27, Table2[HomeTeam], Q$1)</f>
        <v>0</v>
      </c>
      <c r="R27" s="145">
        <f>SUMIFS(Table2[NewPointsAway],Table2[GameDate], "&lt;=" &amp; $A27, Table2[AwayTeam], R$1)+SUMIFS(Table2[NewPointsHome],Table2[GameDate], "&lt;=" &amp; $A27, Table2[HomeTeam], R$1)</f>
        <v>0</v>
      </c>
      <c r="S27" s="145">
        <f>SUMIFS(Table2[NewPointsAway],Table2[GameDate], "&lt;=" &amp; $A27, Table2[AwayTeam], S$1)+SUMIFS(Table2[NewPointsHome],Table2[GameDate], "&lt;=" &amp; $A27, Table2[HomeTeam], S$1)</f>
        <v>0</v>
      </c>
      <c r="T27" s="145">
        <f>SUMIFS(Table2[NewPointsAway],Table2[GameDate], "&lt;=" &amp; $A27, Table2[AwayTeam], T$1)+SUMIFS(Table2[NewPointsHome],Table2[GameDate], "&lt;=" &amp; $A27, Table2[HomeTeam], T$1)</f>
        <v>0</v>
      </c>
      <c r="U27" s="145">
        <f>SUMIFS(Table2[NewPointsAway],Table2[GameDate], "&lt;=" &amp; $A27, Table2[AwayTeam], U$1)+SUMIFS(Table2[NewPointsHome],Table2[GameDate], "&lt;=" &amp; $A27, Table2[HomeTeam], U$1)</f>
        <v>0</v>
      </c>
      <c r="V27" s="145">
        <f>SUMIFS(Table2[NewPointsAway],Table2[GameDate], "&lt;=" &amp; $A27, Table2[AwayTeam], V$1)+SUMIFS(Table2[NewPointsHome],Table2[GameDate], "&lt;=" &amp; $A27, Table2[HomeTeam], V$1)</f>
        <v>0</v>
      </c>
      <c r="W27" s="145">
        <f>SUMIFS(Table2[NewPointsAway],Table2[GameDate], "&lt;=" &amp; $A27, Table2[AwayTeam], W$1)+SUMIFS(Table2[NewPointsHome],Table2[GameDate], "&lt;=" &amp; $A27, Table2[HomeTeam], W$1)</f>
        <v>2</v>
      </c>
      <c r="X27" s="145">
        <f>SUMIFS(Table2[NewPointsAway],Table2[GameDate], "&lt;=" &amp; $A27, Table2[AwayTeam], X$1)+SUMIFS(Table2[NewPointsHome],Table2[GameDate], "&lt;=" &amp; $A27, Table2[HomeTeam], X$1)</f>
        <v>0</v>
      </c>
      <c r="Y27" s="145">
        <f>SUMIFS(Table2[NewPointsAway],Table2[GameDate], "&lt;=" &amp; $A27, Table2[AwayTeam], Y$1)+SUMIFS(Table2[NewPointsHome],Table2[GameDate], "&lt;=" &amp; $A27, Table2[HomeTeam], Y$1)</f>
        <v>0</v>
      </c>
      <c r="Z27" s="145">
        <f>SUMIFS(Table2[NewPointsAway],Table2[GameDate], "&lt;=" &amp; $A27, Table2[AwayTeam], Z$1)+SUMIFS(Table2[NewPointsHome],Table2[GameDate], "&lt;=" &amp; $A27, Table2[HomeTeam], Z$1)</f>
        <v>0</v>
      </c>
      <c r="AA27" s="145">
        <f>SUMIFS(Table2[NewPointsAway],Table2[GameDate], "&lt;=" &amp; $A27, Table2[AwayTeam], AA$1)+SUMIFS(Table2[NewPointsHome],Table2[GameDate], "&lt;=" &amp; $A27, Table2[HomeTeam], AA$1)</f>
        <v>0</v>
      </c>
      <c r="AB27" s="145">
        <f>SUMIFS(Table2[NewPointsAway],Table2[GameDate], "&lt;=" &amp; $A27, Table2[AwayTeam], AB$1)+SUMIFS(Table2[NewPointsHome],Table2[GameDate], "&lt;=" &amp; $A27, Table2[HomeTeam], AB$1)</f>
        <v>2</v>
      </c>
      <c r="AC27" s="145">
        <f>SUMIFS(Table2[NewPointsAway],Table2[GameDate], "&lt;=" &amp; $A27, Table2[AwayTeam], AC$1)+SUMIFS(Table2[NewPointsHome],Table2[GameDate], "&lt;=" &amp; $A27, Table2[HomeTeam], AC$1)</f>
        <v>0</v>
      </c>
      <c r="AD27" s="145">
        <f>SUMIFS(Table2[NewPointsAway],Table2[GameDate], "&lt;=" &amp; $A27, Table2[AwayTeam], AD$1)+SUMIFS(Table2[NewPointsHome],Table2[GameDate], "&lt;=" &amp; $A27, Table2[HomeTeam], AD$1)</f>
        <v>0</v>
      </c>
      <c r="AE27" s="145">
        <f>SUMIFS(Table2[NewPointsAway],Table2[GameDate], "&lt;=" &amp; $A27, Table2[AwayTeam], AE$1)+SUMIFS(Table2[NewPointsHome],Table2[GameDate], "&lt;=" &amp; $A27, Table2[HomeTeam], AE$1)</f>
        <v>1</v>
      </c>
      <c r="AF27" s="145">
        <f>SUMIFS(Table2[NewPointsAway],Table2[GameDate], "&lt;=" &amp; $A27, Table2[AwayTeam], AF$1)+SUMIFS(Table2[NewPointsHome],Table2[GameDate], "&lt;=" &amp; $A27, Table2[HomeTeam], AF$1)</f>
        <v>0</v>
      </c>
      <c r="AG27" s="145">
        <f>SUMIFS(Table2[NewPointsAway],Table2[GameDate], "&lt;=" &amp; $A27, Table2[AwayTeam], AG$1)+SUMIFS(Table2[NewPointsHome],Table2[GameDate], "&lt;=" &amp; $A27, Table2[HomeTeam], AG$1)</f>
        <v>0</v>
      </c>
    </row>
    <row r="28" spans="1:33" x14ac:dyDescent="0.25">
      <c r="A28" s="3">
        <v>45959</v>
      </c>
      <c r="B28" s="145">
        <f>SUMIFS(Table2[NewPointsAway],Table2[GameDate], "&lt;=" &amp; $A28, Table2[AwayTeam], B$1)+SUMIFS(Table2[NewPointsHome],Table2[GameDate], "&lt;=" &amp; $A28, Table2[HomeTeam], B$1)</f>
        <v>0</v>
      </c>
      <c r="C28" s="145">
        <f>SUMIFS(Table2[NewPointsAway],Table2[GameDate], "&lt;=" &amp; $A28, Table2[AwayTeam], C$1)+SUMIFS(Table2[NewPointsHome],Table2[GameDate], "&lt;=" &amp; $A28, Table2[HomeTeam], C$1)</f>
        <v>2</v>
      </c>
      <c r="D28" s="145">
        <f>SUMIFS(Table2[NewPointsAway],Table2[GameDate], "&lt;=" &amp; $A28, Table2[AwayTeam], D$1)+SUMIFS(Table2[NewPointsHome],Table2[GameDate], "&lt;=" &amp; $A28, Table2[HomeTeam], D$1)</f>
        <v>0</v>
      </c>
      <c r="E28" s="145">
        <f>SUMIFS(Table2[NewPointsAway],Table2[GameDate], "&lt;=" &amp; $A28, Table2[AwayTeam], E$1)+SUMIFS(Table2[NewPointsHome],Table2[GameDate], "&lt;=" &amp; $A28, Table2[HomeTeam], E$1)</f>
        <v>0</v>
      </c>
      <c r="F28" s="145">
        <f>SUMIFS(Table2[NewPointsAway],Table2[GameDate], "&lt;=" &amp; $A28, Table2[AwayTeam], F$1)+SUMIFS(Table2[NewPointsHome],Table2[GameDate], "&lt;=" &amp; $A28, Table2[HomeTeam], F$1)</f>
        <v>0</v>
      </c>
      <c r="G28" s="145">
        <f>SUMIFS(Table2[NewPointsAway],Table2[GameDate], "&lt;=" &amp; $A28, Table2[AwayTeam], G$1)+SUMIFS(Table2[NewPointsHome],Table2[GameDate], "&lt;=" &amp; $A28, Table2[HomeTeam], G$1)</f>
        <v>2</v>
      </c>
      <c r="H28" s="145">
        <f>SUMIFS(Table2[NewPointsAway],Table2[GameDate], "&lt;=" &amp; $A28, Table2[AwayTeam], H$1)+SUMIFS(Table2[NewPointsHome],Table2[GameDate], "&lt;=" &amp; $A28, Table2[HomeTeam], H$1)</f>
        <v>0</v>
      </c>
      <c r="I28" s="145">
        <f>SUMIFS(Table2[NewPointsAway],Table2[GameDate], "&lt;=" &amp; $A28, Table2[AwayTeam], I$1)+SUMIFS(Table2[NewPointsHome],Table2[GameDate], "&lt;=" &amp; $A28, Table2[HomeTeam], I$1)</f>
        <v>2</v>
      </c>
      <c r="J28" s="145">
        <f>SUMIFS(Table2[NewPointsAway],Table2[GameDate], "&lt;=" &amp; $A28, Table2[AwayTeam], J$1)+SUMIFS(Table2[NewPointsHome],Table2[GameDate], "&lt;=" &amp; $A28, Table2[HomeTeam], J$1)</f>
        <v>0</v>
      </c>
      <c r="K28" s="145">
        <f>SUMIFS(Table2[NewPointsAway],Table2[GameDate], "&lt;=" &amp; $A28, Table2[AwayTeam], K$1)+SUMIFS(Table2[NewPointsHome],Table2[GameDate], "&lt;=" &amp; $A28, Table2[HomeTeam], K$1)</f>
        <v>0</v>
      </c>
      <c r="L28" s="145">
        <f>SUMIFS(Table2[NewPointsAway],Table2[GameDate], "&lt;=" &amp; $A28, Table2[AwayTeam], L$1)+SUMIFS(Table2[NewPointsHome],Table2[GameDate], "&lt;=" &amp; $A28, Table2[HomeTeam], L$1)</f>
        <v>1</v>
      </c>
      <c r="M28" s="145">
        <f>SUMIFS(Table2[NewPointsAway],Table2[GameDate], "&lt;=" &amp; $A28, Table2[AwayTeam], M$1)+SUMIFS(Table2[NewPointsHome],Table2[GameDate], "&lt;=" &amp; $A28, Table2[HomeTeam], M$1)</f>
        <v>2</v>
      </c>
      <c r="N28" s="145">
        <f>SUMIFS(Table2[NewPointsAway],Table2[GameDate], "&lt;=" &amp; $A28, Table2[AwayTeam], N$1)+SUMIFS(Table2[NewPointsHome],Table2[GameDate], "&lt;=" &amp; $A28, Table2[HomeTeam], N$1)</f>
        <v>2</v>
      </c>
      <c r="O28" s="145">
        <f>SUMIFS(Table2[NewPointsAway],Table2[GameDate], "&lt;=" &amp; $A28, Table2[AwayTeam], O$1)+SUMIFS(Table2[NewPointsHome],Table2[GameDate], "&lt;=" &amp; $A28, Table2[HomeTeam], O$1)</f>
        <v>0</v>
      </c>
      <c r="P28" s="145">
        <f>SUMIFS(Table2[NewPointsAway],Table2[GameDate], "&lt;=" &amp; $A28, Table2[AwayTeam], P$1)+SUMIFS(Table2[NewPointsHome],Table2[GameDate], "&lt;=" &amp; $A28, Table2[HomeTeam], P$1)</f>
        <v>0</v>
      </c>
      <c r="Q28" s="145">
        <f>SUMIFS(Table2[NewPointsAway],Table2[GameDate], "&lt;=" &amp; $A28, Table2[AwayTeam], Q$1)+SUMIFS(Table2[NewPointsHome],Table2[GameDate], "&lt;=" &amp; $A28, Table2[HomeTeam], Q$1)</f>
        <v>0</v>
      </c>
      <c r="R28" s="145">
        <f>SUMIFS(Table2[NewPointsAway],Table2[GameDate], "&lt;=" &amp; $A28, Table2[AwayTeam], R$1)+SUMIFS(Table2[NewPointsHome],Table2[GameDate], "&lt;=" &amp; $A28, Table2[HomeTeam], R$1)</f>
        <v>0</v>
      </c>
      <c r="S28" s="145">
        <f>SUMIFS(Table2[NewPointsAway],Table2[GameDate], "&lt;=" &amp; $A28, Table2[AwayTeam], S$1)+SUMIFS(Table2[NewPointsHome],Table2[GameDate], "&lt;=" &amp; $A28, Table2[HomeTeam], S$1)</f>
        <v>0</v>
      </c>
      <c r="T28" s="145">
        <f>SUMIFS(Table2[NewPointsAway],Table2[GameDate], "&lt;=" &amp; $A28, Table2[AwayTeam], T$1)+SUMIFS(Table2[NewPointsHome],Table2[GameDate], "&lt;=" &amp; $A28, Table2[HomeTeam], T$1)</f>
        <v>0</v>
      </c>
      <c r="U28" s="145">
        <f>SUMIFS(Table2[NewPointsAway],Table2[GameDate], "&lt;=" &amp; $A28, Table2[AwayTeam], U$1)+SUMIFS(Table2[NewPointsHome],Table2[GameDate], "&lt;=" &amp; $A28, Table2[HomeTeam], U$1)</f>
        <v>0</v>
      </c>
      <c r="V28" s="145">
        <f>SUMIFS(Table2[NewPointsAway],Table2[GameDate], "&lt;=" &amp; $A28, Table2[AwayTeam], V$1)+SUMIFS(Table2[NewPointsHome],Table2[GameDate], "&lt;=" &amp; $A28, Table2[HomeTeam], V$1)</f>
        <v>0</v>
      </c>
      <c r="W28" s="145">
        <f>SUMIFS(Table2[NewPointsAway],Table2[GameDate], "&lt;=" &amp; $A28, Table2[AwayTeam], W$1)+SUMIFS(Table2[NewPointsHome],Table2[GameDate], "&lt;=" &amp; $A28, Table2[HomeTeam], W$1)</f>
        <v>2</v>
      </c>
      <c r="X28" s="145">
        <f>SUMIFS(Table2[NewPointsAway],Table2[GameDate], "&lt;=" &amp; $A28, Table2[AwayTeam], X$1)+SUMIFS(Table2[NewPointsHome],Table2[GameDate], "&lt;=" &amp; $A28, Table2[HomeTeam], X$1)</f>
        <v>0</v>
      </c>
      <c r="Y28" s="145">
        <f>SUMIFS(Table2[NewPointsAway],Table2[GameDate], "&lt;=" &amp; $A28, Table2[AwayTeam], Y$1)+SUMIFS(Table2[NewPointsHome],Table2[GameDate], "&lt;=" &amp; $A28, Table2[HomeTeam], Y$1)</f>
        <v>0</v>
      </c>
      <c r="Z28" s="145">
        <f>SUMIFS(Table2[NewPointsAway],Table2[GameDate], "&lt;=" &amp; $A28, Table2[AwayTeam], Z$1)+SUMIFS(Table2[NewPointsHome],Table2[GameDate], "&lt;=" &amp; $A28, Table2[HomeTeam], Z$1)</f>
        <v>0</v>
      </c>
      <c r="AA28" s="145">
        <f>SUMIFS(Table2[NewPointsAway],Table2[GameDate], "&lt;=" &amp; $A28, Table2[AwayTeam], AA$1)+SUMIFS(Table2[NewPointsHome],Table2[GameDate], "&lt;=" &amp; $A28, Table2[HomeTeam], AA$1)</f>
        <v>0</v>
      </c>
      <c r="AB28" s="145">
        <f>SUMIFS(Table2[NewPointsAway],Table2[GameDate], "&lt;=" &amp; $A28, Table2[AwayTeam], AB$1)+SUMIFS(Table2[NewPointsHome],Table2[GameDate], "&lt;=" &amp; $A28, Table2[HomeTeam], AB$1)</f>
        <v>2</v>
      </c>
      <c r="AC28" s="145">
        <f>SUMIFS(Table2[NewPointsAway],Table2[GameDate], "&lt;=" &amp; $A28, Table2[AwayTeam], AC$1)+SUMIFS(Table2[NewPointsHome],Table2[GameDate], "&lt;=" &amp; $A28, Table2[HomeTeam], AC$1)</f>
        <v>0</v>
      </c>
      <c r="AD28" s="145">
        <f>SUMIFS(Table2[NewPointsAway],Table2[GameDate], "&lt;=" &amp; $A28, Table2[AwayTeam], AD$1)+SUMIFS(Table2[NewPointsHome],Table2[GameDate], "&lt;=" &amp; $A28, Table2[HomeTeam], AD$1)</f>
        <v>0</v>
      </c>
      <c r="AE28" s="145">
        <f>SUMIFS(Table2[NewPointsAway],Table2[GameDate], "&lt;=" &amp; $A28, Table2[AwayTeam], AE$1)+SUMIFS(Table2[NewPointsHome],Table2[GameDate], "&lt;=" &amp; $A28, Table2[HomeTeam], AE$1)</f>
        <v>1</v>
      </c>
      <c r="AF28" s="145">
        <f>SUMIFS(Table2[NewPointsAway],Table2[GameDate], "&lt;=" &amp; $A28, Table2[AwayTeam], AF$1)+SUMIFS(Table2[NewPointsHome],Table2[GameDate], "&lt;=" &amp; $A28, Table2[HomeTeam], AF$1)</f>
        <v>0</v>
      </c>
      <c r="AG28" s="145">
        <f>SUMIFS(Table2[NewPointsAway],Table2[GameDate], "&lt;=" &amp; $A28, Table2[AwayTeam], AG$1)+SUMIFS(Table2[NewPointsHome],Table2[GameDate], "&lt;=" &amp; $A28, Table2[HomeTeam], AG$1)</f>
        <v>0</v>
      </c>
    </row>
    <row r="29" spans="1:33" x14ac:dyDescent="0.25">
      <c r="A29" s="3">
        <v>45960</v>
      </c>
      <c r="B29" s="145">
        <f>SUMIFS(Table2[NewPointsAway],Table2[GameDate], "&lt;=" &amp; $A29, Table2[AwayTeam], B$1)+SUMIFS(Table2[NewPointsHome],Table2[GameDate], "&lt;=" &amp; $A29, Table2[HomeTeam], B$1)</f>
        <v>0</v>
      </c>
      <c r="C29" s="145">
        <f>SUMIFS(Table2[NewPointsAway],Table2[GameDate], "&lt;=" &amp; $A29, Table2[AwayTeam], C$1)+SUMIFS(Table2[NewPointsHome],Table2[GameDate], "&lt;=" &amp; $A29, Table2[HomeTeam], C$1)</f>
        <v>2</v>
      </c>
      <c r="D29" s="145">
        <f>SUMIFS(Table2[NewPointsAway],Table2[GameDate], "&lt;=" &amp; $A29, Table2[AwayTeam], D$1)+SUMIFS(Table2[NewPointsHome],Table2[GameDate], "&lt;=" &amp; $A29, Table2[HomeTeam], D$1)</f>
        <v>0</v>
      </c>
      <c r="E29" s="145">
        <f>SUMIFS(Table2[NewPointsAway],Table2[GameDate], "&lt;=" &amp; $A29, Table2[AwayTeam], E$1)+SUMIFS(Table2[NewPointsHome],Table2[GameDate], "&lt;=" &amp; $A29, Table2[HomeTeam], E$1)</f>
        <v>0</v>
      </c>
      <c r="F29" s="145">
        <f>SUMIFS(Table2[NewPointsAway],Table2[GameDate], "&lt;=" &amp; $A29, Table2[AwayTeam], F$1)+SUMIFS(Table2[NewPointsHome],Table2[GameDate], "&lt;=" &amp; $A29, Table2[HomeTeam], F$1)</f>
        <v>0</v>
      </c>
      <c r="G29" s="145">
        <f>SUMIFS(Table2[NewPointsAway],Table2[GameDate], "&lt;=" &amp; $A29, Table2[AwayTeam], G$1)+SUMIFS(Table2[NewPointsHome],Table2[GameDate], "&lt;=" &amp; $A29, Table2[HomeTeam], G$1)</f>
        <v>2</v>
      </c>
      <c r="H29" s="145">
        <f>SUMIFS(Table2[NewPointsAway],Table2[GameDate], "&lt;=" &amp; $A29, Table2[AwayTeam], H$1)+SUMIFS(Table2[NewPointsHome],Table2[GameDate], "&lt;=" &amp; $A29, Table2[HomeTeam], H$1)</f>
        <v>0</v>
      </c>
      <c r="I29" s="145">
        <f>SUMIFS(Table2[NewPointsAway],Table2[GameDate], "&lt;=" &amp; $A29, Table2[AwayTeam], I$1)+SUMIFS(Table2[NewPointsHome],Table2[GameDate], "&lt;=" &amp; $A29, Table2[HomeTeam], I$1)</f>
        <v>2</v>
      </c>
      <c r="J29" s="145">
        <f>SUMIFS(Table2[NewPointsAway],Table2[GameDate], "&lt;=" &amp; $A29, Table2[AwayTeam], J$1)+SUMIFS(Table2[NewPointsHome],Table2[GameDate], "&lt;=" &amp; $A29, Table2[HomeTeam], J$1)</f>
        <v>0</v>
      </c>
      <c r="K29" s="145">
        <f>SUMIFS(Table2[NewPointsAway],Table2[GameDate], "&lt;=" &amp; $A29, Table2[AwayTeam], K$1)+SUMIFS(Table2[NewPointsHome],Table2[GameDate], "&lt;=" &amp; $A29, Table2[HomeTeam], K$1)</f>
        <v>0</v>
      </c>
      <c r="L29" s="145">
        <f>SUMIFS(Table2[NewPointsAway],Table2[GameDate], "&lt;=" &amp; $A29, Table2[AwayTeam], L$1)+SUMIFS(Table2[NewPointsHome],Table2[GameDate], "&lt;=" &amp; $A29, Table2[HomeTeam], L$1)</f>
        <v>1</v>
      </c>
      <c r="M29" s="145">
        <f>SUMIFS(Table2[NewPointsAway],Table2[GameDate], "&lt;=" &amp; $A29, Table2[AwayTeam], M$1)+SUMIFS(Table2[NewPointsHome],Table2[GameDate], "&lt;=" &amp; $A29, Table2[HomeTeam], M$1)</f>
        <v>2</v>
      </c>
      <c r="N29" s="145">
        <f>SUMIFS(Table2[NewPointsAway],Table2[GameDate], "&lt;=" &amp; $A29, Table2[AwayTeam], N$1)+SUMIFS(Table2[NewPointsHome],Table2[GameDate], "&lt;=" &amp; $A29, Table2[HomeTeam], N$1)</f>
        <v>2</v>
      </c>
      <c r="O29" s="145">
        <f>SUMIFS(Table2[NewPointsAway],Table2[GameDate], "&lt;=" &amp; $A29, Table2[AwayTeam], O$1)+SUMIFS(Table2[NewPointsHome],Table2[GameDate], "&lt;=" &amp; $A29, Table2[HomeTeam], O$1)</f>
        <v>0</v>
      </c>
      <c r="P29" s="145">
        <f>SUMIFS(Table2[NewPointsAway],Table2[GameDate], "&lt;=" &amp; $A29, Table2[AwayTeam], P$1)+SUMIFS(Table2[NewPointsHome],Table2[GameDate], "&lt;=" &amp; $A29, Table2[HomeTeam], P$1)</f>
        <v>0</v>
      </c>
      <c r="Q29" s="145">
        <f>SUMIFS(Table2[NewPointsAway],Table2[GameDate], "&lt;=" &amp; $A29, Table2[AwayTeam], Q$1)+SUMIFS(Table2[NewPointsHome],Table2[GameDate], "&lt;=" &amp; $A29, Table2[HomeTeam], Q$1)</f>
        <v>0</v>
      </c>
      <c r="R29" s="145">
        <f>SUMIFS(Table2[NewPointsAway],Table2[GameDate], "&lt;=" &amp; $A29, Table2[AwayTeam], R$1)+SUMIFS(Table2[NewPointsHome],Table2[GameDate], "&lt;=" &amp; $A29, Table2[HomeTeam], R$1)</f>
        <v>0</v>
      </c>
      <c r="S29" s="145">
        <f>SUMIFS(Table2[NewPointsAway],Table2[GameDate], "&lt;=" &amp; $A29, Table2[AwayTeam], S$1)+SUMIFS(Table2[NewPointsHome],Table2[GameDate], "&lt;=" &amp; $A29, Table2[HomeTeam], S$1)</f>
        <v>0</v>
      </c>
      <c r="T29" s="145">
        <f>SUMIFS(Table2[NewPointsAway],Table2[GameDate], "&lt;=" &amp; $A29, Table2[AwayTeam], T$1)+SUMIFS(Table2[NewPointsHome],Table2[GameDate], "&lt;=" &amp; $A29, Table2[HomeTeam], T$1)</f>
        <v>0</v>
      </c>
      <c r="U29" s="145">
        <f>SUMIFS(Table2[NewPointsAway],Table2[GameDate], "&lt;=" &amp; $A29, Table2[AwayTeam], U$1)+SUMIFS(Table2[NewPointsHome],Table2[GameDate], "&lt;=" &amp; $A29, Table2[HomeTeam], U$1)</f>
        <v>0</v>
      </c>
      <c r="V29" s="145">
        <f>SUMIFS(Table2[NewPointsAway],Table2[GameDate], "&lt;=" &amp; $A29, Table2[AwayTeam], V$1)+SUMIFS(Table2[NewPointsHome],Table2[GameDate], "&lt;=" &amp; $A29, Table2[HomeTeam], V$1)</f>
        <v>0</v>
      </c>
      <c r="W29" s="145">
        <f>SUMIFS(Table2[NewPointsAway],Table2[GameDate], "&lt;=" &amp; $A29, Table2[AwayTeam], W$1)+SUMIFS(Table2[NewPointsHome],Table2[GameDate], "&lt;=" &amp; $A29, Table2[HomeTeam], W$1)</f>
        <v>2</v>
      </c>
      <c r="X29" s="145">
        <f>SUMIFS(Table2[NewPointsAway],Table2[GameDate], "&lt;=" &amp; $A29, Table2[AwayTeam], X$1)+SUMIFS(Table2[NewPointsHome],Table2[GameDate], "&lt;=" &amp; $A29, Table2[HomeTeam], X$1)</f>
        <v>0</v>
      </c>
      <c r="Y29" s="145">
        <f>SUMIFS(Table2[NewPointsAway],Table2[GameDate], "&lt;=" &amp; $A29, Table2[AwayTeam], Y$1)+SUMIFS(Table2[NewPointsHome],Table2[GameDate], "&lt;=" &amp; $A29, Table2[HomeTeam], Y$1)</f>
        <v>0</v>
      </c>
      <c r="Z29" s="145">
        <f>SUMIFS(Table2[NewPointsAway],Table2[GameDate], "&lt;=" &amp; $A29, Table2[AwayTeam], Z$1)+SUMIFS(Table2[NewPointsHome],Table2[GameDate], "&lt;=" &amp; $A29, Table2[HomeTeam], Z$1)</f>
        <v>0</v>
      </c>
      <c r="AA29" s="145">
        <f>SUMIFS(Table2[NewPointsAway],Table2[GameDate], "&lt;=" &amp; $A29, Table2[AwayTeam], AA$1)+SUMIFS(Table2[NewPointsHome],Table2[GameDate], "&lt;=" &amp; $A29, Table2[HomeTeam], AA$1)</f>
        <v>0</v>
      </c>
      <c r="AB29" s="145">
        <f>SUMIFS(Table2[NewPointsAway],Table2[GameDate], "&lt;=" &amp; $A29, Table2[AwayTeam], AB$1)+SUMIFS(Table2[NewPointsHome],Table2[GameDate], "&lt;=" &amp; $A29, Table2[HomeTeam], AB$1)</f>
        <v>2</v>
      </c>
      <c r="AC29" s="145">
        <f>SUMIFS(Table2[NewPointsAway],Table2[GameDate], "&lt;=" &amp; $A29, Table2[AwayTeam], AC$1)+SUMIFS(Table2[NewPointsHome],Table2[GameDate], "&lt;=" &amp; $A29, Table2[HomeTeam], AC$1)</f>
        <v>0</v>
      </c>
      <c r="AD29" s="145">
        <f>SUMIFS(Table2[NewPointsAway],Table2[GameDate], "&lt;=" &amp; $A29, Table2[AwayTeam], AD$1)+SUMIFS(Table2[NewPointsHome],Table2[GameDate], "&lt;=" &amp; $A29, Table2[HomeTeam], AD$1)</f>
        <v>0</v>
      </c>
      <c r="AE29" s="145">
        <f>SUMIFS(Table2[NewPointsAway],Table2[GameDate], "&lt;=" &amp; $A29, Table2[AwayTeam], AE$1)+SUMIFS(Table2[NewPointsHome],Table2[GameDate], "&lt;=" &amp; $A29, Table2[HomeTeam], AE$1)</f>
        <v>1</v>
      </c>
      <c r="AF29" s="145">
        <f>SUMIFS(Table2[NewPointsAway],Table2[GameDate], "&lt;=" &amp; $A29, Table2[AwayTeam], AF$1)+SUMIFS(Table2[NewPointsHome],Table2[GameDate], "&lt;=" &amp; $A29, Table2[HomeTeam], AF$1)</f>
        <v>0</v>
      </c>
      <c r="AG29" s="145">
        <f>SUMIFS(Table2[NewPointsAway],Table2[GameDate], "&lt;=" &amp; $A29, Table2[AwayTeam], AG$1)+SUMIFS(Table2[NewPointsHome],Table2[GameDate], "&lt;=" &amp; $A29, Table2[HomeTeam], AG$1)</f>
        <v>0</v>
      </c>
    </row>
    <row r="30" spans="1:33" x14ac:dyDescent="0.25">
      <c r="A30" s="3">
        <v>45961</v>
      </c>
      <c r="B30" s="145">
        <f>SUMIFS(Table2[NewPointsAway],Table2[GameDate], "&lt;=" &amp; $A30, Table2[AwayTeam], B$1)+SUMIFS(Table2[NewPointsHome],Table2[GameDate], "&lt;=" &amp; $A30, Table2[HomeTeam], B$1)</f>
        <v>0</v>
      </c>
      <c r="C30" s="145">
        <f>SUMIFS(Table2[NewPointsAway],Table2[GameDate], "&lt;=" &amp; $A30, Table2[AwayTeam], C$1)+SUMIFS(Table2[NewPointsHome],Table2[GameDate], "&lt;=" &amp; $A30, Table2[HomeTeam], C$1)</f>
        <v>2</v>
      </c>
      <c r="D30" s="145">
        <f>SUMIFS(Table2[NewPointsAway],Table2[GameDate], "&lt;=" &amp; $A30, Table2[AwayTeam], D$1)+SUMIFS(Table2[NewPointsHome],Table2[GameDate], "&lt;=" &amp; $A30, Table2[HomeTeam], D$1)</f>
        <v>0</v>
      </c>
      <c r="E30" s="145">
        <f>SUMIFS(Table2[NewPointsAway],Table2[GameDate], "&lt;=" &amp; $A30, Table2[AwayTeam], E$1)+SUMIFS(Table2[NewPointsHome],Table2[GameDate], "&lt;=" &amp; $A30, Table2[HomeTeam], E$1)</f>
        <v>0</v>
      </c>
      <c r="F30" s="145">
        <f>SUMIFS(Table2[NewPointsAway],Table2[GameDate], "&lt;=" &amp; $A30, Table2[AwayTeam], F$1)+SUMIFS(Table2[NewPointsHome],Table2[GameDate], "&lt;=" &amp; $A30, Table2[HomeTeam], F$1)</f>
        <v>0</v>
      </c>
      <c r="G30" s="145">
        <f>SUMIFS(Table2[NewPointsAway],Table2[GameDate], "&lt;=" &amp; $A30, Table2[AwayTeam], G$1)+SUMIFS(Table2[NewPointsHome],Table2[GameDate], "&lt;=" &amp; $A30, Table2[HomeTeam], G$1)</f>
        <v>2</v>
      </c>
      <c r="H30" s="145">
        <f>SUMIFS(Table2[NewPointsAway],Table2[GameDate], "&lt;=" &amp; $A30, Table2[AwayTeam], H$1)+SUMIFS(Table2[NewPointsHome],Table2[GameDate], "&lt;=" &amp; $A30, Table2[HomeTeam], H$1)</f>
        <v>0</v>
      </c>
      <c r="I30" s="145">
        <f>SUMIFS(Table2[NewPointsAway],Table2[GameDate], "&lt;=" &amp; $A30, Table2[AwayTeam], I$1)+SUMIFS(Table2[NewPointsHome],Table2[GameDate], "&lt;=" &amp; $A30, Table2[HomeTeam], I$1)</f>
        <v>2</v>
      </c>
      <c r="J30" s="145">
        <f>SUMIFS(Table2[NewPointsAway],Table2[GameDate], "&lt;=" &amp; $A30, Table2[AwayTeam], J$1)+SUMIFS(Table2[NewPointsHome],Table2[GameDate], "&lt;=" &amp; $A30, Table2[HomeTeam], J$1)</f>
        <v>0</v>
      </c>
      <c r="K30" s="145">
        <f>SUMIFS(Table2[NewPointsAway],Table2[GameDate], "&lt;=" &amp; $A30, Table2[AwayTeam], K$1)+SUMIFS(Table2[NewPointsHome],Table2[GameDate], "&lt;=" &amp; $A30, Table2[HomeTeam], K$1)</f>
        <v>0</v>
      </c>
      <c r="L30" s="145">
        <f>SUMIFS(Table2[NewPointsAway],Table2[GameDate], "&lt;=" &amp; $A30, Table2[AwayTeam], L$1)+SUMIFS(Table2[NewPointsHome],Table2[GameDate], "&lt;=" &amp; $A30, Table2[HomeTeam], L$1)</f>
        <v>1</v>
      </c>
      <c r="M30" s="145">
        <f>SUMIFS(Table2[NewPointsAway],Table2[GameDate], "&lt;=" &amp; $A30, Table2[AwayTeam], M$1)+SUMIFS(Table2[NewPointsHome],Table2[GameDate], "&lt;=" &amp; $A30, Table2[HomeTeam], M$1)</f>
        <v>2</v>
      </c>
      <c r="N30" s="145">
        <f>SUMIFS(Table2[NewPointsAway],Table2[GameDate], "&lt;=" &amp; $A30, Table2[AwayTeam], N$1)+SUMIFS(Table2[NewPointsHome],Table2[GameDate], "&lt;=" &amp; $A30, Table2[HomeTeam], N$1)</f>
        <v>2</v>
      </c>
      <c r="O30" s="145">
        <f>SUMIFS(Table2[NewPointsAway],Table2[GameDate], "&lt;=" &amp; $A30, Table2[AwayTeam], O$1)+SUMIFS(Table2[NewPointsHome],Table2[GameDate], "&lt;=" &amp; $A30, Table2[HomeTeam], O$1)</f>
        <v>0</v>
      </c>
      <c r="P30" s="145">
        <f>SUMIFS(Table2[NewPointsAway],Table2[GameDate], "&lt;=" &amp; $A30, Table2[AwayTeam], P$1)+SUMIFS(Table2[NewPointsHome],Table2[GameDate], "&lt;=" &amp; $A30, Table2[HomeTeam], P$1)</f>
        <v>0</v>
      </c>
      <c r="Q30" s="145">
        <f>SUMIFS(Table2[NewPointsAway],Table2[GameDate], "&lt;=" &amp; $A30, Table2[AwayTeam], Q$1)+SUMIFS(Table2[NewPointsHome],Table2[GameDate], "&lt;=" &amp; $A30, Table2[HomeTeam], Q$1)</f>
        <v>0</v>
      </c>
      <c r="R30" s="145">
        <f>SUMIFS(Table2[NewPointsAway],Table2[GameDate], "&lt;=" &amp; $A30, Table2[AwayTeam], R$1)+SUMIFS(Table2[NewPointsHome],Table2[GameDate], "&lt;=" &amp; $A30, Table2[HomeTeam], R$1)</f>
        <v>0</v>
      </c>
      <c r="S30" s="145">
        <f>SUMIFS(Table2[NewPointsAway],Table2[GameDate], "&lt;=" &amp; $A30, Table2[AwayTeam], S$1)+SUMIFS(Table2[NewPointsHome],Table2[GameDate], "&lt;=" &amp; $A30, Table2[HomeTeam], S$1)</f>
        <v>0</v>
      </c>
      <c r="T30" s="145">
        <f>SUMIFS(Table2[NewPointsAway],Table2[GameDate], "&lt;=" &amp; $A30, Table2[AwayTeam], T$1)+SUMIFS(Table2[NewPointsHome],Table2[GameDate], "&lt;=" &amp; $A30, Table2[HomeTeam], T$1)</f>
        <v>0</v>
      </c>
      <c r="U30" s="145">
        <f>SUMIFS(Table2[NewPointsAway],Table2[GameDate], "&lt;=" &amp; $A30, Table2[AwayTeam], U$1)+SUMIFS(Table2[NewPointsHome],Table2[GameDate], "&lt;=" &amp; $A30, Table2[HomeTeam], U$1)</f>
        <v>0</v>
      </c>
      <c r="V30" s="145">
        <f>SUMIFS(Table2[NewPointsAway],Table2[GameDate], "&lt;=" &amp; $A30, Table2[AwayTeam], V$1)+SUMIFS(Table2[NewPointsHome],Table2[GameDate], "&lt;=" &amp; $A30, Table2[HomeTeam], V$1)</f>
        <v>0</v>
      </c>
      <c r="W30" s="145">
        <f>SUMIFS(Table2[NewPointsAway],Table2[GameDate], "&lt;=" &amp; $A30, Table2[AwayTeam], W$1)+SUMIFS(Table2[NewPointsHome],Table2[GameDate], "&lt;=" &amp; $A30, Table2[HomeTeam], W$1)</f>
        <v>2</v>
      </c>
      <c r="X30" s="145">
        <f>SUMIFS(Table2[NewPointsAway],Table2[GameDate], "&lt;=" &amp; $A30, Table2[AwayTeam], X$1)+SUMIFS(Table2[NewPointsHome],Table2[GameDate], "&lt;=" &amp; $A30, Table2[HomeTeam], X$1)</f>
        <v>0</v>
      </c>
      <c r="Y30" s="145">
        <f>SUMIFS(Table2[NewPointsAway],Table2[GameDate], "&lt;=" &amp; $A30, Table2[AwayTeam], Y$1)+SUMIFS(Table2[NewPointsHome],Table2[GameDate], "&lt;=" &amp; $A30, Table2[HomeTeam], Y$1)</f>
        <v>0</v>
      </c>
      <c r="Z30" s="145">
        <f>SUMIFS(Table2[NewPointsAway],Table2[GameDate], "&lt;=" &amp; $A30, Table2[AwayTeam], Z$1)+SUMIFS(Table2[NewPointsHome],Table2[GameDate], "&lt;=" &amp; $A30, Table2[HomeTeam], Z$1)</f>
        <v>0</v>
      </c>
      <c r="AA30" s="145">
        <f>SUMIFS(Table2[NewPointsAway],Table2[GameDate], "&lt;=" &amp; $A30, Table2[AwayTeam], AA$1)+SUMIFS(Table2[NewPointsHome],Table2[GameDate], "&lt;=" &amp; $A30, Table2[HomeTeam], AA$1)</f>
        <v>0</v>
      </c>
      <c r="AB30" s="145">
        <f>SUMIFS(Table2[NewPointsAway],Table2[GameDate], "&lt;=" &amp; $A30, Table2[AwayTeam], AB$1)+SUMIFS(Table2[NewPointsHome],Table2[GameDate], "&lt;=" &amp; $A30, Table2[HomeTeam], AB$1)</f>
        <v>2</v>
      </c>
      <c r="AC30" s="145">
        <f>SUMIFS(Table2[NewPointsAway],Table2[GameDate], "&lt;=" &amp; $A30, Table2[AwayTeam], AC$1)+SUMIFS(Table2[NewPointsHome],Table2[GameDate], "&lt;=" &amp; $A30, Table2[HomeTeam], AC$1)</f>
        <v>0</v>
      </c>
      <c r="AD30" s="145">
        <f>SUMIFS(Table2[NewPointsAway],Table2[GameDate], "&lt;=" &amp; $A30, Table2[AwayTeam], AD$1)+SUMIFS(Table2[NewPointsHome],Table2[GameDate], "&lt;=" &amp; $A30, Table2[HomeTeam], AD$1)</f>
        <v>0</v>
      </c>
      <c r="AE30" s="145">
        <f>SUMIFS(Table2[NewPointsAway],Table2[GameDate], "&lt;=" &amp; $A30, Table2[AwayTeam], AE$1)+SUMIFS(Table2[NewPointsHome],Table2[GameDate], "&lt;=" &amp; $A30, Table2[HomeTeam], AE$1)</f>
        <v>1</v>
      </c>
      <c r="AF30" s="145">
        <f>SUMIFS(Table2[NewPointsAway],Table2[GameDate], "&lt;=" &amp; $A30, Table2[AwayTeam], AF$1)+SUMIFS(Table2[NewPointsHome],Table2[GameDate], "&lt;=" &amp; $A30, Table2[HomeTeam], AF$1)</f>
        <v>0</v>
      </c>
      <c r="AG30" s="145">
        <f>SUMIFS(Table2[NewPointsAway],Table2[GameDate], "&lt;=" &amp; $A30, Table2[AwayTeam], AG$1)+SUMIFS(Table2[NewPointsHome],Table2[GameDate], "&lt;=" &amp; $A30, Table2[HomeTeam], AG$1)</f>
        <v>0</v>
      </c>
    </row>
    <row r="31" spans="1:33" x14ac:dyDescent="0.25">
      <c r="A31" s="3">
        <v>45962</v>
      </c>
      <c r="B31" s="145">
        <f>SUMIFS(Table2[NewPointsAway],Table2[GameDate], "&lt;=" &amp; $A31, Table2[AwayTeam], B$1)+SUMIFS(Table2[NewPointsHome],Table2[GameDate], "&lt;=" &amp; $A31, Table2[HomeTeam], B$1)</f>
        <v>0</v>
      </c>
      <c r="C31" s="145">
        <f>SUMIFS(Table2[NewPointsAway],Table2[GameDate], "&lt;=" &amp; $A31, Table2[AwayTeam], C$1)+SUMIFS(Table2[NewPointsHome],Table2[GameDate], "&lt;=" &amp; $A31, Table2[HomeTeam], C$1)</f>
        <v>2</v>
      </c>
      <c r="D31" s="145">
        <f>SUMIFS(Table2[NewPointsAway],Table2[GameDate], "&lt;=" &amp; $A31, Table2[AwayTeam], D$1)+SUMIFS(Table2[NewPointsHome],Table2[GameDate], "&lt;=" &amp; $A31, Table2[HomeTeam], D$1)</f>
        <v>0</v>
      </c>
      <c r="E31" s="145">
        <f>SUMIFS(Table2[NewPointsAway],Table2[GameDate], "&lt;=" &amp; $A31, Table2[AwayTeam], E$1)+SUMIFS(Table2[NewPointsHome],Table2[GameDate], "&lt;=" &amp; $A31, Table2[HomeTeam], E$1)</f>
        <v>0</v>
      </c>
      <c r="F31" s="145">
        <f>SUMIFS(Table2[NewPointsAway],Table2[GameDate], "&lt;=" &amp; $A31, Table2[AwayTeam], F$1)+SUMIFS(Table2[NewPointsHome],Table2[GameDate], "&lt;=" &amp; $A31, Table2[HomeTeam], F$1)</f>
        <v>0</v>
      </c>
      <c r="G31" s="145">
        <f>SUMIFS(Table2[NewPointsAway],Table2[GameDate], "&lt;=" &amp; $A31, Table2[AwayTeam], G$1)+SUMIFS(Table2[NewPointsHome],Table2[GameDate], "&lt;=" &amp; $A31, Table2[HomeTeam], G$1)</f>
        <v>2</v>
      </c>
      <c r="H31" s="145">
        <f>SUMIFS(Table2[NewPointsAway],Table2[GameDate], "&lt;=" &amp; $A31, Table2[AwayTeam], H$1)+SUMIFS(Table2[NewPointsHome],Table2[GameDate], "&lt;=" &amp; $A31, Table2[HomeTeam], H$1)</f>
        <v>0</v>
      </c>
      <c r="I31" s="145">
        <f>SUMIFS(Table2[NewPointsAway],Table2[GameDate], "&lt;=" &amp; $A31, Table2[AwayTeam], I$1)+SUMIFS(Table2[NewPointsHome],Table2[GameDate], "&lt;=" &amp; $A31, Table2[HomeTeam], I$1)</f>
        <v>2</v>
      </c>
      <c r="J31" s="145">
        <f>SUMIFS(Table2[NewPointsAway],Table2[GameDate], "&lt;=" &amp; $A31, Table2[AwayTeam], J$1)+SUMIFS(Table2[NewPointsHome],Table2[GameDate], "&lt;=" &amp; $A31, Table2[HomeTeam], J$1)</f>
        <v>0</v>
      </c>
      <c r="K31" s="145">
        <f>SUMIFS(Table2[NewPointsAway],Table2[GameDate], "&lt;=" &amp; $A31, Table2[AwayTeam], K$1)+SUMIFS(Table2[NewPointsHome],Table2[GameDate], "&lt;=" &amp; $A31, Table2[HomeTeam], K$1)</f>
        <v>0</v>
      </c>
      <c r="L31" s="145">
        <f>SUMIFS(Table2[NewPointsAway],Table2[GameDate], "&lt;=" &amp; $A31, Table2[AwayTeam], L$1)+SUMIFS(Table2[NewPointsHome],Table2[GameDate], "&lt;=" &amp; $A31, Table2[HomeTeam], L$1)</f>
        <v>1</v>
      </c>
      <c r="M31" s="145">
        <f>SUMIFS(Table2[NewPointsAway],Table2[GameDate], "&lt;=" &amp; $A31, Table2[AwayTeam], M$1)+SUMIFS(Table2[NewPointsHome],Table2[GameDate], "&lt;=" &amp; $A31, Table2[HomeTeam], M$1)</f>
        <v>2</v>
      </c>
      <c r="N31" s="145">
        <f>SUMIFS(Table2[NewPointsAway],Table2[GameDate], "&lt;=" &amp; $A31, Table2[AwayTeam], N$1)+SUMIFS(Table2[NewPointsHome],Table2[GameDate], "&lt;=" &amp; $A31, Table2[HomeTeam], N$1)</f>
        <v>2</v>
      </c>
      <c r="O31" s="145">
        <f>SUMIFS(Table2[NewPointsAway],Table2[GameDate], "&lt;=" &amp; $A31, Table2[AwayTeam], O$1)+SUMIFS(Table2[NewPointsHome],Table2[GameDate], "&lt;=" &amp; $A31, Table2[HomeTeam], O$1)</f>
        <v>0</v>
      </c>
      <c r="P31" s="145">
        <f>SUMIFS(Table2[NewPointsAway],Table2[GameDate], "&lt;=" &amp; $A31, Table2[AwayTeam], P$1)+SUMIFS(Table2[NewPointsHome],Table2[GameDate], "&lt;=" &amp; $A31, Table2[HomeTeam], P$1)</f>
        <v>0</v>
      </c>
      <c r="Q31" s="145">
        <f>SUMIFS(Table2[NewPointsAway],Table2[GameDate], "&lt;=" &amp; $A31, Table2[AwayTeam], Q$1)+SUMIFS(Table2[NewPointsHome],Table2[GameDate], "&lt;=" &amp; $A31, Table2[HomeTeam], Q$1)</f>
        <v>0</v>
      </c>
      <c r="R31" s="145">
        <f>SUMIFS(Table2[NewPointsAway],Table2[GameDate], "&lt;=" &amp; $A31, Table2[AwayTeam], R$1)+SUMIFS(Table2[NewPointsHome],Table2[GameDate], "&lt;=" &amp; $A31, Table2[HomeTeam], R$1)</f>
        <v>0</v>
      </c>
      <c r="S31" s="145">
        <f>SUMIFS(Table2[NewPointsAway],Table2[GameDate], "&lt;=" &amp; $A31, Table2[AwayTeam], S$1)+SUMIFS(Table2[NewPointsHome],Table2[GameDate], "&lt;=" &amp; $A31, Table2[HomeTeam], S$1)</f>
        <v>0</v>
      </c>
      <c r="T31" s="145">
        <f>SUMIFS(Table2[NewPointsAway],Table2[GameDate], "&lt;=" &amp; $A31, Table2[AwayTeam], T$1)+SUMIFS(Table2[NewPointsHome],Table2[GameDate], "&lt;=" &amp; $A31, Table2[HomeTeam], T$1)</f>
        <v>0</v>
      </c>
      <c r="U31" s="145">
        <f>SUMIFS(Table2[NewPointsAway],Table2[GameDate], "&lt;=" &amp; $A31, Table2[AwayTeam], U$1)+SUMIFS(Table2[NewPointsHome],Table2[GameDate], "&lt;=" &amp; $A31, Table2[HomeTeam], U$1)</f>
        <v>0</v>
      </c>
      <c r="V31" s="145">
        <f>SUMIFS(Table2[NewPointsAway],Table2[GameDate], "&lt;=" &amp; $A31, Table2[AwayTeam], V$1)+SUMIFS(Table2[NewPointsHome],Table2[GameDate], "&lt;=" &amp; $A31, Table2[HomeTeam], V$1)</f>
        <v>0</v>
      </c>
      <c r="W31" s="145">
        <f>SUMIFS(Table2[NewPointsAway],Table2[GameDate], "&lt;=" &amp; $A31, Table2[AwayTeam], W$1)+SUMIFS(Table2[NewPointsHome],Table2[GameDate], "&lt;=" &amp; $A31, Table2[HomeTeam], W$1)</f>
        <v>2</v>
      </c>
      <c r="X31" s="145">
        <f>SUMIFS(Table2[NewPointsAway],Table2[GameDate], "&lt;=" &amp; $A31, Table2[AwayTeam], X$1)+SUMIFS(Table2[NewPointsHome],Table2[GameDate], "&lt;=" &amp; $A31, Table2[HomeTeam], X$1)</f>
        <v>0</v>
      </c>
      <c r="Y31" s="145">
        <f>SUMIFS(Table2[NewPointsAway],Table2[GameDate], "&lt;=" &amp; $A31, Table2[AwayTeam], Y$1)+SUMIFS(Table2[NewPointsHome],Table2[GameDate], "&lt;=" &amp; $A31, Table2[HomeTeam], Y$1)</f>
        <v>0</v>
      </c>
      <c r="Z31" s="145">
        <f>SUMIFS(Table2[NewPointsAway],Table2[GameDate], "&lt;=" &amp; $A31, Table2[AwayTeam], Z$1)+SUMIFS(Table2[NewPointsHome],Table2[GameDate], "&lt;=" &amp; $A31, Table2[HomeTeam], Z$1)</f>
        <v>0</v>
      </c>
      <c r="AA31" s="145">
        <f>SUMIFS(Table2[NewPointsAway],Table2[GameDate], "&lt;=" &amp; $A31, Table2[AwayTeam], AA$1)+SUMIFS(Table2[NewPointsHome],Table2[GameDate], "&lt;=" &amp; $A31, Table2[HomeTeam], AA$1)</f>
        <v>0</v>
      </c>
      <c r="AB31" s="145">
        <f>SUMIFS(Table2[NewPointsAway],Table2[GameDate], "&lt;=" &amp; $A31, Table2[AwayTeam], AB$1)+SUMIFS(Table2[NewPointsHome],Table2[GameDate], "&lt;=" &amp; $A31, Table2[HomeTeam], AB$1)</f>
        <v>2</v>
      </c>
      <c r="AC31" s="145">
        <f>SUMIFS(Table2[NewPointsAway],Table2[GameDate], "&lt;=" &amp; $A31, Table2[AwayTeam], AC$1)+SUMIFS(Table2[NewPointsHome],Table2[GameDate], "&lt;=" &amp; $A31, Table2[HomeTeam], AC$1)</f>
        <v>0</v>
      </c>
      <c r="AD31" s="145">
        <f>SUMIFS(Table2[NewPointsAway],Table2[GameDate], "&lt;=" &amp; $A31, Table2[AwayTeam], AD$1)+SUMIFS(Table2[NewPointsHome],Table2[GameDate], "&lt;=" &amp; $A31, Table2[HomeTeam], AD$1)</f>
        <v>0</v>
      </c>
      <c r="AE31" s="145">
        <f>SUMIFS(Table2[NewPointsAway],Table2[GameDate], "&lt;=" &amp; $A31, Table2[AwayTeam], AE$1)+SUMIFS(Table2[NewPointsHome],Table2[GameDate], "&lt;=" &amp; $A31, Table2[HomeTeam], AE$1)</f>
        <v>1</v>
      </c>
      <c r="AF31" s="145">
        <f>SUMIFS(Table2[NewPointsAway],Table2[GameDate], "&lt;=" &amp; $A31, Table2[AwayTeam], AF$1)+SUMIFS(Table2[NewPointsHome],Table2[GameDate], "&lt;=" &amp; $A31, Table2[HomeTeam], AF$1)</f>
        <v>0</v>
      </c>
      <c r="AG31" s="145">
        <f>SUMIFS(Table2[NewPointsAway],Table2[GameDate], "&lt;=" &amp; $A31, Table2[AwayTeam], AG$1)+SUMIFS(Table2[NewPointsHome],Table2[GameDate], "&lt;=" &amp; $A31, Table2[HomeTeam], AG$1)</f>
        <v>0</v>
      </c>
    </row>
    <row r="32" spans="1:33" x14ac:dyDescent="0.25">
      <c r="A32" s="3">
        <v>45963</v>
      </c>
      <c r="B32" s="145">
        <f>SUMIFS(Table2[NewPointsAway],Table2[GameDate], "&lt;=" &amp; $A32, Table2[AwayTeam], B$1)+SUMIFS(Table2[NewPointsHome],Table2[GameDate], "&lt;=" &amp; $A32, Table2[HomeTeam], B$1)</f>
        <v>0</v>
      </c>
      <c r="C32" s="145">
        <f>SUMIFS(Table2[NewPointsAway],Table2[GameDate], "&lt;=" &amp; $A32, Table2[AwayTeam], C$1)+SUMIFS(Table2[NewPointsHome],Table2[GameDate], "&lt;=" &amp; $A32, Table2[HomeTeam], C$1)</f>
        <v>2</v>
      </c>
      <c r="D32" s="145">
        <f>SUMIFS(Table2[NewPointsAway],Table2[GameDate], "&lt;=" &amp; $A32, Table2[AwayTeam], D$1)+SUMIFS(Table2[NewPointsHome],Table2[GameDate], "&lt;=" &amp; $A32, Table2[HomeTeam], D$1)</f>
        <v>0</v>
      </c>
      <c r="E32" s="145">
        <f>SUMIFS(Table2[NewPointsAway],Table2[GameDate], "&lt;=" &amp; $A32, Table2[AwayTeam], E$1)+SUMIFS(Table2[NewPointsHome],Table2[GameDate], "&lt;=" &amp; $A32, Table2[HomeTeam], E$1)</f>
        <v>0</v>
      </c>
      <c r="F32" s="145">
        <f>SUMIFS(Table2[NewPointsAway],Table2[GameDate], "&lt;=" &amp; $A32, Table2[AwayTeam], F$1)+SUMIFS(Table2[NewPointsHome],Table2[GameDate], "&lt;=" &amp; $A32, Table2[HomeTeam], F$1)</f>
        <v>0</v>
      </c>
      <c r="G32" s="145">
        <f>SUMIFS(Table2[NewPointsAway],Table2[GameDate], "&lt;=" &amp; $A32, Table2[AwayTeam], G$1)+SUMIFS(Table2[NewPointsHome],Table2[GameDate], "&lt;=" &amp; $A32, Table2[HomeTeam], G$1)</f>
        <v>2</v>
      </c>
      <c r="H32" s="145">
        <f>SUMIFS(Table2[NewPointsAway],Table2[GameDate], "&lt;=" &amp; $A32, Table2[AwayTeam], H$1)+SUMIFS(Table2[NewPointsHome],Table2[GameDate], "&lt;=" &amp; $A32, Table2[HomeTeam], H$1)</f>
        <v>0</v>
      </c>
      <c r="I32" s="145">
        <f>SUMIFS(Table2[NewPointsAway],Table2[GameDate], "&lt;=" &amp; $A32, Table2[AwayTeam], I$1)+SUMIFS(Table2[NewPointsHome],Table2[GameDate], "&lt;=" &amp; $A32, Table2[HomeTeam], I$1)</f>
        <v>2</v>
      </c>
      <c r="J32" s="145">
        <f>SUMIFS(Table2[NewPointsAway],Table2[GameDate], "&lt;=" &amp; $A32, Table2[AwayTeam], J$1)+SUMIFS(Table2[NewPointsHome],Table2[GameDate], "&lt;=" &amp; $A32, Table2[HomeTeam], J$1)</f>
        <v>0</v>
      </c>
      <c r="K32" s="145">
        <f>SUMIFS(Table2[NewPointsAway],Table2[GameDate], "&lt;=" &amp; $A32, Table2[AwayTeam], K$1)+SUMIFS(Table2[NewPointsHome],Table2[GameDate], "&lt;=" &amp; $A32, Table2[HomeTeam], K$1)</f>
        <v>0</v>
      </c>
      <c r="L32" s="145">
        <f>SUMIFS(Table2[NewPointsAway],Table2[GameDate], "&lt;=" &amp; $A32, Table2[AwayTeam], L$1)+SUMIFS(Table2[NewPointsHome],Table2[GameDate], "&lt;=" &amp; $A32, Table2[HomeTeam], L$1)</f>
        <v>1</v>
      </c>
      <c r="M32" s="145">
        <f>SUMIFS(Table2[NewPointsAway],Table2[GameDate], "&lt;=" &amp; $A32, Table2[AwayTeam], M$1)+SUMIFS(Table2[NewPointsHome],Table2[GameDate], "&lt;=" &amp; $A32, Table2[HomeTeam], M$1)</f>
        <v>2</v>
      </c>
      <c r="N32" s="145">
        <f>SUMIFS(Table2[NewPointsAway],Table2[GameDate], "&lt;=" &amp; $A32, Table2[AwayTeam], N$1)+SUMIFS(Table2[NewPointsHome],Table2[GameDate], "&lt;=" &amp; $A32, Table2[HomeTeam], N$1)</f>
        <v>2</v>
      </c>
      <c r="O32" s="145">
        <f>SUMIFS(Table2[NewPointsAway],Table2[GameDate], "&lt;=" &amp; $A32, Table2[AwayTeam], O$1)+SUMIFS(Table2[NewPointsHome],Table2[GameDate], "&lt;=" &amp; $A32, Table2[HomeTeam], O$1)</f>
        <v>0</v>
      </c>
      <c r="P32" s="145">
        <f>SUMIFS(Table2[NewPointsAway],Table2[GameDate], "&lt;=" &amp; $A32, Table2[AwayTeam], P$1)+SUMIFS(Table2[NewPointsHome],Table2[GameDate], "&lt;=" &amp; $A32, Table2[HomeTeam], P$1)</f>
        <v>0</v>
      </c>
      <c r="Q32" s="145">
        <f>SUMIFS(Table2[NewPointsAway],Table2[GameDate], "&lt;=" &amp; $A32, Table2[AwayTeam], Q$1)+SUMIFS(Table2[NewPointsHome],Table2[GameDate], "&lt;=" &amp; $A32, Table2[HomeTeam], Q$1)</f>
        <v>0</v>
      </c>
      <c r="R32" s="145">
        <f>SUMIFS(Table2[NewPointsAway],Table2[GameDate], "&lt;=" &amp; $A32, Table2[AwayTeam], R$1)+SUMIFS(Table2[NewPointsHome],Table2[GameDate], "&lt;=" &amp; $A32, Table2[HomeTeam], R$1)</f>
        <v>0</v>
      </c>
      <c r="S32" s="145">
        <f>SUMIFS(Table2[NewPointsAway],Table2[GameDate], "&lt;=" &amp; $A32, Table2[AwayTeam], S$1)+SUMIFS(Table2[NewPointsHome],Table2[GameDate], "&lt;=" &amp; $A32, Table2[HomeTeam], S$1)</f>
        <v>0</v>
      </c>
      <c r="T32" s="145">
        <f>SUMIFS(Table2[NewPointsAway],Table2[GameDate], "&lt;=" &amp; $A32, Table2[AwayTeam], T$1)+SUMIFS(Table2[NewPointsHome],Table2[GameDate], "&lt;=" &amp; $A32, Table2[HomeTeam], T$1)</f>
        <v>0</v>
      </c>
      <c r="U32" s="145">
        <f>SUMIFS(Table2[NewPointsAway],Table2[GameDate], "&lt;=" &amp; $A32, Table2[AwayTeam], U$1)+SUMIFS(Table2[NewPointsHome],Table2[GameDate], "&lt;=" &amp; $A32, Table2[HomeTeam], U$1)</f>
        <v>0</v>
      </c>
      <c r="V32" s="145">
        <f>SUMIFS(Table2[NewPointsAway],Table2[GameDate], "&lt;=" &amp; $A32, Table2[AwayTeam], V$1)+SUMIFS(Table2[NewPointsHome],Table2[GameDate], "&lt;=" &amp; $A32, Table2[HomeTeam], V$1)</f>
        <v>0</v>
      </c>
      <c r="W32" s="145">
        <f>SUMIFS(Table2[NewPointsAway],Table2[GameDate], "&lt;=" &amp; $A32, Table2[AwayTeam], W$1)+SUMIFS(Table2[NewPointsHome],Table2[GameDate], "&lt;=" &amp; $A32, Table2[HomeTeam], W$1)</f>
        <v>2</v>
      </c>
      <c r="X32" s="145">
        <f>SUMIFS(Table2[NewPointsAway],Table2[GameDate], "&lt;=" &amp; $A32, Table2[AwayTeam], X$1)+SUMIFS(Table2[NewPointsHome],Table2[GameDate], "&lt;=" &amp; $A32, Table2[HomeTeam], X$1)</f>
        <v>0</v>
      </c>
      <c r="Y32" s="145">
        <f>SUMIFS(Table2[NewPointsAway],Table2[GameDate], "&lt;=" &amp; $A32, Table2[AwayTeam], Y$1)+SUMIFS(Table2[NewPointsHome],Table2[GameDate], "&lt;=" &amp; $A32, Table2[HomeTeam], Y$1)</f>
        <v>0</v>
      </c>
      <c r="Z32" s="145">
        <f>SUMIFS(Table2[NewPointsAway],Table2[GameDate], "&lt;=" &amp; $A32, Table2[AwayTeam], Z$1)+SUMIFS(Table2[NewPointsHome],Table2[GameDate], "&lt;=" &amp; $A32, Table2[HomeTeam], Z$1)</f>
        <v>0</v>
      </c>
      <c r="AA32" s="145">
        <f>SUMIFS(Table2[NewPointsAway],Table2[GameDate], "&lt;=" &amp; $A32, Table2[AwayTeam], AA$1)+SUMIFS(Table2[NewPointsHome],Table2[GameDate], "&lt;=" &amp; $A32, Table2[HomeTeam], AA$1)</f>
        <v>0</v>
      </c>
      <c r="AB32" s="145">
        <f>SUMIFS(Table2[NewPointsAway],Table2[GameDate], "&lt;=" &amp; $A32, Table2[AwayTeam], AB$1)+SUMIFS(Table2[NewPointsHome],Table2[GameDate], "&lt;=" &amp; $A32, Table2[HomeTeam], AB$1)</f>
        <v>2</v>
      </c>
      <c r="AC32" s="145">
        <f>SUMIFS(Table2[NewPointsAway],Table2[GameDate], "&lt;=" &amp; $A32, Table2[AwayTeam], AC$1)+SUMIFS(Table2[NewPointsHome],Table2[GameDate], "&lt;=" &amp; $A32, Table2[HomeTeam], AC$1)</f>
        <v>0</v>
      </c>
      <c r="AD32" s="145">
        <f>SUMIFS(Table2[NewPointsAway],Table2[GameDate], "&lt;=" &amp; $A32, Table2[AwayTeam], AD$1)+SUMIFS(Table2[NewPointsHome],Table2[GameDate], "&lt;=" &amp; $A32, Table2[HomeTeam], AD$1)</f>
        <v>0</v>
      </c>
      <c r="AE32" s="145">
        <f>SUMIFS(Table2[NewPointsAway],Table2[GameDate], "&lt;=" &amp; $A32, Table2[AwayTeam], AE$1)+SUMIFS(Table2[NewPointsHome],Table2[GameDate], "&lt;=" &amp; $A32, Table2[HomeTeam], AE$1)</f>
        <v>1</v>
      </c>
      <c r="AF32" s="145">
        <f>SUMIFS(Table2[NewPointsAway],Table2[GameDate], "&lt;=" &amp; $A32, Table2[AwayTeam], AF$1)+SUMIFS(Table2[NewPointsHome],Table2[GameDate], "&lt;=" &amp; $A32, Table2[HomeTeam], AF$1)</f>
        <v>0</v>
      </c>
      <c r="AG32" s="145">
        <f>SUMIFS(Table2[NewPointsAway],Table2[GameDate], "&lt;=" &amp; $A32, Table2[AwayTeam], AG$1)+SUMIFS(Table2[NewPointsHome],Table2[GameDate], "&lt;=" &amp; $A32, Table2[HomeTeam], AG$1)</f>
        <v>0</v>
      </c>
    </row>
    <row r="33" spans="1:33" x14ac:dyDescent="0.25">
      <c r="A33" s="3">
        <v>45964</v>
      </c>
      <c r="B33" s="145">
        <f>SUMIFS(Table2[NewPointsAway],Table2[GameDate], "&lt;=" &amp; $A33, Table2[AwayTeam], B$1)+SUMIFS(Table2[NewPointsHome],Table2[GameDate], "&lt;=" &amp; $A33, Table2[HomeTeam], B$1)</f>
        <v>0</v>
      </c>
      <c r="C33" s="145">
        <f>SUMIFS(Table2[NewPointsAway],Table2[GameDate], "&lt;=" &amp; $A33, Table2[AwayTeam], C$1)+SUMIFS(Table2[NewPointsHome],Table2[GameDate], "&lt;=" &amp; $A33, Table2[HomeTeam], C$1)</f>
        <v>2</v>
      </c>
      <c r="D33" s="145">
        <f>SUMIFS(Table2[NewPointsAway],Table2[GameDate], "&lt;=" &amp; $A33, Table2[AwayTeam], D$1)+SUMIFS(Table2[NewPointsHome],Table2[GameDate], "&lt;=" &amp; $A33, Table2[HomeTeam], D$1)</f>
        <v>0</v>
      </c>
      <c r="E33" s="145">
        <f>SUMIFS(Table2[NewPointsAway],Table2[GameDate], "&lt;=" &amp; $A33, Table2[AwayTeam], E$1)+SUMIFS(Table2[NewPointsHome],Table2[GameDate], "&lt;=" &amp; $A33, Table2[HomeTeam], E$1)</f>
        <v>0</v>
      </c>
      <c r="F33" s="145">
        <f>SUMIFS(Table2[NewPointsAway],Table2[GameDate], "&lt;=" &amp; $A33, Table2[AwayTeam], F$1)+SUMIFS(Table2[NewPointsHome],Table2[GameDate], "&lt;=" &amp; $A33, Table2[HomeTeam], F$1)</f>
        <v>0</v>
      </c>
      <c r="G33" s="145">
        <f>SUMIFS(Table2[NewPointsAway],Table2[GameDate], "&lt;=" &amp; $A33, Table2[AwayTeam], G$1)+SUMIFS(Table2[NewPointsHome],Table2[GameDate], "&lt;=" &amp; $A33, Table2[HomeTeam], G$1)</f>
        <v>2</v>
      </c>
      <c r="H33" s="145">
        <f>SUMIFS(Table2[NewPointsAway],Table2[GameDate], "&lt;=" &amp; $A33, Table2[AwayTeam], H$1)+SUMIFS(Table2[NewPointsHome],Table2[GameDate], "&lt;=" &amp; $A33, Table2[HomeTeam], H$1)</f>
        <v>0</v>
      </c>
      <c r="I33" s="145">
        <f>SUMIFS(Table2[NewPointsAway],Table2[GameDate], "&lt;=" &amp; $A33, Table2[AwayTeam], I$1)+SUMIFS(Table2[NewPointsHome],Table2[GameDate], "&lt;=" &amp; $A33, Table2[HomeTeam], I$1)</f>
        <v>2</v>
      </c>
      <c r="J33" s="145">
        <f>SUMIFS(Table2[NewPointsAway],Table2[GameDate], "&lt;=" &amp; $A33, Table2[AwayTeam], J$1)+SUMIFS(Table2[NewPointsHome],Table2[GameDate], "&lt;=" &amp; $A33, Table2[HomeTeam], J$1)</f>
        <v>0</v>
      </c>
      <c r="K33" s="145">
        <f>SUMIFS(Table2[NewPointsAway],Table2[GameDate], "&lt;=" &amp; $A33, Table2[AwayTeam], K$1)+SUMIFS(Table2[NewPointsHome],Table2[GameDate], "&lt;=" &amp; $A33, Table2[HomeTeam], K$1)</f>
        <v>0</v>
      </c>
      <c r="L33" s="145">
        <f>SUMIFS(Table2[NewPointsAway],Table2[GameDate], "&lt;=" &amp; $A33, Table2[AwayTeam], L$1)+SUMIFS(Table2[NewPointsHome],Table2[GameDate], "&lt;=" &amp; $A33, Table2[HomeTeam], L$1)</f>
        <v>1</v>
      </c>
      <c r="M33" s="145">
        <f>SUMIFS(Table2[NewPointsAway],Table2[GameDate], "&lt;=" &amp; $A33, Table2[AwayTeam], M$1)+SUMIFS(Table2[NewPointsHome],Table2[GameDate], "&lt;=" &amp; $A33, Table2[HomeTeam], M$1)</f>
        <v>2</v>
      </c>
      <c r="N33" s="145">
        <f>SUMIFS(Table2[NewPointsAway],Table2[GameDate], "&lt;=" &amp; $A33, Table2[AwayTeam], N$1)+SUMIFS(Table2[NewPointsHome],Table2[GameDate], "&lt;=" &amp; $A33, Table2[HomeTeam], N$1)</f>
        <v>2</v>
      </c>
      <c r="O33" s="145">
        <f>SUMIFS(Table2[NewPointsAway],Table2[GameDate], "&lt;=" &amp; $A33, Table2[AwayTeam], O$1)+SUMIFS(Table2[NewPointsHome],Table2[GameDate], "&lt;=" &amp; $A33, Table2[HomeTeam], O$1)</f>
        <v>0</v>
      </c>
      <c r="P33" s="145">
        <f>SUMIFS(Table2[NewPointsAway],Table2[GameDate], "&lt;=" &amp; $A33, Table2[AwayTeam], P$1)+SUMIFS(Table2[NewPointsHome],Table2[GameDate], "&lt;=" &amp; $A33, Table2[HomeTeam], P$1)</f>
        <v>0</v>
      </c>
      <c r="Q33" s="145">
        <f>SUMIFS(Table2[NewPointsAway],Table2[GameDate], "&lt;=" &amp; $A33, Table2[AwayTeam], Q$1)+SUMIFS(Table2[NewPointsHome],Table2[GameDate], "&lt;=" &amp; $A33, Table2[HomeTeam], Q$1)</f>
        <v>0</v>
      </c>
      <c r="R33" s="145">
        <f>SUMIFS(Table2[NewPointsAway],Table2[GameDate], "&lt;=" &amp; $A33, Table2[AwayTeam], R$1)+SUMIFS(Table2[NewPointsHome],Table2[GameDate], "&lt;=" &amp; $A33, Table2[HomeTeam], R$1)</f>
        <v>0</v>
      </c>
      <c r="S33" s="145">
        <f>SUMIFS(Table2[NewPointsAway],Table2[GameDate], "&lt;=" &amp; $A33, Table2[AwayTeam], S$1)+SUMIFS(Table2[NewPointsHome],Table2[GameDate], "&lt;=" &amp; $A33, Table2[HomeTeam], S$1)</f>
        <v>0</v>
      </c>
      <c r="T33" s="145">
        <f>SUMIFS(Table2[NewPointsAway],Table2[GameDate], "&lt;=" &amp; $A33, Table2[AwayTeam], T$1)+SUMIFS(Table2[NewPointsHome],Table2[GameDate], "&lt;=" &amp; $A33, Table2[HomeTeam], T$1)</f>
        <v>0</v>
      </c>
      <c r="U33" s="145">
        <f>SUMIFS(Table2[NewPointsAway],Table2[GameDate], "&lt;=" &amp; $A33, Table2[AwayTeam], U$1)+SUMIFS(Table2[NewPointsHome],Table2[GameDate], "&lt;=" &amp; $A33, Table2[HomeTeam], U$1)</f>
        <v>0</v>
      </c>
      <c r="V33" s="145">
        <f>SUMIFS(Table2[NewPointsAway],Table2[GameDate], "&lt;=" &amp; $A33, Table2[AwayTeam], V$1)+SUMIFS(Table2[NewPointsHome],Table2[GameDate], "&lt;=" &amp; $A33, Table2[HomeTeam], V$1)</f>
        <v>0</v>
      </c>
      <c r="W33" s="145">
        <f>SUMIFS(Table2[NewPointsAway],Table2[GameDate], "&lt;=" &amp; $A33, Table2[AwayTeam], W$1)+SUMIFS(Table2[NewPointsHome],Table2[GameDate], "&lt;=" &amp; $A33, Table2[HomeTeam], W$1)</f>
        <v>2</v>
      </c>
      <c r="X33" s="145">
        <f>SUMIFS(Table2[NewPointsAway],Table2[GameDate], "&lt;=" &amp; $A33, Table2[AwayTeam], X$1)+SUMIFS(Table2[NewPointsHome],Table2[GameDate], "&lt;=" &amp; $A33, Table2[HomeTeam], X$1)</f>
        <v>0</v>
      </c>
      <c r="Y33" s="145">
        <f>SUMIFS(Table2[NewPointsAway],Table2[GameDate], "&lt;=" &amp; $A33, Table2[AwayTeam], Y$1)+SUMIFS(Table2[NewPointsHome],Table2[GameDate], "&lt;=" &amp; $A33, Table2[HomeTeam], Y$1)</f>
        <v>0</v>
      </c>
      <c r="Z33" s="145">
        <f>SUMIFS(Table2[NewPointsAway],Table2[GameDate], "&lt;=" &amp; $A33, Table2[AwayTeam], Z$1)+SUMIFS(Table2[NewPointsHome],Table2[GameDate], "&lt;=" &amp; $A33, Table2[HomeTeam], Z$1)</f>
        <v>0</v>
      </c>
      <c r="AA33" s="145">
        <f>SUMIFS(Table2[NewPointsAway],Table2[GameDate], "&lt;=" &amp; $A33, Table2[AwayTeam], AA$1)+SUMIFS(Table2[NewPointsHome],Table2[GameDate], "&lt;=" &amp; $A33, Table2[HomeTeam], AA$1)</f>
        <v>0</v>
      </c>
      <c r="AB33" s="145">
        <f>SUMIFS(Table2[NewPointsAway],Table2[GameDate], "&lt;=" &amp; $A33, Table2[AwayTeam], AB$1)+SUMIFS(Table2[NewPointsHome],Table2[GameDate], "&lt;=" &amp; $A33, Table2[HomeTeam], AB$1)</f>
        <v>2</v>
      </c>
      <c r="AC33" s="145">
        <f>SUMIFS(Table2[NewPointsAway],Table2[GameDate], "&lt;=" &amp; $A33, Table2[AwayTeam], AC$1)+SUMIFS(Table2[NewPointsHome],Table2[GameDate], "&lt;=" &amp; $A33, Table2[HomeTeam], AC$1)</f>
        <v>0</v>
      </c>
      <c r="AD33" s="145">
        <f>SUMIFS(Table2[NewPointsAway],Table2[GameDate], "&lt;=" &amp; $A33, Table2[AwayTeam], AD$1)+SUMIFS(Table2[NewPointsHome],Table2[GameDate], "&lt;=" &amp; $A33, Table2[HomeTeam], AD$1)</f>
        <v>0</v>
      </c>
      <c r="AE33" s="145">
        <f>SUMIFS(Table2[NewPointsAway],Table2[GameDate], "&lt;=" &amp; $A33, Table2[AwayTeam], AE$1)+SUMIFS(Table2[NewPointsHome],Table2[GameDate], "&lt;=" &amp; $A33, Table2[HomeTeam], AE$1)</f>
        <v>1</v>
      </c>
      <c r="AF33" s="145">
        <f>SUMIFS(Table2[NewPointsAway],Table2[GameDate], "&lt;=" &amp; $A33, Table2[AwayTeam], AF$1)+SUMIFS(Table2[NewPointsHome],Table2[GameDate], "&lt;=" &amp; $A33, Table2[HomeTeam], AF$1)</f>
        <v>0</v>
      </c>
      <c r="AG33" s="145">
        <f>SUMIFS(Table2[NewPointsAway],Table2[GameDate], "&lt;=" &amp; $A33, Table2[AwayTeam], AG$1)+SUMIFS(Table2[NewPointsHome],Table2[GameDate], "&lt;=" &amp; $A33, Table2[HomeTeam], AG$1)</f>
        <v>0</v>
      </c>
    </row>
    <row r="34" spans="1:33" x14ac:dyDescent="0.25">
      <c r="A34" s="3">
        <v>45965</v>
      </c>
      <c r="B34" s="145">
        <f>SUMIFS(Table2[NewPointsAway],Table2[GameDate], "&lt;=" &amp; $A34, Table2[AwayTeam], B$1)+SUMIFS(Table2[NewPointsHome],Table2[GameDate], "&lt;=" &amp; $A34, Table2[HomeTeam], B$1)</f>
        <v>0</v>
      </c>
      <c r="C34" s="145">
        <f>SUMIFS(Table2[NewPointsAway],Table2[GameDate], "&lt;=" &amp; $A34, Table2[AwayTeam], C$1)+SUMIFS(Table2[NewPointsHome],Table2[GameDate], "&lt;=" &amp; $A34, Table2[HomeTeam], C$1)</f>
        <v>2</v>
      </c>
      <c r="D34" s="145">
        <f>SUMIFS(Table2[NewPointsAway],Table2[GameDate], "&lt;=" &amp; $A34, Table2[AwayTeam], D$1)+SUMIFS(Table2[NewPointsHome],Table2[GameDate], "&lt;=" &amp; $A34, Table2[HomeTeam], D$1)</f>
        <v>0</v>
      </c>
      <c r="E34" s="145">
        <f>SUMIFS(Table2[NewPointsAway],Table2[GameDate], "&lt;=" &amp; $A34, Table2[AwayTeam], E$1)+SUMIFS(Table2[NewPointsHome],Table2[GameDate], "&lt;=" &amp; $A34, Table2[HomeTeam], E$1)</f>
        <v>0</v>
      </c>
      <c r="F34" s="145">
        <f>SUMIFS(Table2[NewPointsAway],Table2[GameDate], "&lt;=" &amp; $A34, Table2[AwayTeam], F$1)+SUMIFS(Table2[NewPointsHome],Table2[GameDate], "&lt;=" &amp; $A34, Table2[HomeTeam], F$1)</f>
        <v>0</v>
      </c>
      <c r="G34" s="145">
        <f>SUMIFS(Table2[NewPointsAway],Table2[GameDate], "&lt;=" &amp; $A34, Table2[AwayTeam], G$1)+SUMIFS(Table2[NewPointsHome],Table2[GameDate], "&lt;=" &amp; $A34, Table2[HomeTeam], G$1)</f>
        <v>2</v>
      </c>
      <c r="H34" s="145">
        <f>SUMIFS(Table2[NewPointsAway],Table2[GameDate], "&lt;=" &amp; $A34, Table2[AwayTeam], H$1)+SUMIFS(Table2[NewPointsHome],Table2[GameDate], "&lt;=" &amp; $A34, Table2[HomeTeam], H$1)</f>
        <v>0</v>
      </c>
      <c r="I34" s="145">
        <f>SUMIFS(Table2[NewPointsAway],Table2[GameDate], "&lt;=" &amp; $A34, Table2[AwayTeam], I$1)+SUMIFS(Table2[NewPointsHome],Table2[GameDate], "&lt;=" &amp; $A34, Table2[HomeTeam], I$1)</f>
        <v>2</v>
      </c>
      <c r="J34" s="145">
        <f>SUMIFS(Table2[NewPointsAway],Table2[GameDate], "&lt;=" &amp; $A34, Table2[AwayTeam], J$1)+SUMIFS(Table2[NewPointsHome],Table2[GameDate], "&lt;=" &amp; $A34, Table2[HomeTeam], J$1)</f>
        <v>0</v>
      </c>
      <c r="K34" s="145">
        <f>SUMIFS(Table2[NewPointsAway],Table2[GameDate], "&lt;=" &amp; $A34, Table2[AwayTeam], K$1)+SUMIFS(Table2[NewPointsHome],Table2[GameDate], "&lt;=" &amp; $A34, Table2[HomeTeam], K$1)</f>
        <v>0</v>
      </c>
      <c r="L34" s="145">
        <f>SUMIFS(Table2[NewPointsAway],Table2[GameDate], "&lt;=" &amp; $A34, Table2[AwayTeam], L$1)+SUMIFS(Table2[NewPointsHome],Table2[GameDate], "&lt;=" &amp; $A34, Table2[HomeTeam], L$1)</f>
        <v>1</v>
      </c>
      <c r="M34" s="145">
        <f>SUMIFS(Table2[NewPointsAway],Table2[GameDate], "&lt;=" &amp; $A34, Table2[AwayTeam], M$1)+SUMIFS(Table2[NewPointsHome],Table2[GameDate], "&lt;=" &amp; $A34, Table2[HomeTeam], M$1)</f>
        <v>2</v>
      </c>
      <c r="N34" s="145">
        <f>SUMIFS(Table2[NewPointsAway],Table2[GameDate], "&lt;=" &amp; $A34, Table2[AwayTeam], N$1)+SUMIFS(Table2[NewPointsHome],Table2[GameDate], "&lt;=" &amp; $A34, Table2[HomeTeam], N$1)</f>
        <v>2</v>
      </c>
      <c r="O34" s="145">
        <f>SUMIFS(Table2[NewPointsAway],Table2[GameDate], "&lt;=" &amp; $A34, Table2[AwayTeam], O$1)+SUMIFS(Table2[NewPointsHome],Table2[GameDate], "&lt;=" &amp; $A34, Table2[HomeTeam], O$1)</f>
        <v>0</v>
      </c>
      <c r="P34" s="145">
        <f>SUMIFS(Table2[NewPointsAway],Table2[GameDate], "&lt;=" &amp; $A34, Table2[AwayTeam], P$1)+SUMIFS(Table2[NewPointsHome],Table2[GameDate], "&lt;=" &amp; $A34, Table2[HomeTeam], P$1)</f>
        <v>0</v>
      </c>
      <c r="Q34" s="145">
        <f>SUMIFS(Table2[NewPointsAway],Table2[GameDate], "&lt;=" &amp; $A34, Table2[AwayTeam], Q$1)+SUMIFS(Table2[NewPointsHome],Table2[GameDate], "&lt;=" &amp; $A34, Table2[HomeTeam], Q$1)</f>
        <v>0</v>
      </c>
      <c r="R34" s="145">
        <f>SUMIFS(Table2[NewPointsAway],Table2[GameDate], "&lt;=" &amp; $A34, Table2[AwayTeam], R$1)+SUMIFS(Table2[NewPointsHome],Table2[GameDate], "&lt;=" &amp; $A34, Table2[HomeTeam], R$1)</f>
        <v>0</v>
      </c>
      <c r="S34" s="145">
        <f>SUMIFS(Table2[NewPointsAway],Table2[GameDate], "&lt;=" &amp; $A34, Table2[AwayTeam], S$1)+SUMIFS(Table2[NewPointsHome],Table2[GameDate], "&lt;=" &amp; $A34, Table2[HomeTeam], S$1)</f>
        <v>0</v>
      </c>
      <c r="T34" s="145">
        <f>SUMIFS(Table2[NewPointsAway],Table2[GameDate], "&lt;=" &amp; $A34, Table2[AwayTeam], T$1)+SUMIFS(Table2[NewPointsHome],Table2[GameDate], "&lt;=" &amp; $A34, Table2[HomeTeam], T$1)</f>
        <v>0</v>
      </c>
      <c r="U34" s="145">
        <f>SUMIFS(Table2[NewPointsAway],Table2[GameDate], "&lt;=" &amp; $A34, Table2[AwayTeam], U$1)+SUMIFS(Table2[NewPointsHome],Table2[GameDate], "&lt;=" &amp; $A34, Table2[HomeTeam], U$1)</f>
        <v>0</v>
      </c>
      <c r="V34" s="145">
        <f>SUMIFS(Table2[NewPointsAway],Table2[GameDate], "&lt;=" &amp; $A34, Table2[AwayTeam], V$1)+SUMIFS(Table2[NewPointsHome],Table2[GameDate], "&lt;=" &amp; $A34, Table2[HomeTeam], V$1)</f>
        <v>0</v>
      </c>
      <c r="W34" s="145">
        <f>SUMIFS(Table2[NewPointsAway],Table2[GameDate], "&lt;=" &amp; $A34, Table2[AwayTeam], W$1)+SUMIFS(Table2[NewPointsHome],Table2[GameDate], "&lt;=" &amp; $A34, Table2[HomeTeam], W$1)</f>
        <v>2</v>
      </c>
      <c r="X34" s="145">
        <f>SUMIFS(Table2[NewPointsAway],Table2[GameDate], "&lt;=" &amp; $A34, Table2[AwayTeam], X$1)+SUMIFS(Table2[NewPointsHome],Table2[GameDate], "&lt;=" &amp; $A34, Table2[HomeTeam], X$1)</f>
        <v>0</v>
      </c>
      <c r="Y34" s="145">
        <f>SUMIFS(Table2[NewPointsAway],Table2[GameDate], "&lt;=" &amp; $A34, Table2[AwayTeam], Y$1)+SUMIFS(Table2[NewPointsHome],Table2[GameDate], "&lt;=" &amp; $A34, Table2[HomeTeam], Y$1)</f>
        <v>0</v>
      </c>
      <c r="Z34" s="145">
        <f>SUMIFS(Table2[NewPointsAway],Table2[GameDate], "&lt;=" &amp; $A34, Table2[AwayTeam], Z$1)+SUMIFS(Table2[NewPointsHome],Table2[GameDate], "&lt;=" &amp; $A34, Table2[HomeTeam], Z$1)</f>
        <v>0</v>
      </c>
      <c r="AA34" s="145">
        <f>SUMIFS(Table2[NewPointsAway],Table2[GameDate], "&lt;=" &amp; $A34, Table2[AwayTeam], AA$1)+SUMIFS(Table2[NewPointsHome],Table2[GameDate], "&lt;=" &amp; $A34, Table2[HomeTeam], AA$1)</f>
        <v>0</v>
      </c>
      <c r="AB34" s="145">
        <f>SUMIFS(Table2[NewPointsAway],Table2[GameDate], "&lt;=" &amp; $A34, Table2[AwayTeam], AB$1)+SUMIFS(Table2[NewPointsHome],Table2[GameDate], "&lt;=" &amp; $A34, Table2[HomeTeam], AB$1)</f>
        <v>2</v>
      </c>
      <c r="AC34" s="145">
        <f>SUMIFS(Table2[NewPointsAway],Table2[GameDate], "&lt;=" &amp; $A34, Table2[AwayTeam], AC$1)+SUMIFS(Table2[NewPointsHome],Table2[GameDate], "&lt;=" &amp; $A34, Table2[HomeTeam], AC$1)</f>
        <v>0</v>
      </c>
      <c r="AD34" s="145">
        <f>SUMIFS(Table2[NewPointsAway],Table2[GameDate], "&lt;=" &amp; $A34, Table2[AwayTeam], AD$1)+SUMIFS(Table2[NewPointsHome],Table2[GameDate], "&lt;=" &amp; $A34, Table2[HomeTeam], AD$1)</f>
        <v>0</v>
      </c>
      <c r="AE34" s="145">
        <f>SUMIFS(Table2[NewPointsAway],Table2[GameDate], "&lt;=" &amp; $A34, Table2[AwayTeam], AE$1)+SUMIFS(Table2[NewPointsHome],Table2[GameDate], "&lt;=" &amp; $A34, Table2[HomeTeam], AE$1)</f>
        <v>1</v>
      </c>
      <c r="AF34" s="145">
        <f>SUMIFS(Table2[NewPointsAway],Table2[GameDate], "&lt;=" &amp; $A34, Table2[AwayTeam], AF$1)+SUMIFS(Table2[NewPointsHome],Table2[GameDate], "&lt;=" &amp; $A34, Table2[HomeTeam], AF$1)</f>
        <v>0</v>
      </c>
      <c r="AG34" s="145">
        <f>SUMIFS(Table2[NewPointsAway],Table2[GameDate], "&lt;=" &amp; $A34, Table2[AwayTeam], AG$1)+SUMIFS(Table2[NewPointsHome],Table2[GameDate], "&lt;=" &amp; $A34, Table2[HomeTeam], AG$1)</f>
        <v>0</v>
      </c>
    </row>
    <row r="35" spans="1:33" x14ac:dyDescent="0.25">
      <c r="A35" s="3">
        <v>45966</v>
      </c>
      <c r="B35" s="145">
        <f>SUMIFS(Table2[NewPointsAway],Table2[GameDate], "&lt;=" &amp; $A35, Table2[AwayTeam], B$1)+SUMIFS(Table2[NewPointsHome],Table2[GameDate], "&lt;=" &amp; $A35, Table2[HomeTeam], B$1)</f>
        <v>0</v>
      </c>
      <c r="C35" s="145">
        <f>SUMIFS(Table2[NewPointsAway],Table2[GameDate], "&lt;=" &amp; $A35, Table2[AwayTeam], C$1)+SUMIFS(Table2[NewPointsHome],Table2[GameDate], "&lt;=" &amp; $A35, Table2[HomeTeam], C$1)</f>
        <v>2</v>
      </c>
      <c r="D35" s="145">
        <f>SUMIFS(Table2[NewPointsAway],Table2[GameDate], "&lt;=" &amp; $A35, Table2[AwayTeam], D$1)+SUMIFS(Table2[NewPointsHome],Table2[GameDate], "&lt;=" &amp; $A35, Table2[HomeTeam], D$1)</f>
        <v>0</v>
      </c>
      <c r="E35" s="145">
        <f>SUMIFS(Table2[NewPointsAway],Table2[GameDate], "&lt;=" &amp; $A35, Table2[AwayTeam], E$1)+SUMIFS(Table2[NewPointsHome],Table2[GameDate], "&lt;=" &amp; $A35, Table2[HomeTeam], E$1)</f>
        <v>0</v>
      </c>
      <c r="F35" s="145">
        <f>SUMIFS(Table2[NewPointsAway],Table2[GameDate], "&lt;=" &amp; $A35, Table2[AwayTeam], F$1)+SUMIFS(Table2[NewPointsHome],Table2[GameDate], "&lt;=" &amp; $A35, Table2[HomeTeam], F$1)</f>
        <v>0</v>
      </c>
      <c r="G35" s="145">
        <f>SUMIFS(Table2[NewPointsAway],Table2[GameDate], "&lt;=" &amp; $A35, Table2[AwayTeam], G$1)+SUMIFS(Table2[NewPointsHome],Table2[GameDate], "&lt;=" &amp; $A35, Table2[HomeTeam], G$1)</f>
        <v>2</v>
      </c>
      <c r="H35" s="145">
        <f>SUMIFS(Table2[NewPointsAway],Table2[GameDate], "&lt;=" &amp; $A35, Table2[AwayTeam], H$1)+SUMIFS(Table2[NewPointsHome],Table2[GameDate], "&lt;=" &amp; $A35, Table2[HomeTeam], H$1)</f>
        <v>0</v>
      </c>
      <c r="I35" s="145">
        <f>SUMIFS(Table2[NewPointsAway],Table2[GameDate], "&lt;=" &amp; $A35, Table2[AwayTeam], I$1)+SUMIFS(Table2[NewPointsHome],Table2[GameDate], "&lt;=" &amp; $A35, Table2[HomeTeam], I$1)</f>
        <v>2</v>
      </c>
      <c r="J35" s="145">
        <f>SUMIFS(Table2[NewPointsAway],Table2[GameDate], "&lt;=" &amp; $A35, Table2[AwayTeam], J$1)+SUMIFS(Table2[NewPointsHome],Table2[GameDate], "&lt;=" &amp; $A35, Table2[HomeTeam], J$1)</f>
        <v>0</v>
      </c>
      <c r="K35" s="145">
        <f>SUMIFS(Table2[NewPointsAway],Table2[GameDate], "&lt;=" &amp; $A35, Table2[AwayTeam], K$1)+SUMIFS(Table2[NewPointsHome],Table2[GameDate], "&lt;=" &amp; $A35, Table2[HomeTeam], K$1)</f>
        <v>0</v>
      </c>
      <c r="L35" s="145">
        <f>SUMIFS(Table2[NewPointsAway],Table2[GameDate], "&lt;=" &amp; $A35, Table2[AwayTeam], L$1)+SUMIFS(Table2[NewPointsHome],Table2[GameDate], "&lt;=" &amp; $A35, Table2[HomeTeam], L$1)</f>
        <v>1</v>
      </c>
      <c r="M35" s="145">
        <f>SUMIFS(Table2[NewPointsAway],Table2[GameDate], "&lt;=" &amp; $A35, Table2[AwayTeam], M$1)+SUMIFS(Table2[NewPointsHome],Table2[GameDate], "&lt;=" &amp; $A35, Table2[HomeTeam], M$1)</f>
        <v>2</v>
      </c>
      <c r="N35" s="145">
        <f>SUMIFS(Table2[NewPointsAway],Table2[GameDate], "&lt;=" &amp; $A35, Table2[AwayTeam], N$1)+SUMIFS(Table2[NewPointsHome],Table2[GameDate], "&lt;=" &amp; $A35, Table2[HomeTeam], N$1)</f>
        <v>2</v>
      </c>
      <c r="O35" s="145">
        <f>SUMIFS(Table2[NewPointsAway],Table2[GameDate], "&lt;=" &amp; $A35, Table2[AwayTeam], O$1)+SUMIFS(Table2[NewPointsHome],Table2[GameDate], "&lt;=" &amp; $A35, Table2[HomeTeam], O$1)</f>
        <v>0</v>
      </c>
      <c r="P35" s="145">
        <f>SUMIFS(Table2[NewPointsAway],Table2[GameDate], "&lt;=" &amp; $A35, Table2[AwayTeam], P$1)+SUMIFS(Table2[NewPointsHome],Table2[GameDate], "&lt;=" &amp; $A35, Table2[HomeTeam], P$1)</f>
        <v>0</v>
      </c>
      <c r="Q35" s="145">
        <f>SUMIFS(Table2[NewPointsAway],Table2[GameDate], "&lt;=" &amp; $A35, Table2[AwayTeam], Q$1)+SUMIFS(Table2[NewPointsHome],Table2[GameDate], "&lt;=" &amp; $A35, Table2[HomeTeam], Q$1)</f>
        <v>0</v>
      </c>
      <c r="R35" s="145">
        <f>SUMIFS(Table2[NewPointsAway],Table2[GameDate], "&lt;=" &amp; $A35, Table2[AwayTeam], R$1)+SUMIFS(Table2[NewPointsHome],Table2[GameDate], "&lt;=" &amp; $A35, Table2[HomeTeam], R$1)</f>
        <v>0</v>
      </c>
      <c r="S35" s="145">
        <f>SUMIFS(Table2[NewPointsAway],Table2[GameDate], "&lt;=" &amp; $A35, Table2[AwayTeam], S$1)+SUMIFS(Table2[NewPointsHome],Table2[GameDate], "&lt;=" &amp; $A35, Table2[HomeTeam], S$1)</f>
        <v>0</v>
      </c>
      <c r="T35" s="145">
        <f>SUMIFS(Table2[NewPointsAway],Table2[GameDate], "&lt;=" &amp; $A35, Table2[AwayTeam], T$1)+SUMIFS(Table2[NewPointsHome],Table2[GameDate], "&lt;=" &amp; $A35, Table2[HomeTeam], T$1)</f>
        <v>0</v>
      </c>
      <c r="U35" s="145">
        <f>SUMIFS(Table2[NewPointsAway],Table2[GameDate], "&lt;=" &amp; $A35, Table2[AwayTeam], U$1)+SUMIFS(Table2[NewPointsHome],Table2[GameDate], "&lt;=" &amp; $A35, Table2[HomeTeam], U$1)</f>
        <v>0</v>
      </c>
      <c r="V35" s="145">
        <f>SUMIFS(Table2[NewPointsAway],Table2[GameDate], "&lt;=" &amp; $A35, Table2[AwayTeam], V$1)+SUMIFS(Table2[NewPointsHome],Table2[GameDate], "&lt;=" &amp; $A35, Table2[HomeTeam], V$1)</f>
        <v>0</v>
      </c>
      <c r="W35" s="145">
        <f>SUMIFS(Table2[NewPointsAway],Table2[GameDate], "&lt;=" &amp; $A35, Table2[AwayTeam], W$1)+SUMIFS(Table2[NewPointsHome],Table2[GameDate], "&lt;=" &amp; $A35, Table2[HomeTeam], W$1)</f>
        <v>2</v>
      </c>
      <c r="X35" s="145">
        <f>SUMIFS(Table2[NewPointsAway],Table2[GameDate], "&lt;=" &amp; $A35, Table2[AwayTeam], X$1)+SUMIFS(Table2[NewPointsHome],Table2[GameDate], "&lt;=" &amp; $A35, Table2[HomeTeam], X$1)</f>
        <v>0</v>
      </c>
      <c r="Y35" s="145">
        <f>SUMIFS(Table2[NewPointsAway],Table2[GameDate], "&lt;=" &amp; $A35, Table2[AwayTeam], Y$1)+SUMIFS(Table2[NewPointsHome],Table2[GameDate], "&lt;=" &amp; $A35, Table2[HomeTeam], Y$1)</f>
        <v>0</v>
      </c>
      <c r="Z35" s="145">
        <f>SUMIFS(Table2[NewPointsAway],Table2[GameDate], "&lt;=" &amp; $A35, Table2[AwayTeam], Z$1)+SUMIFS(Table2[NewPointsHome],Table2[GameDate], "&lt;=" &amp; $A35, Table2[HomeTeam], Z$1)</f>
        <v>0</v>
      </c>
      <c r="AA35" s="145">
        <f>SUMIFS(Table2[NewPointsAway],Table2[GameDate], "&lt;=" &amp; $A35, Table2[AwayTeam], AA$1)+SUMIFS(Table2[NewPointsHome],Table2[GameDate], "&lt;=" &amp; $A35, Table2[HomeTeam], AA$1)</f>
        <v>0</v>
      </c>
      <c r="AB35" s="145">
        <f>SUMIFS(Table2[NewPointsAway],Table2[GameDate], "&lt;=" &amp; $A35, Table2[AwayTeam], AB$1)+SUMIFS(Table2[NewPointsHome],Table2[GameDate], "&lt;=" &amp; $A35, Table2[HomeTeam], AB$1)</f>
        <v>2</v>
      </c>
      <c r="AC35" s="145">
        <f>SUMIFS(Table2[NewPointsAway],Table2[GameDate], "&lt;=" &amp; $A35, Table2[AwayTeam], AC$1)+SUMIFS(Table2[NewPointsHome],Table2[GameDate], "&lt;=" &amp; $A35, Table2[HomeTeam], AC$1)</f>
        <v>0</v>
      </c>
      <c r="AD35" s="145">
        <f>SUMIFS(Table2[NewPointsAway],Table2[GameDate], "&lt;=" &amp; $A35, Table2[AwayTeam], AD$1)+SUMIFS(Table2[NewPointsHome],Table2[GameDate], "&lt;=" &amp; $A35, Table2[HomeTeam], AD$1)</f>
        <v>0</v>
      </c>
      <c r="AE35" s="145">
        <f>SUMIFS(Table2[NewPointsAway],Table2[GameDate], "&lt;=" &amp; $A35, Table2[AwayTeam], AE$1)+SUMIFS(Table2[NewPointsHome],Table2[GameDate], "&lt;=" &amp; $A35, Table2[HomeTeam], AE$1)</f>
        <v>1</v>
      </c>
      <c r="AF35" s="145">
        <f>SUMIFS(Table2[NewPointsAway],Table2[GameDate], "&lt;=" &amp; $A35, Table2[AwayTeam], AF$1)+SUMIFS(Table2[NewPointsHome],Table2[GameDate], "&lt;=" &amp; $A35, Table2[HomeTeam], AF$1)</f>
        <v>0</v>
      </c>
      <c r="AG35" s="145">
        <f>SUMIFS(Table2[NewPointsAway],Table2[GameDate], "&lt;=" &amp; $A35, Table2[AwayTeam], AG$1)+SUMIFS(Table2[NewPointsHome],Table2[GameDate], "&lt;=" &amp; $A35, Table2[HomeTeam], AG$1)</f>
        <v>0</v>
      </c>
    </row>
    <row r="36" spans="1:33" x14ac:dyDescent="0.25">
      <c r="A36" s="3">
        <v>45967</v>
      </c>
      <c r="B36" s="145">
        <f>SUMIFS(Table2[NewPointsAway],Table2[GameDate], "&lt;=" &amp; $A36, Table2[AwayTeam], B$1)+SUMIFS(Table2[NewPointsHome],Table2[GameDate], "&lt;=" &amp; $A36, Table2[HomeTeam], B$1)</f>
        <v>0</v>
      </c>
      <c r="C36" s="145">
        <f>SUMIFS(Table2[NewPointsAway],Table2[GameDate], "&lt;=" &amp; $A36, Table2[AwayTeam], C$1)+SUMIFS(Table2[NewPointsHome],Table2[GameDate], "&lt;=" &amp; $A36, Table2[HomeTeam], C$1)</f>
        <v>2</v>
      </c>
      <c r="D36" s="145">
        <f>SUMIFS(Table2[NewPointsAway],Table2[GameDate], "&lt;=" &amp; $A36, Table2[AwayTeam], D$1)+SUMIFS(Table2[NewPointsHome],Table2[GameDate], "&lt;=" &amp; $A36, Table2[HomeTeam], D$1)</f>
        <v>0</v>
      </c>
      <c r="E36" s="145">
        <f>SUMIFS(Table2[NewPointsAway],Table2[GameDate], "&lt;=" &amp; $A36, Table2[AwayTeam], E$1)+SUMIFS(Table2[NewPointsHome],Table2[GameDate], "&lt;=" &amp; $A36, Table2[HomeTeam], E$1)</f>
        <v>0</v>
      </c>
      <c r="F36" s="145">
        <f>SUMIFS(Table2[NewPointsAway],Table2[GameDate], "&lt;=" &amp; $A36, Table2[AwayTeam], F$1)+SUMIFS(Table2[NewPointsHome],Table2[GameDate], "&lt;=" &amp; $A36, Table2[HomeTeam], F$1)</f>
        <v>0</v>
      </c>
      <c r="G36" s="145">
        <f>SUMIFS(Table2[NewPointsAway],Table2[GameDate], "&lt;=" &amp; $A36, Table2[AwayTeam], G$1)+SUMIFS(Table2[NewPointsHome],Table2[GameDate], "&lt;=" &amp; $A36, Table2[HomeTeam], G$1)</f>
        <v>2</v>
      </c>
      <c r="H36" s="145">
        <f>SUMIFS(Table2[NewPointsAway],Table2[GameDate], "&lt;=" &amp; $A36, Table2[AwayTeam], H$1)+SUMIFS(Table2[NewPointsHome],Table2[GameDate], "&lt;=" &amp; $A36, Table2[HomeTeam], H$1)</f>
        <v>0</v>
      </c>
      <c r="I36" s="145">
        <f>SUMIFS(Table2[NewPointsAway],Table2[GameDate], "&lt;=" &amp; $A36, Table2[AwayTeam], I$1)+SUMIFS(Table2[NewPointsHome],Table2[GameDate], "&lt;=" &amp; $A36, Table2[HomeTeam], I$1)</f>
        <v>2</v>
      </c>
      <c r="J36" s="145">
        <f>SUMIFS(Table2[NewPointsAway],Table2[GameDate], "&lt;=" &amp; $A36, Table2[AwayTeam], J$1)+SUMIFS(Table2[NewPointsHome],Table2[GameDate], "&lt;=" &amp; $A36, Table2[HomeTeam], J$1)</f>
        <v>0</v>
      </c>
      <c r="K36" s="145">
        <f>SUMIFS(Table2[NewPointsAway],Table2[GameDate], "&lt;=" &amp; $A36, Table2[AwayTeam], K$1)+SUMIFS(Table2[NewPointsHome],Table2[GameDate], "&lt;=" &amp; $A36, Table2[HomeTeam], K$1)</f>
        <v>0</v>
      </c>
      <c r="L36" s="145">
        <f>SUMIFS(Table2[NewPointsAway],Table2[GameDate], "&lt;=" &amp; $A36, Table2[AwayTeam], L$1)+SUMIFS(Table2[NewPointsHome],Table2[GameDate], "&lt;=" &amp; $A36, Table2[HomeTeam], L$1)</f>
        <v>1</v>
      </c>
      <c r="M36" s="145">
        <f>SUMIFS(Table2[NewPointsAway],Table2[GameDate], "&lt;=" &amp; $A36, Table2[AwayTeam], M$1)+SUMIFS(Table2[NewPointsHome],Table2[GameDate], "&lt;=" &amp; $A36, Table2[HomeTeam], M$1)</f>
        <v>2</v>
      </c>
      <c r="N36" s="145">
        <f>SUMIFS(Table2[NewPointsAway],Table2[GameDate], "&lt;=" &amp; $A36, Table2[AwayTeam], N$1)+SUMIFS(Table2[NewPointsHome],Table2[GameDate], "&lt;=" &amp; $A36, Table2[HomeTeam], N$1)</f>
        <v>2</v>
      </c>
      <c r="O36" s="145">
        <f>SUMIFS(Table2[NewPointsAway],Table2[GameDate], "&lt;=" &amp; $A36, Table2[AwayTeam], O$1)+SUMIFS(Table2[NewPointsHome],Table2[GameDate], "&lt;=" &amp; $A36, Table2[HomeTeam], O$1)</f>
        <v>0</v>
      </c>
      <c r="P36" s="145">
        <f>SUMIFS(Table2[NewPointsAway],Table2[GameDate], "&lt;=" &amp; $A36, Table2[AwayTeam], P$1)+SUMIFS(Table2[NewPointsHome],Table2[GameDate], "&lt;=" &amp; $A36, Table2[HomeTeam], P$1)</f>
        <v>0</v>
      </c>
      <c r="Q36" s="145">
        <f>SUMIFS(Table2[NewPointsAway],Table2[GameDate], "&lt;=" &amp; $A36, Table2[AwayTeam], Q$1)+SUMIFS(Table2[NewPointsHome],Table2[GameDate], "&lt;=" &amp; $A36, Table2[HomeTeam], Q$1)</f>
        <v>0</v>
      </c>
      <c r="R36" s="145">
        <f>SUMIFS(Table2[NewPointsAway],Table2[GameDate], "&lt;=" &amp; $A36, Table2[AwayTeam], R$1)+SUMIFS(Table2[NewPointsHome],Table2[GameDate], "&lt;=" &amp; $A36, Table2[HomeTeam], R$1)</f>
        <v>0</v>
      </c>
      <c r="S36" s="145">
        <f>SUMIFS(Table2[NewPointsAway],Table2[GameDate], "&lt;=" &amp; $A36, Table2[AwayTeam], S$1)+SUMIFS(Table2[NewPointsHome],Table2[GameDate], "&lt;=" &amp; $A36, Table2[HomeTeam], S$1)</f>
        <v>0</v>
      </c>
      <c r="T36" s="145">
        <f>SUMIFS(Table2[NewPointsAway],Table2[GameDate], "&lt;=" &amp; $A36, Table2[AwayTeam], T$1)+SUMIFS(Table2[NewPointsHome],Table2[GameDate], "&lt;=" &amp; $A36, Table2[HomeTeam], T$1)</f>
        <v>0</v>
      </c>
      <c r="U36" s="145">
        <f>SUMIFS(Table2[NewPointsAway],Table2[GameDate], "&lt;=" &amp; $A36, Table2[AwayTeam], U$1)+SUMIFS(Table2[NewPointsHome],Table2[GameDate], "&lt;=" &amp; $A36, Table2[HomeTeam], U$1)</f>
        <v>0</v>
      </c>
      <c r="V36" s="145">
        <f>SUMIFS(Table2[NewPointsAway],Table2[GameDate], "&lt;=" &amp; $A36, Table2[AwayTeam], V$1)+SUMIFS(Table2[NewPointsHome],Table2[GameDate], "&lt;=" &amp; $A36, Table2[HomeTeam], V$1)</f>
        <v>0</v>
      </c>
      <c r="W36" s="145">
        <f>SUMIFS(Table2[NewPointsAway],Table2[GameDate], "&lt;=" &amp; $A36, Table2[AwayTeam], W$1)+SUMIFS(Table2[NewPointsHome],Table2[GameDate], "&lt;=" &amp; $A36, Table2[HomeTeam], W$1)</f>
        <v>2</v>
      </c>
      <c r="X36" s="145">
        <f>SUMIFS(Table2[NewPointsAway],Table2[GameDate], "&lt;=" &amp; $A36, Table2[AwayTeam], X$1)+SUMIFS(Table2[NewPointsHome],Table2[GameDate], "&lt;=" &amp; $A36, Table2[HomeTeam], X$1)</f>
        <v>0</v>
      </c>
      <c r="Y36" s="145">
        <f>SUMIFS(Table2[NewPointsAway],Table2[GameDate], "&lt;=" &amp; $A36, Table2[AwayTeam], Y$1)+SUMIFS(Table2[NewPointsHome],Table2[GameDate], "&lt;=" &amp; $A36, Table2[HomeTeam], Y$1)</f>
        <v>0</v>
      </c>
      <c r="Z36" s="145">
        <f>SUMIFS(Table2[NewPointsAway],Table2[GameDate], "&lt;=" &amp; $A36, Table2[AwayTeam], Z$1)+SUMIFS(Table2[NewPointsHome],Table2[GameDate], "&lt;=" &amp; $A36, Table2[HomeTeam], Z$1)</f>
        <v>0</v>
      </c>
      <c r="AA36" s="145">
        <f>SUMIFS(Table2[NewPointsAway],Table2[GameDate], "&lt;=" &amp; $A36, Table2[AwayTeam], AA$1)+SUMIFS(Table2[NewPointsHome],Table2[GameDate], "&lt;=" &amp; $A36, Table2[HomeTeam], AA$1)</f>
        <v>0</v>
      </c>
      <c r="AB36" s="145">
        <f>SUMIFS(Table2[NewPointsAway],Table2[GameDate], "&lt;=" &amp; $A36, Table2[AwayTeam], AB$1)+SUMIFS(Table2[NewPointsHome],Table2[GameDate], "&lt;=" &amp; $A36, Table2[HomeTeam], AB$1)</f>
        <v>2</v>
      </c>
      <c r="AC36" s="145">
        <f>SUMIFS(Table2[NewPointsAway],Table2[GameDate], "&lt;=" &amp; $A36, Table2[AwayTeam], AC$1)+SUMIFS(Table2[NewPointsHome],Table2[GameDate], "&lt;=" &amp; $A36, Table2[HomeTeam], AC$1)</f>
        <v>0</v>
      </c>
      <c r="AD36" s="145">
        <f>SUMIFS(Table2[NewPointsAway],Table2[GameDate], "&lt;=" &amp; $A36, Table2[AwayTeam], AD$1)+SUMIFS(Table2[NewPointsHome],Table2[GameDate], "&lt;=" &amp; $A36, Table2[HomeTeam], AD$1)</f>
        <v>0</v>
      </c>
      <c r="AE36" s="145">
        <f>SUMIFS(Table2[NewPointsAway],Table2[GameDate], "&lt;=" &amp; $A36, Table2[AwayTeam], AE$1)+SUMIFS(Table2[NewPointsHome],Table2[GameDate], "&lt;=" &amp; $A36, Table2[HomeTeam], AE$1)</f>
        <v>1</v>
      </c>
      <c r="AF36" s="145">
        <f>SUMIFS(Table2[NewPointsAway],Table2[GameDate], "&lt;=" &amp; $A36, Table2[AwayTeam], AF$1)+SUMIFS(Table2[NewPointsHome],Table2[GameDate], "&lt;=" &amp; $A36, Table2[HomeTeam], AF$1)</f>
        <v>0</v>
      </c>
      <c r="AG36" s="145">
        <f>SUMIFS(Table2[NewPointsAway],Table2[GameDate], "&lt;=" &amp; $A36, Table2[AwayTeam], AG$1)+SUMIFS(Table2[NewPointsHome],Table2[GameDate], "&lt;=" &amp; $A36, Table2[HomeTeam], AG$1)</f>
        <v>0</v>
      </c>
    </row>
    <row r="37" spans="1:33" x14ac:dyDescent="0.25">
      <c r="A37" s="3">
        <v>45968</v>
      </c>
      <c r="B37" s="145">
        <f>SUMIFS(Table2[NewPointsAway],Table2[GameDate], "&lt;=" &amp; $A37, Table2[AwayTeam], B$1)+SUMIFS(Table2[NewPointsHome],Table2[GameDate], "&lt;=" &amp; $A37, Table2[HomeTeam], B$1)</f>
        <v>0</v>
      </c>
      <c r="C37" s="145">
        <f>SUMIFS(Table2[NewPointsAway],Table2[GameDate], "&lt;=" &amp; $A37, Table2[AwayTeam], C$1)+SUMIFS(Table2[NewPointsHome],Table2[GameDate], "&lt;=" &amp; $A37, Table2[HomeTeam], C$1)</f>
        <v>2</v>
      </c>
      <c r="D37" s="145">
        <f>SUMIFS(Table2[NewPointsAway],Table2[GameDate], "&lt;=" &amp; $A37, Table2[AwayTeam], D$1)+SUMIFS(Table2[NewPointsHome],Table2[GameDate], "&lt;=" &amp; $A37, Table2[HomeTeam], D$1)</f>
        <v>0</v>
      </c>
      <c r="E37" s="145">
        <f>SUMIFS(Table2[NewPointsAway],Table2[GameDate], "&lt;=" &amp; $A37, Table2[AwayTeam], E$1)+SUMIFS(Table2[NewPointsHome],Table2[GameDate], "&lt;=" &amp; $A37, Table2[HomeTeam], E$1)</f>
        <v>0</v>
      </c>
      <c r="F37" s="145">
        <f>SUMIFS(Table2[NewPointsAway],Table2[GameDate], "&lt;=" &amp; $A37, Table2[AwayTeam], F$1)+SUMIFS(Table2[NewPointsHome],Table2[GameDate], "&lt;=" &amp; $A37, Table2[HomeTeam], F$1)</f>
        <v>0</v>
      </c>
      <c r="G37" s="145">
        <f>SUMIFS(Table2[NewPointsAway],Table2[GameDate], "&lt;=" &amp; $A37, Table2[AwayTeam], G$1)+SUMIFS(Table2[NewPointsHome],Table2[GameDate], "&lt;=" &amp; $A37, Table2[HomeTeam], G$1)</f>
        <v>2</v>
      </c>
      <c r="H37" s="145">
        <f>SUMIFS(Table2[NewPointsAway],Table2[GameDate], "&lt;=" &amp; $A37, Table2[AwayTeam], H$1)+SUMIFS(Table2[NewPointsHome],Table2[GameDate], "&lt;=" &amp; $A37, Table2[HomeTeam], H$1)</f>
        <v>0</v>
      </c>
      <c r="I37" s="145">
        <f>SUMIFS(Table2[NewPointsAway],Table2[GameDate], "&lt;=" &amp; $A37, Table2[AwayTeam], I$1)+SUMIFS(Table2[NewPointsHome],Table2[GameDate], "&lt;=" &amp; $A37, Table2[HomeTeam], I$1)</f>
        <v>2</v>
      </c>
      <c r="J37" s="145">
        <f>SUMIFS(Table2[NewPointsAway],Table2[GameDate], "&lt;=" &amp; $A37, Table2[AwayTeam], J$1)+SUMIFS(Table2[NewPointsHome],Table2[GameDate], "&lt;=" &amp; $A37, Table2[HomeTeam], J$1)</f>
        <v>0</v>
      </c>
      <c r="K37" s="145">
        <f>SUMIFS(Table2[NewPointsAway],Table2[GameDate], "&lt;=" &amp; $A37, Table2[AwayTeam], K$1)+SUMIFS(Table2[NewPointsHome],Table2[GameDate], "&lt;=" &amp; $A37, Table2[HomeTeam], K$1)</f>
        <v>0</v>
      </c>
      <c r="L37" s="145">
        <f>SUMIFS(Table2[NewPointsAway],Table2[GameDate], "&lt;=" &amp; $A37, Table2[AwayTeam], L$1)+SUMIFS(Table2[NewPointsHome],Table2[GameDate], "&lt;=" &amp; $A37, Table2[HomeTeam], L$1)</f>
        <v>1</v>
      </c>
      <c r="M37" s="145">
        <f>SUMIFS(Table2[NewPointsAway],Table2[GameDate], "&lt;=" &amp; $A37, Table2[AwayTeam], M$1)+SUMIFS(Table2[NewPointsHome],Table2[GameDate], "&lt;=" &amp; $A37, Table2[HomeTeam], M$1)</f>
        <v>2</v>
      </c>
      <c r="N37" s="145">
        <f>SUMIFS(Table2[NewPointsAway],Table2[GameDate], "&lt;=" &amp; $A37, Table2[AwayTeam], N$1)+SUMIFS(Table2[NewPointsHome],Table2[GameDate], "&lt;=" &amp; $A37, Table2[HomeTeam], N$1)</f>
        <v>2</v>
      </c>
      <c r="O37" s="145">
        <f>SUMIFS(Table2[NewPointsAway],Table2[GameDate], "&lt;=" &amp; $A37, Table2[AwayTeam], O$1)+SUMIFS(Table2[NewPointsHome],Table2[GameDate], "&lt;=" &amp; $A37, Table2[HomeTeam], O$1)</f>
        <v>0</v>
      </c>
      <c r="P37" s="145">
        <f>SUMIFS(Table2[NewPointsAway],Table2[GameDate], "&lt;=" &amp; $A37, Table2[AwayTeam], P$1)+SUMIFS(Table2[NewPointsHome],Table2[GameDate], "&lt;=" &amp; $A37, Table2[HomeTeam], P$1)</f>
        <v>0</v>
      </c>
      <c r="Q37" s="145">
        <f>SUMIFS(Table2[NewPointsAway],Table2[GameDate], "&lt;=" &amp; $A37, Table2[AwayTeam], Q$1)+SUMIFS(Table2[NewPointsHome],Table2[GameDate], "&lt;=" &amp; $A37, Table2[HomeTeam], Q$1)</f>
        <v>0</v>
      </c>
      <c r="R37" s="145">
        <f>SUMIFS(Table2[NewPointsAway],Table2[GameDate], "&lt;=" &amp; $A37, Table2[AwayTeam], R$1)+SUMIFS(Table2[NewPointsHome],Table2[GameDate], "&lt;=" &amp; $A37, Table2[HomeTeam], R$1)</f>
        <v>0</v>
      </c>
      <c r="S37" s="145">
        <f>SUMIFS(Table2[NewPointsAway],Table2[GameDate], "&lt;=" &amp; $A37, Table2[AwayTeam], S$1)+SUMIFS(Table2[NewPointsHome],Table2[GameDate], "&lt;=" &amp; $A37, Table2[HomeTeam], S$1)</f>
        <v>0</v>
      </c>
      <c r="T37" s="145">
        <f>SUMIFS(Table2[NewPointsAway],Table2[GameDate], "&lt;=" &amp; $A37, Table2[AwayTeam], T$1)+SUMIFS(Table2[NewPointsHome],Table2[GameDate], "&lt;=" &amp; $A37, Table2[HomeTeam], T$1)</f>
        <v>0</v>
      </c>
      <c r="U37" s="145">
        <f>SUMIFS(Table2[NewPointsAway],Table2[GameDate], "&lt;=" &amp; $A37, Table2[AwayTeam], U$1)+SUMIFS(Table2[NewPointsHome],Table2[GameDate], "&lt;=" &amp; $A37, Table2[HomeTeam], U$1)</f>
        <v>0</v>
      </c>
      <c r="V37" s="145">
        <f>SUMIFS(Table2[NewPointsAway],Table2[GameDate], "&lt;=" &amp; $A37, Table2[AwayTeam], V$1)+SUMIFS(Table2[NewPointsHome],Table2[GameDate], "&lt;=" &amp; $A37, Table2[HomeTeam], V$1)</f>
        <v>0</v>
      </c>
      <c r="W37" s="145">
        <f>SUMIFS(Table2[NewPointsAway],Table2[GameDate], "&lt;=" &amp; $A37, Table2[AwayTeam], W$1)+SUMIFS(Table2[NewPointsHome],Table2[GameDate], "&lt;=" &amp; $A37, Table2[HomeTeam], W$1)</f>
        <v>2</v>
      </c>
      <c r="X37" s="145">
        <f>SUMIFS(Table2[NewPointsAway],Table2[GameDate], "&lt;=" &amp; $A37, Table2[AwayTeam], X$1)+SUMIFS(Table2[NewPointsHome],Table2[GameDate], "&lt;=" &amp; $A37, Table2[HomeTeam], X$1)</f>
        <v>0</v>
      </c>
      <c r="Y37" s="145">
        <f>SUMIFS(Table2[NewPointsAway],Table2[GameDate], "&lt;=" &amp; $A37, Table2[AwayTeam], Y$1)+SUMIFS(Table2[NewPointsHome],Table2[GameDate], "&lt;=" &amp; $A37, Table2[HomeTeam], Y$1)</f>
        <v>0</v>
      </c>
      <c r="Z37" s="145">
        <f>SUMIFS(Table2[NewPointsAway],Table2[GameDate], "&lt;=" &amp; $A37, Table2[AwayTeam], Z$1)+SUMIFS(Table2[NewPointsHome],Table2[GameDate], "&lt;=" &amp; $A37, Table2[HomeTeam], Z$1)</f>
        <v>0</v>
      </c>
      <c r="AA37" s="145">
        <f>SUMIFS(Table2[NewPointsAway],Table2[GameDate], "&lt;=" &amp; $A37, Table2[AwayTeam], AA$1)+SUMIFS(Table2[NewPointsHome],Table2[GameDate], "&lt;=" &amp; $A37, Table2[HomeTeam], AA$1)</f>
        <v>0</v>
      </c>
      <c r="AB37" s="145">
        <f>SUMIFS(Table2[NewPointsAway],Table2[GameDate], "&lt;=" &amp; $A37, Table2[AwayTeam], AB$1)+SUMIFS(Table2[NewPointsHome],Table2[GameDate], "&lt;=" &amp; $A37, Table2[HomeTeam], AB$1)</f>
        <v>2</v>
      </c>
      <c r="AC37" s="145">
        <f>SUMIFS(Table2[NewPointsAway],Table2[GameDate], "&lt;=" &amp; $A37, Table2[AwayTeam], AC$1)+SUMIFS(Table2[NewPointsHome],Table2[GameDate], "&lt;=" &amp; $A37, Table2[HomeTeam], AC$1)</f>
        <v>0</v>
      </c>
      <c r="AD37" s="145">
        <f>SUMIFS(Table2[NewPointsAway],Table2[GameDate], "&lt;=" &amp; $A37, Table2[AwayTeam], AD$1)+SUMIFS(Table2[NewPointsHome],Table2[GameDate], "&lt;=" &amp; $A37, Table2[HomeTeam], AD$1)</f>
        <v>0</v>
      </c>
      <c r="AE37" s="145">
        <f>SUMIFS(Table2[NewPointsAway],Table2[GameDate], "&lt;=" &amp; $A37, Table2[AwayTeam], AE$1)+SUMIFS(Table2[NewPointsHome],Table2[GameDate], "&lt;=" &amp; $A37, Table2[HomeTeam], AE$1)</f>
        <v>1</v>
      </c>
      <c r="AF37" s="145">
        <f>SUMIFS(Table2[NewPointsAway],Table2[GameDate], "&lt;=" &amp; $A37, Table2[AwayTeam], AF$1)+SUMIFS(Table2[NewPointsHome],Table2[GameDate], "&lt;=" &amp; $A37, Table2[HomeTeam], AF$1)</f>
        <v>0</v>
      </c>
      <c r="AG37" s="145">
        <f>SUMIFS(Table2[NewPointsAway],Table2[GameDate], "&lt;=" &amp; $A37, Table2[AwayTeam], AG$1)+SUMIFS(Table2[NewPointsHome],Table2[GameDate], "&lt;=" &amp; $A37, Table2[HomeTeam], AG$1)</f>
        <v>0</v>
      </c>
    </row>
    <row r="38" spans="1:33" x14ac:dyDescent="0.25">
      <c r="A38" s="3">
        <v>45969</v>
      </c>
      <c r="B38" s="145">
        <f>SUMIFS(Table2[NewPointsAway],Table2[GameDate], "&lt;=" &amp; $A38, Table2[AwayTeam], B$1)+SUMIFS(Table2[NewPointsHome],Table2[GameDate], "&lt;=" &amp; $A38, Table2[HomeTeam], B$1)</f>
        <v>0</v>
      </c>
      <c r="C38" s="145">
        <f>SUMIFS(Table2[NewPointsAway],Table2[GameDate], "&lt;=" &amp; $A38, Table2[AwayTeam], C$1)+SUMIFS(Table2[NewPointsHome],Table2[GameDate], "&lt;=" &amp; $A38, Table2[HomeTeam], C$1)</f>
        <v>2</v>
      </c>
      <c r="D38" s="145">
        <f>SUMIFS(Table2[NewPointsAway],Table2[GameDate], "&lt;=" &amp; $A38, Table2[AwayTeam], D$1)+SUMIFS(Table2[NewPointsHome],Table2[GameDate], "&lt;=" &amp; $A38, Table2[HomeTeam], D$1)</f>
        <v>0</v>
      </c>
      <c r="E38" s="145">
        <f>SUMIFS(Table2[NewPointsAway],Table2[GameDate], "&lt;=" &amp; $A38, Table2[AwayTeam], E$1)+SUMIFS(Table2[NewPointsHome],Table2[GameDate], "&lt;=" &amp; $A38, Table2[HomeTeam], E$1)</f>
        <v>0</v>
      </c>
      <c r="F38" s="145">
        <f>SUMIFS(Table2[NewPointsAway],Table2[GameDate], "&lt;=" &amp; $A38, Table2[AwayTeam], F$1)+SUMIFS(Table2[NewPointsHome],Table2[GameDate], "&lt;=" &amp; $A38, Table2[HomeTeam], F$1)</f>
        <v>0</v>
      </c>
      <c r="G38" s="145">
        <f>SUMIFS(Table2[NewPointsAway],Table2[GameDate], "&lt;=" &amp; $A38, Table2[AwayTeam], G$1)+SUMIFS(Table2[NewPointsHome],Table2[GameDate], "&lt;=" &amp; $A38, Table2[HomeTeam], G$1)</f>
        <v>2</v>
      </c>
      <c r="H38" s="145">
        <f>SUMIFS(Table2[NewPointsAway],Table2[GameDate], "&lt;=" &amp; $A38, Table2[AwayTeam], H$1)+SUMIFS(Table2[NewPointsHome],Table2[GameDate], "&lt;=" &amp; $A38, Table2[HomeTeam], H$1)</f>
        <v>0</v>
      </c>
      <c r="I38" s="145">
        <f>SUMIFS(Table2[NewPointsAway],Table2[GameDate], "&lt;=" &amp; $A38, Table2[AwayTeam], I$1)+SUMIFS(Table2[NewPointsHome],Table2[GameDate], "&lt;=" &amp; $A38, Table2[HomeTeam], I$1)</f>
        <v>2</v>
      </c>
      <c r="J38" s="145">
        <f>SUMIFS(Table2[NewPointsAway],Table2[GameDate], "&lt;=" &amp; $A38, Table2[AwayTeam], J$1)+SUMIFS(Table2[NewPointsHome],Table2[GameDate], "&lt;=" &amp; $A38, Table2[HomeTeam], J$1)</f>
        <v>0</v>
      </c>
      <c r="K38" s="145">
        <f>SUMIFS(Table2[NewPointsAway],Table2[GameDate], "&lt;=" &amp; $A38, Table2[AwayTeam], K$1)+SUMIFS(Table2[NewPointsHome],Table2[GameDate], "&lt;=" &amp; $A38, Table2[HomeTeam], K$1)</f>
        <v>0</v>
      </c>
      <c r="L38" s="145">
        <f>SUMIFS(Table2[NewPointsAway],Table2[GameDate], "&lt;=" &amp; $A38, Table2[AwayTeam], L$1)+SUMIFS(Table2[NewPointsHome],Table2[GameDate], "&lt;=" &amp; $A38, Table2[HomeTeam], L$1)</f>
        <v>1</v>
      </c>
      <c r="M38" s="145">
        <f>SUMIFS(Table2[NewPointsAway],Table2[GameDate], "&lt;=" &amp; $A38, Table2[AwayTeam], M$1)+SUMIFS(Table2[NewPointsHome],Table2[GameDate], "&lt;=" &amp; $A38, Table2[HomeTeam], M$1)</f>
        <v>2</v>
      </c>
      <c r="N38" s="145">
        <f>SUMIFS(Table2[NewPointsAway],Table2[GameDate], "&lt;=" &amp; $A38, Table2[AwayTeam], N$1)+SUMIFS(Table2[NewPointsHome],Table2[GameDate], "&lt;=" &amp; $A38, Table2[HomeTeam], N$1)</f>
        <v>2</v>
      </c>
      <c r="O38" s="145">
        <f>SUMIFS(Table2[NewPointsAway],Table2[GameDate], "&lt;=" &amp; $A38, Table2[AwayTeam], O$1)+SUMIFS(Table2[NewPointsHome],Table2[GameDate], "&lt;=" &amp; $A38, Table2[HomeTeam], O$1)</f>
        <v>0</v>
      </c>
      <c r="P38" s="145">
        <f>SUMIFS(Table2[NewPointsAway],Table2[GameDate], "&lt;=" &amp; $A38, Table2[AwayTeam], P$1)+SUMIFS(Table2[NewPointsHome],Table2[GameDate], "&lt;=" &amp; $A38, Table2[HomeTeam], P$1)</f>
        <v>0</v>
      </c>
      <c r="Q38" s="145">
        <f>SUMIFS(Table2[NewPointsAway],Table2[GameDate], "&lt;=" &amp; $A38, Table2[AwayTeam], Q$1)+SUMIFS(Table2[NewPointsHome],Table2[GameDate], "&lt;=" &amp; $A38, Table2[HomeTeam], Q$1)</f>
        <v>0</v>
      </c>
      <c r="R38" s="145">
        <f>SUMIFS(Table2[NewPointsAway],Table2[GameDate], "&lt;=" &amp; $A38, Table2[AwayTeam], R$1)+SUMIFS(Table2[NewPointsHome],Table2[GameDate], "&lt;=" &amp; $A38, Table2[HomeTeam], R$1)</f>
        <v>0</v>
      </c>
      <c r="S38" s="145">
        <f>SUMIFS(Table2[NewPointsAway],Table2[GameDate], "&lt;=" &amp; $A38, Table2[AwayTeam], S$1)+SUMIFS(Table2[NewPointsHome],Table2[GameDate], "&lt;=" &amp; $A38, Table2[HomeTeam], S$1)</f>
        <v>0</v>
      </c>
      <c r="T38" s="145">
        <f>SUMIFS(Table2[NewPointsAway],Table2[GameDate], "&lt;=" &amp; $A38, Table2[AwayTeam], T$1)+SUMIFS(Table2[NewPointsHome],Table2[GameDate], "&lt;=" &amp; $A38, Table2[HomeTeam], T$1)</f>
        <v>0</v>
      </c>
      <c r="U38" s="145">
        <f>SUMIFS(Table2[NewPointsAway],Table2[GameDate], "&lt;=" &amp; $A38, Table2[AwayTeam], U$1)+SUMIFS(Table2[NewPointsHome],Table2[GameDate], "&lt;=" &amp; $A38, Table2[HomeTeam], U$1)</f>
        <v>0</v>
      </c>
      <c r="V38" s="145">
        <f>SUMIFS(Table2[NewPointsAway],Table2[GameDate], "&lt;=" &amp; $A38, Table2[AwayTeam], V$1)+SUMIFS(Table2[NewPointsHome],Table2[GameDate], "&lt;=" &amp; $A38, Table2[HomeTeam], V$1)</f>
        <v>0</v>
      </c>
      <c r="W38" s="145">
        <f>SUMIFS(Table2[NewPointsAway],Table2[GameDate], "&lt;=" &amp; $A38, Table2[AwayTeam], W$1)+SUMIFS(Table2[NewPointsHome],Table2[GameDate], "&lt;=" &amp; $A38, Table2[HomeTeam], W$1)</f>
        <v>2</v>
      </c>
      <c r="X38" s="145">
        <f>SUMIFS(Table2[NewPointsAway],Table2[GameDate], "&lt;=" &amp; $A38, Table2[AwayTeam], X$1)+SUMIFS(Table2[NewPointsHome],Table2[GameDate], "&lt;=" &amp; $A38, Table2[HomeTeam], X$1)</f>
        <v>0</v>
      </c>
      <c r="Y38" s="145">
        <f>SUMIFS(Table2[NewPointsAway],Table2[GameDate], "&lt;=" &amp; $A38, Table2[AwayTeam], Y$1)+SUMIFS(Table2[NewPointsHome],Table2[GameDate], "&lt;=" &amp; $A38, Table2[HomeTeam], Y$1)</f>
        <v>0</v>
      </c>
      <c r="Z38" s="145">
        <f>SUMIFS(Table2[NewPointsAway],Table2[GameDate], "&lt;=" &amp; $A38, Table2[AwayTeam], Z$1)+SUMIFS(Table2[NewPointsHome],Table2[GameDate], "&lt;=" &amp; $A38, Table2[HomeTeam], Z$1)</f>
        <v>0</v>
      </c>
      <c r="AA38" s="145">
        <f>SUMIFS(Table2[NewPointsAway],Table2[GameDate], "&lt;=" &amp; $A38, Table2[AwayTeam], AA$1)+SUMIFS(Table2[NewPointsHome],Table2[GameDate], "&lt;=" &amp; $A38, Table2[HomeTeam], AA$1)</f>
        <v>0</v>
      </c>
      <c r="AB38" s="145">
        <f>SUMIFS(Table2[NewPointsAway],Table2[GameDate], "&lt;=" &amp; $A38, Table2[AwayTeam], AB$1)+SUMIFS(Table2[NewPointsHome],Table2[GameDate], "&lt;=" &amp; $A38, Table2[HomeTeam], AB$1)</f>
        <v>2</v>
      </c>
      <c r="AC38" s="145">
        <f>SUMIFS(Table2[NewPointsAway],Table2[GameDate], "&lt;=" &amp; $A38, Table2[AwayTeam], AC$1)+SUMIFS(Table2[NewPointsHome],Table2[GameDate], "&lt;=" &amp; $A38, Table2[HomeTeam], AC$1)</f>
        <v>0</v>
      </c>
      <c r="AD38" s="145">
        <f>SUMIFS(Table2[NewPointsAway],Table2[GameDate], "&lt;=" &amp; $A38, Table2[AwayTeam], AD$1)+SUMIFS(Table2[NewPointsHome],Table2[GameDate], "&lt;=" &amp; $A38, Table2[HomeTeam], AD$1)</f>
        <v>0</v>
      </c>
      <c r="AE38" s="145">
        <f>SUMIFS(Table2[NewPointsAway],Table2[GameDate], "&lt;=" &amp; $A38, Table2[AwayTeam], AE$1)+SUMIFS(Table2[NewPointsHome],Table2[GameDate], "&lt;=" &amp; $A38, Table2[HomeTeam], AE$1)</f>
        <v>1</v>
      </c>
      <c r="AF38" s="145">
        <f>SUMIFS(Table2[NewPointsAway],Table2[GameDate], "&lt;=" &amp; $A38, Table2[AwayTeam], AF$1)+SUMIFS(Table2[NewPointsHome],Table2[GameDate], "&lt;=" &amp; $A38, Table2[HomeTeam], AF$1)</f>
        <v>0</v>
      </c>
      <c r="AG38" s="145">
        <f>SUMIFS(Table2[NewPointsAway],Table2[GameDate], "&lt;=" &amp; $A38, Table2[AwayTeam], AG$1)+SUMIFS(Table2[NewPointsHome],Table2[GameDate], "&lt;=" &amp; $A38, Table2[HomeTeam], AG$1)</f>
        <v>0</v>
      </c>
    </row>
    <row r="39" spans="1:33" x14ac:dyDescent="0.25">
      <c r="A39" s="3">
        <v>45970</v>
      </c>
      <c r="B39" s="145">
        <f>SUMIFS(Table2[NewPointsAway],Table2[GameDate], "&lt;=" &amp; $A39, Table2[AwayTeam], B$1)+SUMIFS(Table2[NewPointsHome],Table2[GameDate], "&lt;=" &amp; $A39, Table2[HomeTeam], B$1)</f>
        <v>0</v>
      </c>
      <c r="C39" s="145">
        <f>SUMIFS(Table2[NewPointsAway],Table2[GameDate], "&lt;=" &amp; $A39, Table2[AwayTeam], C$1)+SUMIFS(Table2[NewPointsHome],Table2[GameDate], "&lt;=" &amp; $A39, Table2[HomeTeam], C$1)</f>
        <v>2</v>
      </c>
      <c r="D39" s="145">
        <f>SUMIFS(Table2[NewPointsAway],Table2[GameDate], "&lt;=" &amp; $A39, Table2[AwayTeam], D$1)+SUMIFS(Table2[NewPointsHome],Table2[GameDate], "&lt;=" &amp; $A39, Table2[HomeTeam], D$1)</f>
        <v>0</v>
      </c>
      <c r="E39" s="145">
        <f>SUMIFS(Table2[NewPointsAway],Table2[GameDate], "&lt;=" &amp; $A39, Table2[AwayTeam], E$1)+SUMIFS(Table2[NewPointsHome],Table2[GameDate], "&lt;=" &amp; $A39, Table2[HomeTeam], E$1)</f>
        <v>0</v>
      </c>
      <c r="F39" s="145">
        <f>SUMIFS(Table2[NewPointsAway],Table2[GameDate], "&lt;=" &amp; $A39, Table2[AwayTeam], F$1)+SUMIFS(Table2[NewPointsHome],Table2[GameDate], "&lt;=" &amp; $A39, Table2[HomeTeam], F$1)</f>
        <v>0</v>
      </c>
      <c r="G39" s="145">
        <f>SUMIFS(Table2[NewPointsAway],Table2[GameDate], "&lt;=" &amp; $A39, Table2[AwayTeam], G$1)+SUMIFS(Table2[NewPointsHome],Table2[GameDate], "&lt;=" &amp; $A39, Table2[HomeTeam], G$1)</f>
        <v>2</v>
      </c>
      <c r="H39" s="145">
        <f>SUMIFS(Table2[NewPointsAway],Table2[GameDate], "&lt;=" &amp; $A39, Table2[AwayTeam], H$1)+SUMIFS(Table2[NewPointsHome],Table2[GameDate], "&lt;=" &amp; $A39, Table2[HomeTeam], H$1)</f>
        <v>0</v>
      </c>
      <c r="I39" s="145">
        <f>SUMIFS(Table2[NewPointsAway],Table2[GameDate], "&lt;=" &amp; $A39, Table2[AwayTeam], I$1)+SUMIFS(Table2[NewPointsHome],Table2[GameDate], "&lt;=" &amp; $A39, Table2[HomeTeam], I$1)</f>
        <v>2</v>
      </c>
      <c r="J39" s="145">
        <f>SUMIFS(Table2[NewPointsAway],Table2[GameDate], "&lt;=" &amp; $A39, Table2[AwayTeam], J$1)+SUMIFS(Table2[NewPointsHome],Table2[GameDate], "&lt;=" &amp; $A39, Table2[HomeTeam], J$1)</f>
        <v>0</v>
      </c>
      <c r="K39" s="145">
        <f>SUMIFS(Table2[NewPointsAway],Table2[GameDate], "&lt;=" &amp; $A39, Table2[AwayTeam], K$1)+SUMIFS(Table2[NewPointsHome],Table2[GameDate], "&lt;=" &amp; $A39, Table2[HomeTeam], K$1)</f>
        <v>0</v>
      </c>
      <c r="L39" s="145">
        <f>SUMIFS(Table2[NewPointsAway],Table2[GameDate], "&lt;=" &amp; $A39, Table2[AwayTeam], L$1)+SUMIFS(Table2[NewPointsHome],Table2[GameDate], "&lt;=" &amp; $A39, Table2[HomeTeam], L$1)</f>
        <v>1</v>
      </c>
      <c r="M39" s="145">
        <f>SUMIFS(Table2[NewPointsAway],Table2[GameDate], "&lt;=" &amp; $A39, Table2[AwayTeam], M$1)+SUMIFS(Table2[NewPointsHome],Table2[GameDate], "&lt;=" &amp; $A39, Table2[HomeTeam], M$1)</f>
        <v>2</v>
      </c>
      <c r="N39" s="145">
        <f>SUMIFS(Table2[NewPointsAway],Table2[GameDate], "&lt;=" &amp; $A39, Table2[AwayTeam], N$1)+SUMIFS(Table2[NewPointsHome],Table2[GameDate], "&lt;=" &amp; $A39, Table2[HomeTeam], N$1)</f>
        <v>2</v>
      </c>
      <c r="O39" s="145">
        <f>SUMIFS(Table2[NewPointsAway],Table2[GameDate], "&lt;=" &amp; $A39, Table2[AwayTeam], O$1)+SUMIFS(Table2[NewPointsHome],Table2[GameDate], "&lt;=" &amp; $A39, Table2[HomeTeam], O$1)</f>
        <v>0</v>
      </c>
      <c r="P39" s="145">
        <f>SUMIFS(Table2[NewPointsAway],Table2[GameDate], "&lt;=" &amp; $A39, Table2[AwayTeam], P$1)+SUMIFS(Table2[NewPointsHome],Table2[GameDate], "&lt;=" &amp; $A39, Table2[HomeTeam], P$1)</f>
        <v>0</v>
      </c>
      <c r="Q39" s="145">
        <f>SUMIFS(Table2[NewPointsAway],Table2[GameDate], "&lt;=" &amp; $A39, Table2[AwayTeam], Q$1)+SUMIFS(Table2[NewPointsHome],Table2[GameDate], "&lt;=" &amp; $A39, Table2[HomeTeam], Q$1)</f>
        <v>0</v>
      </c>
      <c r="R39" s="145">
        <f>SUMIFS(Table2[NewPointsAway],Table2[GameDate], "&lt;=" &amp; $A39, Table2[AwayTeam], R$1)+SUMIFS(Table2[NewPointsHome],Table2[GameDate], "&lt;=" &amp; $A39, Table2[HomeTeam], R$1)</f>
        <v>0</v>
      </c>
      <c r="S39" s="145">
        <f>SUMIFS(Table2[NewPointsAway],Table2[GameDate], "&lt;=" &amp; $A39, Table2[AwayTeam], S$1)+SUMIFS(Table2[NewPointsHome],Table2[GameDate], "&lt;=" &amp; $A39, Table2[HomeTeam], S$1)</f>
        <v>0</v>
      </c>
      <c r="T39" s="145">
        <f>SUMIFS(Table2[NewPointsAway],Table2[GameDate], "&lt;=" &amp; $A39, Table2[AwayTeam], T$1)+SUMIFS(Table2[NewPointsHome],Table2[GameDate], "&lt;=" &amp; $A39, Table2[HomeTeam], T$1)</f>
        <v>0</v>
      </c>
      <c r="U39" s="145">
        <f>SUMIFS(Table2[NewPointsAway],Table2[GameDate], "&lt;=" &amp; $A39, Table2[AwayTeam], U$1)+SUMIFS(Table2[NewPointsHome],Table2[GameDate], "&lt;=" &amp; $A39, Table2[HomeTeam], U$1)</f>
        <v>0</v>
      </c>
      <c r="V39" s="145">
        <f>SUMIFS(Table2[NewPointsAway],Table2[GameDate], "&lt;=" &amp; $A39, Table2[AwayTeam], V$1)+SUMIFS(Table2[NewPointsHome],Table2[GameDate], "&lt;=" &amp; $A39, Table2[HomeTeam], V$1)</f>
        <v>0</v>
      </c>
      <c r="W39" s="145">
        <f>SUMIFS(Table2[NewPointsAway],Table2[GameDate], "&lt;=" &amp; $A39, Table2[AwayTeam], W$1)+SUMIFS(Table2[NewPointsHome],Table2[GameDate], "&lt;=" &amp; $A39, Table2[HomeTeam], W$1)</f>
        <v>2</v>
      </c>
      <c r="X39" s="145">
        <f>SUMIFS(Table2[NewPointsAway],Table2[GameDate], "&lt;=" &amp; $A39, Table2[AwayTeam], X$1)+SUMIFS(Table2[NewPointsHome],Table2[GameDate], "&lt;=" &amp; $A39, Table2[HomeTeam], X$1)</f>
        <v>0</v>
      </c>
      <c r="Y39" s="145">
        <f>SUMIFS(Table2[NewPointsAway],Table2[GameDate], "&lt;=" &amp; $A39, Table2[AwayTeam], Y$1)+SUMIFS(Table2[NewPointsHome],Table2[GameDate], "&lt;=" &amp; $A39, Table2[HomeTeam], Y$1)</f>
        <v>0</v>
      </c>
      <c r="Z39" s="145">
        <f>SUMIFS(Table2[NewPointsAway],Table2[GameDate], "&lt;=" &amp; $A39, Table2[AwayTeam], Z$1)+SUMIFS(Table2[NewPointsHome],Table2[GameDate], "&lt;=" &amp; $A39, Table2[HomeTeam], Z$1)</f>
        <v>0</v>
      </c>
      <c r="AA39" s="145">
        <f>SUMIFS(Table2[NewPointsAway],Table2[GameDate], "&lt;=" &amp; $A39, Table2[AwayTeam], AA$1)+SUMIFS(Table2[NewPointsHome],Table2[GameDate], "&lt;=" &amp; $A39, Table2[HomeTeam], AA$1)</f>
        <v>0</v>
      </c>
      <c r="AB39" s="145">
        <f>SUMIFS(Table2[NewPointsAway],Table2[GameDate], "&lt;=" &amp; $A39, Table2[AwayTeam], AB$1)+SUMIFS(Table2[NewPointsHome],Table2[GameDate], "&lt;=" &amp; $A39, Table2[HomeTeam], AB$1)</f>
        <v>2</v>
      </c>
      <c r="AC39" s="145">
        <f>SUMIFS(Table2[NewPointsAway],Table2[GameDate], "&lt;=" &amp; $A39, Table2[AwayTeam], AC$1)+SUMIFS(Table2[NewPointsHome],Table2[GameDate], "&lt;=" &amp; $A39, Table2[HomeTeam], AC$1)</f>
        <v>0</v>
      </c>
      <c r="AD39" s="145">
        <f>SUMIFS(Table2[NewPointsAway],Table2[GameDate], "&lt;=" &amp; $A39, Table2[AwayTeam], AD$1)+SUMIFS(Table2[NewPointsHome],Table2[GameDate], "&lt;=" &amp; $A39, Table2[HomeTeam], AD$1)</f>
        <v>0</v>
      </c>
      <c r="AE39" s="145">
        <f>SUMIFS(Table2[NewPointsAway],Table2[GameDate], "&lt;=" &amp; $A39, Table2[AwayTeam], AE$1)+SUMIFS(Table2[NewPointsHome],Table2[GameDate], "&lt;=" &amp; $A39, Table2[HomeTeam], AE$1)</f>
        <v>1</v>
      </c>
      <c r="AF39" s="145">
        <f>SUMIFS(Table2[NewPointsAway],Table2[GameDate], "&lt;=" &amp; $A39, Table2[AwayTeam], AF$1)+SUMIFS(Table2[NewPointsHome],Table2[GameDate], "&lt;=" &amp; $A39, Table2[HomeTeam], AF$1)</f>
        <v>0</v>
      </c>
      <c r="AG39" s="145">
        <f>SUMIFS(Table2[NewPointsAway],Table2[GameDate], "&lt;=" &amp; $A39, Table2[AwayTeam], AG$1)+SUMIFS(Table2[NewPointsHome],Table2[GameDate], "&lt;=" &amp; $A39, Table2[HomeTeam], AG$1)</f>
        <v>0</v>
      </c>
    </row>
    <row r="40" spans="1:33" x14ac:dyDescent="0.25">
      <c r="A40" s="3">
        <v>45971</v>
      </c>
      <c r="B40" s="145">
        <f>SUMIFS(Table2[NewPointsAway],Table2[GameDate], "&lt;=" &amp; $A40, Table2[AwayTeam], B$1)+SUMIFS(Table2[NewPointsHome],Table2[GameDate], "&lt;=" &amp; $A40, Table2[HomeTeam], B$1)</f>
        <v>0</v>
      </c>
      <c r="C40" s="145">
        <f>SUMIFS(Table2[NewPointsAway],Table2[GameDate], "&lt;=" &amp; $A40, Table2[AwayTeam], C$1)+SUMIFS(Table2[NewPointsHome],Table2[GameDate], "&lt;=" &amp; $A40, Table2[HomeTeam], C$1)</f>
        <v>2</v>
      </c>
      <c r="D40" s="145">
        <f>SUMIFS(Table2[NewPointsAway],Table2[GameDate], "&lt;=" &amp; $A40, Table2[AwayTeam], D$1)+SUMIFS(Table2[NewPointsHome],Table2[GameDate], "&lt;=" &amp; $A40, Table2[HomeTeam], D$1)</f>
        <v>0</v>
      </c>
      <c r="E40" s="145">
        <f>SUMIFS(Table2[NewPointsAway],Table2[GameDate], "&lt;=" &amp; $A40, Table2[AwayTeam], E$1)+SUMIFS(Table2[NewPointsHome],Table2[GameDate], "&lt;=" &amp; $A40, Table2[HomeTeam], E$1)</f>
        <v>0</v>
      </c>
      <c r="F40" s="145">
        <f>SUMIFS(Table2[NewPointsAway],Table2[GameDate], "&lt;=" &amp; $A40, Table2[AwayTeam], F$1)+SUMIFS(Table2[NewPointsHome],Table2[GameDate], "&lt;=" &amp; $A40, Table2[HomeTeam], F$1)</f>
        <v>0</v>
      </c>
      <c r="G40" s="145">
        <f>SUMIFS(Table2[NewPointsAway],Table2[GameDate], "&lt;=" &amp; $A40, Table2[AwayTeam], G$1)+SUMIFS(Table2[NewPointsHome],Table2[GameDate], "&lt;=" &amp; $A40, Table2[HomeTeam], G$1)</f>
        <v>2</v>
      </c>
      <c r="H40" s="145">
        <f>SUMIFS(Table2[NewPointsAway],Table2[GameDate], "&lt;=" &amp; $A40, Table2[AwayTeam], H$1)+SUMIFS(Table2[NewPointsHome],Table2[GameDate], "&lt;=" &amp; $A40, Table2[HomeTeam], H$1)</f>
        <v>0</v>
      </c>
      <c r="I40" s="145">
        <f>SUMIFS(Table2[NewPointsAway],Table2[GameDate], "&lt;=" &amp; $A40, Table2[AwayTeam], I$1)+SUMIFS(Table2[NewPointsHome],Table2[GameDate], "&lt;=" &amp; $A40, Table2[HomeTeam], I$1)</f>
        <v>2</v>
      </c>
      <c r="J40" s="145">
        <f>SUMIFS(Table2[NewPointsAway],Table2[GameDate], "&lt;=" &amp; $A40, Table2[AwayTeam], J$1)+SUMIFS(Table2[NewPointsHome],Table2[GameDate], "&lt;=" &amp; $A40, Table2[HomeTeam], J$1)</f>
        <v>0</v>
      </c>
      <c r="K40" s="145">
        <f>SUMIFS(Table2[NewPointsAway],Table2[GameDate], "&lt;=" &amp; $A40, Table2[AwayTeam], K$1)+SUMIFS(Table2[NewPointsHome],Table2[GameDate], "&lt;=" &amp; $A40, Table2[HomeTeam], K$1)</f>
        <v>0</v>
      </c>
      <c r="L40" s="145">
        <f>SUMIFS(Table2[NewPointsAway],Table2[GameDate], "&lt;=" &amp; $A40, Table2[AwayTeam], L$1)+SUMIFS(Table2[NewPointsHome],Table2[GameDate], "&lt;=" &amp; $A40, Table2[HomeTeam], L$1)</f>
        <v>1</v>
      </c>
      <c r="M40" s="145">
        <f>SUMIFS(Table2[NewPointsAway],Table2[GameDate], "&lt;=" &amp; $A40, Table2[AwayTeam], M$1)+SUMIFS(Table2[NewPointsHome],Table2[GameDate], "&lt;=" &amp; $A40, Table2[HomeTeam], M$1)</f>
        <v>2</v>
      </c>
      <c r="N40" s="145">
        <f>SUMIFS(Table2[NewPointsAway],Table2[GameDate], "&lt;=" &amp; $A40, Table2[AwayTeam], N$1)+SUMIFS(Table2[NewPointsHome],Table2[GameDate], "&lt;=" &amp; $A40, Table2[HomeTeam], N$1)</f>
        <v>2</v>
      </c>
      <c r="O40" s="145">
        <f>SUMIFS(Table2[NewPointsAway],Table2[GameDate], "&lt;=" &amp; $A40, Table2[AwayTeam], O$1)+SUMIFS(Table2[NewPointsHome],Table2[GameDate], "&lt;=" &amp; $A40, Table2[HomeTeam], O$1)</f>
        <v>0</v>
      </c>
      <c r="P40" s="145">
        <f>SUMIFS(Table2[NewPointsAway],Table2[GameDate], "&lt;=" &amp; $A40, Table2[AwayTeam], P$1)+SUMIFS(Table2[NewPointsHome],Table2[GameDate], "&lt;=" &amp; $A40, Table2[HomeTeam], P$1)</f>
        <v>0</v>
      </c>
      <c r="Q40" s="145">
        <f>SUMIFS(Table2[NewPointsAway],Table2[GameDate], "&lt;=" &amp; $A40, Table2[AwayTeam], Q$1)+SUMIFS(Table2[NewPointsHome],Table2[GameDate], "&lt;=" &amp; $A40, Table2[HomeTeam], Q$1)</f>
        <v>0</v>
      </c>
      <c r="R40" s="145">
        <f>SUMIFS(Table2[NewPointsAway],Table2[GameDate], "&lt;=" &amp; $A40, Table2[AwayTeam], R$1)+SUMIFS(Table2[NewPointsHome],Table2[GameDate], "&lt;=" &amp; $A40, Table2[HomeTeam], R$1)</f>
        <v>0</v>
      </c>
      <c r="S40" s="145">
        <f>SUMIFS(Table2[NewPointsAway],Table2[GameDate], "&lt;=" &amp; $A40, Table2[AwayTeam], S$1)+SUMIFS(Table2[NewPointsHome],Table2[GameDate], "&lt;=" &amp; $A40, Table2[HomeTeam], S$1)</f>
        <v>0</v>
      </c>
      <c r="T40" s="145">
        <f>SUMIFS(Table2[NewPointsAway],Table2[GameDate], "&lt;=" &amp; $A40, Table2[AwayTeam], T$1)+SUMIFS(Table2[NewPointsHome],Table2[GameDate], "&lt;=" &amp; $A40, Table2[HomeTeam], T$1)</f>
        <v>0</v>
      </c>
      <c r="U40" s="145">
        <f>SUMIFS(Table2[NewPointsAway],Table2[GameDate], "&lt;=" &amp; $A40, Table2[AwayTeam], U$1)+SUMIFS(Table2[NewPointsHome],Table2[GameDate], "&lt;=" &amp; $A40, Table2[HomeTeam], U$1)</f>
        <v>0</v>
      </c>
      <c r="V40" s="145">
        <f>SUMIFS(Table2[NewPointsAway],Table2[GameDate], "&lt;=" &amp; $A40, Table2[AwayTeam], V$1)+SUMIFS(Table2[NewPointsHome],Table2[GameDate], "&lt;=" &amp; $A40, Table2[HomeTeam], V$1)</f>
        <v>0</v>
      </c>
      <c r="W40" s="145">
        <f>SUMIFS(Table2[NewPointsAway],Table2[GameDate], "&lt;=" &amp; $A40, Table2[AwayTeam], W$1)+SUMIFS(Table2[NewPointsHome],Table2[GameDate], "&lt;=" &amp; $A40, Table2[HomeTeam], W$1)</f>
        <v>2</v>
      </c>
      <c r="X40" s="145">
        <f>SUMIFS(Table2[NewPointsAway],Table2[GameDate], "&lt;=" &amp; $A40, Table2[AwayTeam], X$1)+SUMIFS(Table2[NewPointsHome],Table2[GameDate], "&lt;=" &amp; $A40, Table2[HomeTeam], X$1)</f>
        <v>0</v>
      </c>
      <c r="Y40" s="145">
        <f>SUMIFS(Table2[NewPointsAway],Table2[GameDate], "&lt;=" &amp; $A40, Table2[AwayTeam], Y$1)+SUMIFS(Table2[NewPointsHome],Table2[GameDate], "&lt;=" &amp; $A40, Table2[HomeTeam], Y$1)</f>
        <v>0</v>
      </c>
      <c r="Z40" s="145">
        <f>SUMIFS(Table2[NewPointsAway],Table2[GameDate], "&lt;=" &amp; $A40, Table2[AwayTeam], Z$1)+SUMIFS(Table2[NewPointsHome],Table2[GameDate], "&lt;=" &amp; $A40, Table2[HomeTeam], Z$1)</f>
        <v>0</v>
      </c>
      <c r="AA40" s="145">
        <f>SUMIFS(Table2[NewPointsAway],Table2[GameDate], "&lt;=" &amp; $A40, Table2[AwayTeam], AA$1)+SUMIFS(Table2[NewPointsHome],Table2[GameDate], "&lt;=" &amp; $A40, Table2[HomeTeam], AA$1)</f>
        <v>0</v>
      </c>
      <c r="AB40" s="145">
        <f>SUMIFS(Table2[NewPointsAway],Table2[GameDate], "&lt;=" &amp; $A40, Table2[AwayTeam], AB$1)+SUMIFS(Table2[NewPointsHome],Table2[GameDate], "&lt;=" &amp; $A40, Table2[HomeTeam], AB$1)</f>
        <v>2</v>
      </c>
      <c r="AC40" s="145">
        <f>SUMIFS(Table2[NewPointsAway],Table2[GameDate], "&lt;=" &amp; $A40, Table2[AwayTeam], AC$1)+SUMIFS(Table2[NewPointsHome],Table2[GameDate], "&lt;=" &amp; $A40, Table2[HomeTeam], AC$1)</f>
        <v>0</v>
      </c>
      <c r="AD40" s="145">
        <f>SUMIFS(Table2[NewPointsAway],Table2[GameDate], "&lt;=" &amp; $A40, Table2[AwayTeam], AD$1)+SUMIFS(Table2[NewPointsHome],Table2[GameDate], "&lt;=" &amp; $A40, Table2[HomeTeam], AD$1)</f>
        <v>0</v>
      </c>
      <c r="AE40" s="145">
        <f>SUMIFS(Table2[NewPointsAway],Table2[GameDate], "&lt;=" &amp; $A40, Table2[AwayTeam], AE$1)+SUMIFS(Table2[NewPointsHome],Table2[GameDate], "&lt;=" &amp; $A40, Table2[HomeTeam], AE$1)</f>
        <v>1</v>
      </c>
      <c r="AF40" s="145">
        <f>SUMIFS(Table2[NewPointsAway],Table2[GameDate], "&lt;=" &amp; $A40, Table2[AwayTeam], AF$1)+SUMIFS(Table2[NewPointsHome],Table2[GameDate], "&lt;=" &amp; $A40, Table2[HomeTeam], AF$1)</f>
        <v>0</v>
      </c>
      <c r="AG40" s="145">
        <f>SUMIFS(Table2[NewPointsAway],Table2[GameDate], "&lt;=" &amp; $A40, Table2[AwayTeam], AG$1)+SUMIFS(Table2[NewPointsHome],Table2[GameDate], "&lt;=" &amp; $A40, Table2[HomeTeam], AG$1)</f>
        <v>0</v>
      </c>
    </row>
    <row r="41" spans="1:33" x14ac:dyDescent="0.25">
      <c r="A41" s="3">
        <v>45972</v>
      </c>
      <c r="B41" s="145">
        <f>SUMIFS(Table2[NewPointsAway],Table2[GameDate], "&lt;=" &amp; $A41, Table2[AwayTeam], B$1)+SUMIFS(Table2[NewPointsHome],Table2[GameDate], "&lt;=" &amp; $A41, Table2[HomeTeam], B$1)</f>
        <v>0</v>
      </c>
      <c r="C41" s="145">
        <f>SUMIFS(Table2[NewPointsAway],Table2[GameDate], "&lt;=" &amp; $A41, Table2[AwayTeam], C$1)+SUMIFS(Table2[NewPointsHome],Table2[GameDate], "&lt;=" &amp; $A41, Table2[HomeTeam], C$1)</f>
        <v>2</v>
      </c>
      <c r="D41" s="145">
        <f>SUMIFS(Table2[NewPointsAway],Table2[GameDate], "&lt;=" &amp; $A41, Table2[AwayTeam], D$1)+SUMIFS(Table2[NewPointsHome],Table2[GameDate], "&lt;=" &amp; $A41, Table2[HomeTeam], D$1)</f>
        <v>0</v>
      </c>
      <c r="E41" s="145">
        <f>SUMIFS(Table2[NewPointsAway],Table2[GameDate], "&lt;=" &amp; $A41, Table2[AwayTeam], E$1)+SUMIFS(Table2[NewPointsHome],Table2[GameDate], "&lt;=" &amp; $A41, Table2[HomeTeam], E$1)</f>
        <v>0</v>
      </c>
      <c r="F41" s="145">
        <f>SUMIFS(Table2[NewPointsAway],Table2[GameDate], "&lt;=" &amp; $A41, Table2[AwayTeam], F$1)+SUMIFS(Table2[NewPointsHome],Table2[GameDate], "&lt;=" &amp; $A41, Table2[HomeTeam], F$1)</f>
        <v>0</v>
      </c>
      <c r="G41" s="145">
        <f>SUMIFS(Table2[NewPointsAway],Table2[GameDate], "&lt;=" &amp; $A41, Table2[AwayTeam], G$1)+SUMIFS(Table2[NewPointsHome],Table2[GameDate], "&lt;=" &amp; $A41, Table2[HomeTeam], G$1)</f>
        <v>2</v>
      </c>
      <c r="H41" s="145">
        <f>SUMIFS(Table2[NewPointsAway],Table2[GameDate], "&lt;=" &amp; $A41, Table2[AwayTeam], H$1)+SUMIFS(Table2[NewPointsHome],Table2[GameDate], "&lt;=" &amp; $A41, Table2[HomeTeam], H$1)</f>
        <v>0</v>
      </c>
      <c r="I41" s="145">
        <f>SUMIFS(Table2[NewPointsAway],Table2[GameDate], "&lt;=" &amp; $A41, Table2[AwayTeam], I$1)+SUMIFS(Table2[NewPointsHome],Table2[GameDate], "&lt;=" &amp; $A41, Table2[HomeTeam], I$1)</f>
        <v>2</v>
      </c>
      <c r="J41" s="145">
        <f>SUMIFS(Table2[NewPointsAway],Table2[GameDate], "&lt;=" &amp; $A41, Table2[AwayTeam], J$1)+SUMIFS(Table2[NewPointsHome],Table2[GameDate], "&lt;=" &amp; $A41, Table2[HomeTeam], J$1)</f>
        <v>0</v>
      </c>
      <c r="K41" s="145">
        <f>SUMIFS(Table2[NewPointsAway],Table2[GameDate], "&lt;=" &amp; $A41, Table2[AwayTeam], K$1)+SUMIFS(Table2[NewPointsHome],Table2[GameDate], "&lt;=" &amp; $A41, Table2[HomeTeam], K$1)</f>
        <v>0</v>
      </c>
      <c r="L41" s="145">
        <f>SUMIFS(Table2[NewPointsAway],Table2[GameDate], "&lt;=" &amp; $A41, Table2[AwayTeam], L$1)+SUMIFS(Table2[NewPointsHome],Table2[GameDate], "&lt;=" &amp; $A41, Table2[HomeTeam], L$1)</f>
        <v>1</v>
      </c>
      <c r="M41" s="145">
        <f>SUMIFS(Table2[NewPointsAway],Table2[GameDate], "&lt;=" &amp; $A41, Table2[AwayTeam], M$1)+SUMIFS(Table2[NewPointsHome],Table2[GameDate], "&lt;=" &amp; $A41, Table2[HomeTeam], M$1)</f>
        <v>2</v>
      </c>
      <c r="N41" s="145">
        <f>SUMIFS(Table2[NewPointsAway],Table2[GameDate], "&lt;=" &amp; $A41, Table2[AwayTeam], N$1)+SUMIFS(Table2[NewPointsHome],Table2[GameDate], "&lt;=" &amp; $A41, Table2[HomeTeam], N$1)</f>
        <v>2</v>
      </c>
      <c r="O41" s="145">
        <f>SUMIFS(Table2[NewPointsAway],Table2[GameDate], "&lt;=" &amp; $A41, Table2[AwayTeam], O$1)+SUMIFS(Table2[NewPointsHome],Table2[GameDate], "&lt;=" &amp; $A41, Table2[HomeTeam], O$1)</f>
        <v>0</v>
      </c>
      <c r="P41" s="145">
        <f>SUMIFS(Table2[NewPointsAway],Table2[GameDate], "&lt;=" &amp; $A41, Table2[AwayTeam], P$1)+SUMIFS(Table2[NewPointsHome],Table2[GameDate], "&lt;=" &amp; $A41, Table2[HomeTeam], P$1)</f>
        <v>0</v>
      </c>
      <c r="Q41" s="145">
        <f>SUMIFS(Table2[NewPointsAway],Table2[GameDate], "&lt;=" &amp; $A41, Table2[AwayTeam], Q$1)+SUMIFS(Table2[NewPointsHome],Table2[GameDate], "&lt;=" &amp; $A41, Table2[HomeTeam], Q$1)</f>
        <v>0</v>
      </c>
      <c r="R41" s="145">
        <f>SUMIFS(Table2[NewPointsAway],Table2[GameDate], "&lt;=" &amp; $A41, Table2[AwayTeam], R$1)+SUMIFS(Table2[NewPointsHome],Table2[GameDate], "&lt;=" &amp; $A41, Table2[HomeTeam], R$1)</f>
        <v>0</v>
      </c>
      <c r="S41" s="145">
        <f>SUMIFS(Table2[NewPointsAway],Table2[GameDate], "&lt;=" &amp; $A41, Table2[AwayTeam], S$1)+SUMIFS(Table2[NewPointsHome],Table2[GameDate], "&lt;=" &amp; $A41, Table2[HomeTeam], S$1)</f>
        <v>0</v>
      </c>
      <c r="T41" s="145">
        <f>SUMIFS(Table2[NewPointsAway],Table2[GameDate], "&lt;=" &amp; $A41, Table2[AwayTeam], T$1)+SUMIFS(Table2[NewPointsHome],Table2[GameDate], "&lt;=" &amp; $A41, Table2[HomeTeam], T$1)</f>
        <v>0</v>
      </c>
      <c r="U41" s="145">
        <f>SUMIFS(Table2[NewPointsAway],Table2[GameDate], "&lt;=" &amp; $A41, Table2[AwayTeam], U$1)+SUMIFS(Table2[NewPointsHome],Table2[GameDate], "&lt;=" &amp; $A41, Table2[HomeTeam], U$1)</f>
        <v>0</v>
      </c>
      <c r="V41" s="145">
        <f>SUMIFS(Table2[NewPointsAway],Table2[GameDate], "&lt;=" &amp; $A41, Table2[AwayTeam], V$1)+SUMIFS(Table2[NewPointsHome],Table2[GameDate], "&lt;=" &amp; $A41, Table2[HomeTeam], V$1)</f>
        <v>0</v>
      </c>
      <c r="W41" s="145">
        <f>SUMIFS(Table2[NewPointsAway],Table2[GameDate], "&lt;=" &amp; $A41, Table2[AwayTeam], W$1)+SUMIFS(Table2[NewPointsHome],Table2[GameDate], "&lt;=" &amp; $A41, Table2[HomeTeam], W$1)</f>
        <v>2</v>
      </c>
      <c r="X41" s="145">
        <f>SUMIFS(Table2[NewPointsAway],Table2[GameDate], "&lt;=" &amp; $A41, Table2[AwayTeam], X$1)+SUMIFS(Table2[NewPointsHome],Table2[GameDate], "&lt;=" &amp; $A41, Table2[HomeTeam], X$1)</f>
        <v>0</v>
      </c>
      <c r="Y41" s="145">
        <f>SUMIFS(Table2[NewPointsAway],Table2[GameDate], "&lt;=" &amp; $A41, Table2[AwayTeam], Y$1)+SUMIFS(Table2[NewPointsHome],Table2[GameDate], "&lt;=" &amp; $A41, Table2[HomeTeam], Y$1)</f>
        <v>0</v>
      </c>
      <c r="Z41" s="145">
        <f>SUMIFS(Table2[NewPointsAway],Table2[GameDate], "&lt;=" &amp; $A41, Table2[AwayTeam], Z$1)+SUMIFS(Table2[NewPointsHome],Table2[GameDate], "&lt;=" &amp; $A41, Table2[HomeTeam], Z$1)</f>
        <v>0</v>
      </c>
      <c r="AA41" s="145">
        <f>SUMIFS(Table2[NewPointsAway],Table2[GameDate], "&lt;=" &amp; $A41, Table2[AwayTeam], AA$1)+SUMIFS(Table2[NewPointsHome],Table2[GameDate], "&lt;=" &amp; $A41, Table2[HomeTeam], AA$1)</f>
        <v>0</v>
      </c>
      <c r="AB41" s="145">
        <f>SUMIFS(Table2[NewPointsAway],Table2[GameDate], "&lt;=" &amp; $A41, Table2[AwayTeam], AB$1)+SUMIFS(Table2[NewPointsHome],Table2[GameDate], "&lt;=" &amp; $A41, Table2[HomeTeam], AB$1)</f>
        <v>2</v>
      </c>
      <c r="AC41" s="145">
        <f>SUMIFS(Table2[NewPointsAway],Table2[GameDate], "&lt;=" &amp; $A41, Table2[AwayTeam], AC$1)+SUMIFS(Table2[NewPointsHome],Table2[GameDate], "&lt;=" &amp; $A41, Table2[HomeTeam], AC$1)</f>
        <v>0</v>
      </c>
      <c r="AD41" s="145">
        <f>SUMIFS(Table2[NewPointsAway],Table2[GameDate], "&lt;=" &amp; $A41, Table2[AwayTeam], AD$1)+SUMIFS(Table2[NewPointsHome],Table2[GameDate], "&lt;=" &amp; $A41, Table2[HomeTeam], AD$1)</f>
        <v>0</v>
      </c>
      <c r="AE41" s="145">
        <f>SUMIFS(Table2[NewPointsAway],Table2[GameDate], "&lt;=" &amp; $A41, Table2[AwayTeam], AE$1)+SUMIFS(Table2[NewPointsHome],Table2[GameDate], "&lt;=" &amp; $A41, Table2[HomeTeam], AE$1)</f>
        <v>1</v>
      </c>
      <c r="AF41" s="145">
        <f>SUMIFS(Table2[NewPointsAway],Table2[GameDate], "&lt;=" &amp; $A41, Table2[AwayTeam], AF$1)+SUMIFS(Table2[NewPointsHome],Table2[GameDate], "&lt;=" &amp; $A41, Table2[HomeTeam], AF$1)</f>
        <v>0</v>
      </c>
      <c r="AG41" s="145">
        <f>SUMIFS(Table2[NewPointsAway],Table2[GameDate], "&lt;=" &amp; $A41, Table2[AwayTeam], AG$1)+SUMIFS(Table2[NewPointsHome],Table2[GameDate], "&lt;=" &amp; $A41, Table2[HomeTeam], AG$1)</f>
        <v>0</v>
      </c>
    </row>
    <row r="42" spans="1:33" x14ac:dyDescent="0.25">
      <c r="A42" s="3">
        <v>45973</v>
      </c>
      <c r="B42" s="145">
        <f>SUMIFS(Table2[NewPointsAway],Table2[GameDate], "&lt;=" &amp; $A42, Table2[AwayTeam], B$1)+SUMIFS(Table2[NewPointsHome],Table2[GameDate], "&lt;=" &amp; $A42, Table2[HomeTeam], B$1)</f>
        <v>0</v>
      </c>
      <c r="C42" s="145">
        <f>SUMIFS(Table2[NewPointsAway],Table2[GameDate], "&lt;=" &amp; $A42, Table2[AwayTeam], C$1)+SUMIFS(Table2[NewPointsHome],Table2[GameDate], "&lt;=" &amp; $A42, Table2[HomeTeam], C$1)</f>
        <v>2</v>
      </c>
      <c r="D42" s="145">
        <f>SUMIFS(Table2[NewPointsAway],Table2[GameDate], "&lt;=" &amp; $A42, Table2[AwayTeam], D$1)+SUMIFS(Table2[NewPointsHome],Table2[GameDate], "&lt;=" &amp; $A42, Table2[HomeTeam], D$1)</f>
        <v>0</v>
      </c>
      <c r="E42" s="145">
        <f>SUMIFS(Table2[NewPointsAway],Table2[GameDate], "&lt;=" &amp; $A42, Table2[AwayTeam], E$1)+SUMIFS(Table2[NewPointsHome],Table2[GameDate], "&lt;=" &amp; $A42, Table2[HomeTeam], E$1)</f>
        <v>0</v>
      </c>
      <c r="F42" s="145">
        <f>SUMIFS(Table2[NewPointsAway],Table2[GameDate], "&lt;=" &amp; $A42, Table2[AwayTeam], F$1)+SUMIFS(Table2[NewPointsHome],Table2[GameDate], "&lt;=" &amp; $A42, Table2[HomeTeam], F$1)</f>
        <v>0</v>
      </c>
      <c r="G42" s="145">
        <f>SUMIFS(Table2[NewPointsAway],Table2[GameDate], "&lt;=" &amp; $A42, Table2[AwayTeam], G$1)+SUMIFS(Table2[NewPointsHome],Table2[GameDate], "&lt;=" &amp; $A42, Table2[HomeTeam], G$1)</f>
        <v>2</v>
      </c>
      <c r="H42" s="145">
        <f>SUMIFS(Table2[NewPointsAway],Table2[GameDate], "&lt;=" &amp; $A42, Table2[AwayTeam], H$1)+SUMIFS(Table2[NewPointsHome],Table2[GameDate], "&lt;=" &amp; $A42, Table2[HomeTeam], H$1)</f>
        <v>0</v>
      </c>
      <c r="I42" s="145">
        <f>SUMIFS(Table2[NewPointsAway],Table2[GameDate], "&lt;=" &amp; $A42, Table2[AwayTeam], I$1)+SUMIFS(Table2[NewPointsHome],Table2[GameDate], "&lt;=" &amp; $A42, Table2[HomeTeam], I$1)</f>
        <v>2</v>
      </c>
      <c r="J42" s="145">
        <f>SUMIFS(Table2[NewPointsAway],Table2[GameDate], "&lt;=" &amp; $A42, Table2[AwayTeam], J$1)+SUMIFS(Table2[NewPointsHome],Table2[GameDate], "&lt;=" &amp; $A42, Table2[HomeTeam], J$1)</f>
        <v>0</v>
      </c>
      <c r="K42" s="145">
        <f>SUMIFS(Table2[NewPointsAway],Table2[GameDate], "&lt;=" &amp; $A42, Table2[AwayTeam], K$1)+SUMIFS(Table2[NewPointsHome],Table2[GameDate], "&lt;=" &amp; $A42, Table2[HomeTeam], K$1)</f>
        <v>0</v>
      </c>
      <c r="L42" s="145">
        <f>SUMIFS(Table2[NewPointsAway],Table2[GameDate], "&lt;=" &amp; $A42, Table2[AwayTeam], L$1)+SUMIFS(Table2[NewPointsHome],Table2[GameDate], "&lt;=" &amp; $A42, Table2[HomeTeam], L$1)</f>
        <v>1</v>
      </c>
      <c r="M42" s="145">
        <f>SUMIFS(Table2[NewPointsAway],Table2[GameDate], "&lt;=" &amp; $A42, Table2[AwayTeam], M$1)+SUMIFS(Table2[NewPointsHome],Table2[GameDate], "&lt;=" &amp; $A42, Table2[HomeTeam], M$1)</f>
        <v>2</v>
      </c>
      <c r="N42" s="145">
        <f>SUMIFS(Table2[NewPointsAway],Table2[GameDate], "&lt;=" &amp; $A42, Table2[AwayTeam], N$1)+SUMIFS(Table2[NewPointsHome],Table2[GameDate], "&lt;=" &amp; $A42, Table2[HomeTeam], N$1)</f>
        <v>2</v>
      </c>
      <c r="O42" s="145">
        <f>SUMIFS(Table2[NewPointsAway],Table2[GameDate], "&lt;=" &amp; $A42, Table2[AwayTeam], O$1)+SUMIFS(Table2[NewPointsHome],Table2[GameDate], "&lt;=" &amp; $A42, Table2[HomeTeam], O$1)</f>
        <v>0</v>
      </c>
      <c r="P42" s="145">
        <f>SUMIFS(Table2[NewPointsAway],Table2[GameDate], "&lt;=" &amp; $A42, Table2[AwayTeam], P$1)+SUMIFS(Table2[NewPointsHome],Table2[GameDate], "&lt;=" &amp; $A42, Table2[HomeTeam], P$1)</f>
        <v>0</v>
      </c>
      <c r="Q42" s="145">
        <f>SUMIFS(Table2[NewPointsAway],Table2[GameDate], "&lt;=" &amp; $A42, Table2[AwayTeam], Q$1)+SUMIFS(Table2[NewPointsHome],Table2[GameDate], "&lt;=" &amp; $A42, Table2[HomeTeam], Q$1)</f>
        <v>0</v>
      </c>
      <c r="R42" s="145">
        <f>SUMIFS(Table2[NewPointsAway],Table2[GameDate], "&lt;=" &amp; $A42, Table2[AwayTeam], R$1)+SUMIFS(Table2[NewPointsHome],Table2[GameDate], "&lt;=" &amp; $A42, Table2[HomeTeam], R$1)</f>
        <v>0</v>
      </c>
      <c r="S42" s="145">
        <f>SUMIFS(Table2[NewPointsAway],Table2[GameDate], "&lt;=" &amp; $A42, Table2[AwayTeam], S$1)+SUMIFS(Table2[NewPointsHome],Table2[GameDate], "&lt;=" &amp; $A42, Table2[HomeTeam], S$1)</f>
        <v>0</v>
      </c>
      <c r="T42" s="145">
        <f>SUMIFS(Table2[NewPointsAway],Table2[GameDate], "&lt;=" &amp; $A42, Table2[AwayTeam], T$1)+SUMIFS(Table2[NewPointsHome],Table2[GameDate], "&lt;=" &amp; $A42, Table2[HomeTeam], T$1)</f>
        <v>0</v>
      </c>
      <c r="U42" s="145">
        <f>SUMIFS(Table2[NewPointsAway],Table2[GameDate], "&lt;=" &amp; $A42, Table2[AwayTeam], U$1)+SUMIFS(Table2[NewPointsHome],Table2[GameDate], "&lt;=" &amp; $A42, Table2[HomeTeam], U$1)</f>
        <v>0</v>
      </c>
      <c r="V42" s="145">
        <f>SUMIFS(Table2[NewPointsAway],Table2[GameDate], "&lt;=" &amp; $A42, Table2[AwayTeam], V$1)+SUMIFS(Table2[NewPointsHome],Table2[GameDate], "&lt;=" &amp; $A42, Table2[HomeTeam], V$1)</f>
        <v>0</v>
      </c>
      <c r="W42" s="145">
        <f>SUMIFS(Table2[NewPointsAway],Table2[GameDate], "&lt;=" &amp; $A42, Table2[AwayTeam], W$1)+SUMIFS(Table2[NewPointsHome],Table2[GameDate], "&lt;=" &amp; $A42, Table2[HomeTeam], W$1)</f>
        <v>2</v>
      </c>
      <c r="X42" s="145">
        <f>SUMIFS(Table2[NewPointsAway],Table2[GameDate], "&lt;=" &amp; $A42, Table2[AwayTeam], X$1)+SUMIFS(Table2[NewPointsHome],Table2[GameDate], "&lt;=" &amp; $A42, Table2[HomeTeam], X$1)</f>
        <v>0</v>
      </c>
      <c r="Y42" s="145">
        <f>SUMIFS(Table2[NewPointsAway],Table2[GameDate], "&lt;=" &amp; $A42, Table2[AwayTeam], Y$1)+SUMIFS(Table2[NewPointsHome],Table2[GameDate], "&lt;=" &amp; $A42, Table2[HomeTeam], Y$1)</f>
        <v>0</v>
      </c>
      <c r="Z42" s="145">
        <f>SUMIFS(Table2[NewPointsAway],Table2[GameDate], "&lt;=" &amp; $A42, Table2[AwayTeam], Z$1)+SUMIFS(Table2[NewPointsHome],Table2[GameDate], "&lt;=" &amp; $A42, Table2[HomeTeam], Z$1)</f>
        <v>0</v>
      </c>
      <c r="AA42" s="145">
        <f>SUMIFS(Table2[NewPointsAway],Table2[GameDate], "&lt;=" &amp; $A42, Table2[AwayTeam], AA$1)+SUMIFS(Table2[NewPointsHome],Table2[GameDate], "&lt;=" &amp; $A42, Table2[HomeTeam], AA$1)</f>
        <v>0</v>
      </c>
      <c r="AB42" s="145">
        <f>SUMIFS(Table2[NewPointsAway],Table2[GameDate], "&lt;=" &amp; $A42, Table2[AwayTeam], AB$1)+SUMIFS(Table2[NewPointsHome],Table2[GameDate], "&lt;=" &amp; $A42, Table2[HomeTeam], AB$1)</f>
        <v>2</v>
      </c>
      <c r="AC42" s="145">
        <f>SUMIFS(Table2[NewPointsAway],Table2[GameDate], "&lt;=" &amp; $A42, Table2[AwayTeam], AC$1)+SUMIFS(Table2[NewPointsHome],Table2[GameDate], "&lt;=" &amp; $A42, Table2[HomeTeam], AC$1)</f>
        <v>0</v>
      </c>
      <c r="AD42" s="145">
        <f>SUMIFS(Table2[NewPointsAway],Table2[GameDate], "&lt;=" &amp; $A42, Table2[AwayTeam], AD$1)+SUMIFS(Table2[NewPointsHome],Table2[GameDate], "&lt;=" &amp; $A42, Table2[HomeTeam], AD$1)</f>
        <v>0</v>
      </c>
      <c r="AE42" s="145">
        <f>SUMIFS(Table2[NewPointsAway],Table2[GameDate], "&lt;=" &amp; $A42, Table2[AwayTeam], AE$1)+SUMIFS(Table2[NewPointsHome],Table2[GameDate], "&lt;=" &amp; $A42, Table2[HomeTeam], AE$1)</f>
        <v>1</v>
      </c>
      <c r="AF42" s="145">
        <f>SUMIFS(Table2[NewPointsAway],Table2[GameDate], "&lt;=" &amp; $A42, Table2[AwayTeam], AF$1)+SUMIFS(Table2[NewPointsHome],Table2[GameDate], "&lt;=" &amp; $A42, Table2[HomeTeam], AF$1)</f>
        <v>0</v>
      </c>
      <c r="AG42" s="145">
        <f>SUMIFS(Table2[NewPointsAway],Table2[GameDate], "&lt;=" &amp; $A42, Table2[AwayTeam], AG$1)+SUMIFS(Table2[NewPointsHome],Table2[GameDate], "&lt;=" &amp; $A42, Table2[HomeTeam], AG$1)</f>
        <v>0</v>
      </c>
    </row>
    <row r="43" spans="1:33" x14ac:dyDescent="0.25">
      <c r="A43" s="3">
        <v>45974</v>
      </c>
      <c r="B43" s="145">
        <f>SUMIFS(Table2[NewPointsAway],Table2[GameDate], "&lt;=" &amp; $A43, Table2[AwayTeam], B$1)+SUMIFS(Table2[NewPointsHome],Table2[GameDate], "&lt;=" &amp; $A43, Table2[HomeTeam], B$1)</f>
        <v>0</v>
      </c>
      <c r="C43" s="145">
        <f>SUMIFS(Table2[NewPointsAway],Table2[GameDate], "&lt;=" &amp; $A43, Table2[AwayTeam], C$1)+SUMIFS(Table2[NewPointsHome],Table2[GameDate], "&lt;=" &amp; $A43, Table2[HomeTeam], C$1)</f>
        <v>2</v>
      </c>
      <c r="D43" s="145">
        <f>SUMIFS(Table2[NewPointsAway],Table2[GameDate], "&lt;=" &amp; $A43, Table2[AwayTeam], D$1)+SUMIFS(Table2[NewPointsHome],Table2[GameDate], "&lt;=" &amp; $A43, Table2[HomeTeam], D$1)</f>
        <v>0</v>
      </c>
      <c r="E43" s="145">
        <f>SUMIFS(Table2[NewPointsAway],Table2[GameDate], "&lt;=" &amp; $A43, Table2[AwayTeam], E$1)+SUMIFS(Table2[NewPointsHome],Table2[GameDate], "&lt;=" &amp; $A43, Table2[HomeTeam], E$1)</f>
        <v>0</v>
      </c>
      <c r="F43" s="145">
        <f>SUMIFS(Table2[NewPointsAway],Table2[GameDate], "&lt;=" &amp; $A43, Table2[AwayTeam], F$1)+SUMIFS(Table2[NewPointsHome],Table2[GameDate], "&lt;=" &amp; $A43, Table2[HomeTeam], F$1)</f>
        <v>0</v>
      </c>
      <c r="G43" s="145">
        <f>SUMIFS(Table2[NewPointsAway],Table2[GameDate], "&lt;=" &amp; $A43, Table2[AwayTeam], G$1)+SUMIFS(Table2[NewPointsHome],Table2[GameDate], "&lt;=" &amp; $A43, Table2[HomeTeam], G$1)</f>
        <v>2</v>
      </c>
      <c r="H43" s="145">
        <f>SUMIFS(Table2[NewPointsAway],Table2[GameDate], "&lt;=" &amp; $A43, Table2[AwayTeam], H$1)+SUMIFS(Table2[NewPointsHome],Table2[GameDate], "&lt;=" &amp; $A43, Table2[HomeTeam], H$1)</f>
        <v>0</v>
      </c>
      <c r="I43" s="145">
        <f>SUMIFS(Table2[NewPointsAway],Table2[GameDate], "&lt;=" &amp; $A43, Table2[AwayTeam], I$1)+SUMIFS(Table2[NewPointsHome],Table2[GameDate], "&lt;=" &amp; $A43, Table2[HomeTeam], I$1)</f>
        <v>2</v>
      </c>
      <c r="J43" s="145">
        <f>SUMIFS(Table2[NewPointsAway],Table2[GameDate], "&lt;=" &amp; $A43, Table2[AwayTeam], J$1)+SUMIFS(Table2[NewPointsHome],Table2[GameDate], "&lt;=" &amp; $A43, Table2[HomeTeam], J$1)</f>
        <v>0</v>
      </c>
      <c r="K43" s="145">
        <f>SUMIFS(Table2[NewPointsAway],Table2[GameDate], "&lt;=" &amp; $A43, Table2[AwayTeam], K$1)+SUMIFS(Table2[NewPointsHome],Table2[GameDate], "&lt;=" &amp; $A43, Table2[HomeTeam], K$1)</f>
        <v>0</v>
      </c>
      <c r="L43" s="145">
        <f>SUMIFS(Table2[NewPointsAway],Table2[GameDate], "&lt;=" &amp; $A43, Table2[AwayTeam], L$1)+SUMIFS(Table2[NewPointsHome],Table2[GameDate], "&lt;=" &amp; $A43, Table2[HomeTeam], L$1)</f>
        <v>1</v>
      </c>
      <c r="M43" s="145">
        <f>SUMIFS(Table2[NewPointsAway],Table2[GameDate], "&lt;=" &amp; $A43, Table2[AwayTeam], M$1)+SUMIFS(Table2[NewPointsHome],Table2[GameDate], "&lt;=" &amp; $A43, Table2[HomeTeam], M$1)</f>
        <v>2</v>
      </c>
      <c r="N43" s="145">
        <f>SUMIFS(Table2[NewPointsAway],Table2[GameDate], "&lt;=" &amp; $A43, Table2[AwayTeam], N$1)+SUMIFS(Table2[NewPointsHome],Table2[GameDate], "&lt;=" &amp; $A43, Table2[HomeTeam], N$1)</f>
        <v>2</v>
      </c>
      <c r="O43" s="145">
        <f>SUMIFS(Table2[NewPointsAway],Table2[GameDate], "&lt;=" &amp; $A43, Table2[AwayTeam], O$1)+SUMIFS(Table2[NewPointsHome],Table2[GameDate], "&lt;=" &amp; $A43, Table2[HomeTeam], O$1)</f>
        <v>0</v>
      </c>
      <c r="P43" s="145">
        <f>SUMIFS(Table2[NewPointsAway],Table2[GameDate], "&lt;=" &amp; $A43, Table2[AwayTeam], P$1)+SUMIFS(Table2[NewPointsHome],Table2[GameDate], "&lt;=" &amp; $A43, Table2[HomeTeam], P$1)</f>
        <v>0</v>
      </c>
      <c r="Q43" s="145">
        <f>SUMIFS(Table2[NewPointsAway],Table2[GameDate], "&lt;=" &amp; $A43, Table2[AwayTeam], Q$1)+SUMIFS(Table2[NewPointsHome],Table2[GameDate], "&lt;=" &amp; $A43, Table2[HomeTeam], Q$1)</f>
        <v>0</v>
      </c>
      <c r="R43" s="145">
        <f>SUMIFS(Table2[NewPointsAway],Table2[GameDate], "&lt;=" &amp; $A43, Table2[AwayTeam], R$1)+SUMIFS(Table2[NewPointsHome],Table2[GameDate], "&lt;=" &amp; $A43, Table2[HomeTeam], R$1)</f>
        <v>0</v>
      </c>
      <c r="S43" s="145">
        <f>SUMIFS(Table2[NewPointsAway],Table2[GameDate], "&lt;=" &amp; $A43, Table2[AwayTeam], S$1)+SUMIFS(Table2[NewPointsHome],Table2[GameDate], "&lt;=" &amp; $A43, Table2[HomeTeam], S$1)</f>
        <v>0</v>
      </c>
      <c r="T43" s="145">
        <f>SUMIFS(Table2[NewPointsAway],Table2[GameDate], "&lt;=" &amp; $A43, Table2[AwayTeam], T$1)+SUMIFS(Table2[NewPointsHome],Table2[GameDate], "&lt;=" &amp; $A43, Table2[HomeTeam], T$1)</f>
        <v>0</v>
      </c>
      <c r="U43" s="145">
        <f>SUMIFS(Table2[NewPointsAway],Table2[GameDate], "&lt;=" &amp; $A43, Table2[AwayTeam], U$1)+SUMIFS(Table2[NewPointsHome],Table2[GameDate], "&lt;=" &amp; $A43, Table2[HomeTeam], U$1)</f>
        <v>0</v>
      </c>
      <c r="V43" s="145">
        <f>SUMIFS(Table2[NewPointsAway],Table2[GameDate], "&lt;=" &amp; $A43, Table2[AwayTeam], V$1)+SUMIFS(Table2[NewPointsHome],Table2[GameDate], "&lt;=" &amp; $A43, Table2[HomeTeam], V$1)</f>
        <v>0</v>
      </c>
      <c r="W43" s="145">
        <f>SUMIFS(Table2[NewPointsAway],Table2[GameDate], "&lt;=" &amp; $A43, Table2[AwayTeam], W$1)+SUMIFS(Table2[NewPointsHome],Table2[GameDate], "&lt;=" &amp; $A43, Table2[HomeTeam], W$1)</f>
        <v>2</v>
      </c>
      <c r="X43" s="145">
        <f>SUMIFS(Table2[NewPointsAway],Table2[GameDate], "&lt;=" &amp; $A43, Table2[AwayTeam], X$1)+SUMIFS(Table2[NewPointsHome],Table2[GameDate], "&lt;=" &amp; $A43, Table2[HomeTeam], X$1)</f>
        <v>0</v>
      </c>
      <c r="Y43" s="145">
        <f>SUMIFS(Table2[NewPointsAway],Table2[GameDate], "&lt;=" &amp; $A43, Table2[AwayTeam], Y$1)+SUMIFS(Table2[NewPointsHome],Table2[GameDate], "&lt;=" &amp; $A43, Table2[HomeTeam], Y$1)</f>
        <v>0</v>
      </c>
      <c r="Z43" s="145">
        <f>SUMIFS(Table2[NewPointsAway],Table2[GameDate], "&lt;=" &amp; $A43, Table2[AwayTeam], Z$1)+SUMIFS(Table2[NewPointsHome],Table2[GameDate], "&lt;=" &amp; $A43, Table2[HomeTeam], Z$1)</f>
        <v>0</v>
      </c>
      <c r="AA43" s="145">
        <f>SUMIFS(Table2[NewPointsAway],Table2[GameDate], "&lt;=" &amp; $A43, Table2[AwayTeam], AA$1)+SUMIFS(Table2[NewPointsHome],Table2[GameDate], "&lt;=" &amp; $A43, Table2[HomeTeam], AA$1)</f>
        <v>0</v>
      </c>
      <c r="AB43" s="145">
        <f>SUMIFS(Table2[NewPointsAway],Table2[GameDate], "&lt;=" &amp; $A43, Table2[AwayTeam], AB$1)+SUMIFS(Table2[NewPointsHome],Table2[GameDate], "&lt;=" &amp; $A43, Table2[HomeTeam], AB$1)</f>
        <v>2</v>
      </c>
      <c r="AC43" s="145">
        <f>SUMIFS(Table2[NewPointsAway],Table2[GameDate], "&lt;=" &amp; $A43, Table2[AwayTeam], AC$1)+SUMIFS(Table2[NewPointsHome],Table2[GameDate], "&lt;=" &amp; $A43, Table2[HomeTeam], AC$1)</f>
        <v>0</v>
      </c>
      <c r="AD43" s="145">
        <f>SUMIFS(Table2[NewPointsAway],Table2[GameDate], "&lt;=" &amp; $A43, Table2[AwayTeam], AD$1)+SUMIFS(Table2[NewPointsHome],Table2[GameDate], "&lt;=" &amp; $A43, Table2[HomeTeam], AD$1)</f>
        <v>0</v>
      </c>
      <c r="AE43" s="145">
        <f>SUMIFS(Table2[NewPointsAway],Table2[GameDate], "&lt;=" &amp; $A43, Table2[AwayTeam], AE$1)+SUMIFS(Table2[NewPointsHome],Table2[GameDate], "&lt;=" &amp; $A43, Table2[HomeTeam], AE$1)</f>
        <v>1</v>
      </c>
      <c r="AF43" s="145">
        <f>SUMIFS(Table2[NewPointsAway],Table2[GameDate], "&lt;=" &amp; $A43, Table2[AwayTeam], AF$1)+SUMIFS(Table2[NewPointsHome],Table2[GameDate], "&lt;=" &amp; $A43, Table2[HomeTeam], AF$1)</f>
        <v>0</v>
      </c>
      <c r="AG43" s="145">
        <f>SUMIFS(Table2[NewPointsAway],Table2[GameDate], "&lt;=" &amp; $A43, Table2[AwayTeam], AG$1)+SUMIFS(Table2[NewPointsHome],Table2[GameDate], "&lt;=" &amp; $A43, Table2[HomeTeam], AG$1)</f>
        <v>0</v>
      </c>
    </row>
    <row r="44" spans="1:33" x14ac:dyDescent="0.25">
      <c r="A44" s="3">
        <v>45975</v>
      </c>
      <c r="B44" s="145">
        <f>SUMIFS(Table2[NewPointsAway],Table2[GameDate], "&lt;=" &amp; $A44, Table2[AwayTeam], B$1)+SUMIFS(Table2[NewPointsHome],Table2[GameDate], "&lt;=" &amp; $A44, Table2[HomeTeam], B$1)</f>
        <v>0</v>
      </c>
      <c r="C44" s="145">
        <f>SUMIFS(Table2[NewPointsAway],Table2[GameDate], "&lt;=" &amp; $A44, Table2[AwayTeam], C$1)+SUMIFS(Table2[NewPointsHome],Table2[GameDate], "&lt;=" &amp; $A44, Table2[HomeTeam], C$1)</f>
        <v>2</v>
      </c>
      <c r="D44" s="145">
        <f>SUMIFS(Table2[NewPointsAway],Table2[GameDate], "&lt;=" &amp; $A44, Table2[AwayTeam], D$1)+SUMIFS(Table2[NewPointsHome],Table2[GameDate], "&lt;=" &amp; $A44, Table2[HomeTeam], D$1)</f>
        <v>0</v>
      </c>
      <c r="E44" s="145">
        <f>SUMIFS(Table2[NewPointsAway],Table2[GameDate], "&lt;=" &amp; $A44, Table2[AwayTeam], E$1)+SUMIFS(Table2[NewPointsHome],Table2[GameDate], "&lt;=" &amp; $A44, Table2[HomeTeam], E$1)</f>
        <v>0</v>
      </c>
      <c r="F44" s="145">
        <f>SUMIFS(Table2[NewPointsAway],Table2[GameDate], "&lt;=" &amp; $A44, Table2[AwayTeam], F$1)+SUMIFS(Table2[NewPointsHome],Table2[GameDate], "&lt;=" &amp; $A44, Table2[HomeTeam], F$1)</f>
        <v>0</v>
      </c>
      <c r="G44" s="145">
        <f>SUMIFS(Table2[NewPointsAway],Table2[GameDate], "&lt;=" &amp; $A44, Table2[AwayTeam], G$1)+SUMIFS(Table2[NewPointsHome],Table2[GameDate], "&lt;=" &amp; $A44, Table2[HomeTeam], G$1)</f>
        <v>2</v>
      </c>
      <c r="H44" s="145">
        <f>SUMIFS(Table2[NewPointsAway],Table2[GameDate], "&lt;=" &amp; $A44, Table2[AwayTeam], H$1)+SUMIFS(Table2[NewPointsHome],Table2[GameDate], "&lt;=" &amp; $A44, Table2[HomeTeam], H$1)</f>
        <v>0</v>
      </c>
      <c r="I44" s="145">
        <f>SUMIFS(Table2[NewPointsAway],Table2[GameDate], "&lt;=" &amp; $A44, Table2[AwayTeam], I$1)+SUMIFS(Table2[NewPointsHome],Table2[GameDate], "&lt;=" &amp; $A44, Table2[HomeTeam], I$1)</f>
        <v>2</v>
      </c>
      <c r="J44" s="145">
        <f>SUMIFS(Table2[NewPointsAway],Table2[GameDate], "&lt;=" &amp; $A44, Table2[AwayTeam], J$1)+SUMIFS(Table2[NewPointsHome],Table2[GameDate], "&lt;=" &amp; $A44, Table2[HomeTeam], J$1)</f>
        <v>0</v>
      </c>
      <c r="K44" s="145">
        <f>SUMIFS(Table2[NewPointsAway],Table2[GameDate], "&lt;=" &amp; $A44, Table2[AwayTeam], K$1)+SUMIFS(Table2[NewPointsHome],Table2[GameDate], "&lt;=" &amp; $A44, Table2[HomeTeam], K$1)</f>
        <v>0</v>
      </c>
      <c r="L44" s="145">
        <f>SUMIFS(Table2[NewPointsAway],Table2[GameDate], "&lt;=" &amp; $A44, Table2[AwayTeam], L$1)+SUMIFS(Table2[NewPointsHome],Table2[GameDate], "&lt;=" &amp; $A44, Table2[HomeTeam], L$1)</f>
        <v>1</v>
      </c>
      <c r="M44" s="145">
        <f>SUMIFS(Table2[NewPointsAway],Table2[GameDate], "&lt;=" &amp; $A44, Table2[AwayTeam], M$1)+SUMIFS(Table2[NewPointsHome],Table2[GameDate], "&lt;=" &amp; $A44, Table2[HomeTeam], M$1)</f>
        <v>2</v>
      </c>
      <c r="N44" s="145">
        <f>SUMIFS(Table2[NewPointsAway],Table2[GameDate], "&lt;=" &amp; $A44, Table2[AwayTeam], N$1)+SUMIFS(Table2[NewPointsHome],Table2[GameDate], "&lt;=" &amp; $A44, Table2[HomeTeam], N$1)</f>
        <v>2</v>
      </c>
      <c r="O44" s="145">
        <f>SUMIFS(Table2[NewPointsAway],Table2[GameDate], "&lt;=" &amp; $A44, Table2[AwayTeam], O$1)+SUMIFS(Table2[NewPointsHome],Table2[GameDate], "&lt;=" &amp; $A44, Table2[HomeTeam], O$1)</f>
        <v>0</v>
      </c>
      <c r="P44" s="145">
        <f>SUMIFS(Table2[NewPointsAway],Table2[GameDate], "&lt;=" &amp; $A44, Table2[AwayTeam], P$1)+SUMIFS(Table2[NewPointsHome],Table2[GameDate], "&lt;=" &amp; $A44, Table2[HomeTeam], P$1)</f>
        <v>0</v>
      </c>
      <c r="Q44" s="145">
        <f>SUMIFS(Table2[NewPointsAway],Table2[GameDate], "&lt;=" &amp; $A44, Table2[AwayTeam], Q$1)+SUMIFS(Table2[NewPointsHome],Table2[GameDate], "&lt;=" &amp; $A44, Table2[HomeTeam], Q$1)</f>
        <v>0</v>
      </c>
      <c r="R44" s="145">
        <f>SUMIFS(Table2[NewPointsAway],Table2[GameDate], "&lt;=" &amp; $A44, Table2[AwayTeam], R$1)+SUMIFS(Table2[NewPointsHome],Table2[GameDate], "&lt;=" &amp; $A44, Table2[HomeTeam], R$1)</f>
        <v>0</v>
      </c>
      <c r="S44" s="145">
        <f>SUMIFS(Table2[NewPointsAway],Table2[GameDate], "&lt;=" &amp; $A44, Table2[AwayTeam], S$1)+SUMIFS(Table2[NewPointsHome],Table2[GameDate], "&lt;=" &amp; $A44, Table2[HomeTeam], S$1)</f>
        <v>0</v>
      </c>
      <c r="T44" s="145">
        <f>SUMIFS(Table2[NewPointsAway],Table2[GameDate], "&lt;=" &amp; $A44, Table2[AwayTeam], T$1)+SUMIFS(Table2[NewPointsHome],Table2[GameDate], "&lt;=" &amp; $A44, Table2[HomeTeam], T$1)</f>
        <v>0</v>
      </c>
      <c r="U44" s="145">
        <f>SUMIFS(Table2[NewPointsAway],Table2[GameDate], "&lt;=" &amp; $A44, Table2[AwayTeam], U$1)+SUMIFS(Table2[NewPointsHome],Table2[GameDate], "&lt;=" &amp; $A44, Table2[HomeTeam], U$1)</f>
        <v>0</v>
      </c>
      <c r="V44" s="145">
        <f>SUMIFS(Table2[NewPointsAway],Table2[GameDate], "&lt;=" &amp; $A44, Table2[AwayTeam], V$1)+SUMIFS(Table2[NewPointsHome],Table2[GameDate], "&lt;=" &amp; $A44, Table2[HomeTeam], V$1)</f>
        <v>0</v>
      </c>
      <c r="W44" s="145">
        <f>SUMIFS(Table2[NewPointsAway],Table2[GameDate], "&lt;=" &amp; $A44, Table2[AwayTeam], W$1)+SUMIFS(Table2[NewPointsHome],Table2[GameDate], "&lt;=" &amp; $A44, Table2[HomeTeam], W$1)</f>
        <v>2</v>
      </c>
      <c r="X44" s="145">
        <f>SUMIFS(Table2[NewPointsAway],Table2[GameDate], "&lt;=" &amp; $A44, Table2[AwayTeam], X$1)+SUMIFS(Table2[NewPointsHome],Table2[GameDate], "&lt;=" &amp; $A44, Table2[HomeTeam], X$1)</f>
        <v>0</v>
      </c>
      <c r="Y44" s="145">
        <f>SUMIFS(Table2[NewPointsAway],Table2[GameDate], "&lt;=" &amp; $A44, Table2[AwayTeam], Y$1)+SUMIFS(Table2[NewPointsHome],Table2[GameDate], "&lt;=" &amp; $A44, Table2[HomeTeam], Y$1)</f>
        <v>0</v>
      </c>
      <c r="Z44" s="145">
        <f>SUMIFS(Table2[NewPointsAway],Table2[GameDate], "&lt;=" &amp; $A44, Table2[AwayTeam], Z$1)+SUMIFS(Table2[NewPointsHome],Table2[GameDate], "&lt;=" &amp; $A44, Table2[HomeTeam], Z$1)</f>
        <v>0</v>
      </c>
      <c r="AA44" s="145">
        <f>SUMIFS(Table2[NewPointsAway],Table2[GameDate], "&lt;=" &amp; $A44, Table2[AwayTeam], AA$1)+SUMIFS(Table2[NewPointsHome],Table2[GameDate], "&lt;=" &amp; $A44, Table2[HomeTeam], AA$1)</f>
        <v>0</v>
      </c>
      <c r="AB44" s="145">
        <f>SUMIFS(Table2[NewPointsAway],Table2[GameDate], "&lt;=" &amp; $A44, Table2[AwayTeam], AB$1)+SUMIFS(Table2[NewPointsHome],Table2[GameDate], "&lt;=" &amp; $A44, Table2[HomeTeam], AB$1)</f>
        <v>2</v>
      </c>
      <c r="AC44" s="145">
        <f>SUMIFS(Table2[NewPointsAway],Table2[GameDate], "&lt;=" &amp; $A44, Table2[AwayTeam], AC$1)+SUMIFS(Table2[NewPointsHome],Table2[GameDate], "&lt;=" &amp; $A44, Table2[HomeTeam], AC$1)</f>
        <v>0</v>
      </c>
      <c r="AD44" s="145">
        <f>SUMIFS(Table2[NewPointsAway],Table2[GameDate], "&lt;=" &amp; $A44, Table2[AwayTeam], AD$1)+SUMIFS(Table2[NewPointsHome],Table2[GameDate], "&lt;=" &amp; $A44, Table2[HomeTeam], AD$1)</f>
        <v>0</v>
      </c>
      <c r="AE44" s="145">
        <f>SUMIFS(Table2[NewPointsAway],Table2[GameDate], "&lt;=" &amp; $A44, Table2[AwayTeam], AE$1)+SUMIFS(Table2[NewPointsHome],Table2[GameDate], "&lt;=" &amp; $A44, Table2[HomeTeam], AE$1)</f>
        <v>1</v>
      </c>
      <c r="AF44" s="145">
        <f>SUMIFS(Table2[NewPointsAway],Table2[GameDate], "&lt;=" &amp; $A44, Table2[AwayTeam], AF$1)+SUMIFS(Table2[NewPointsHome],Table2[GameDate], "&lt;=" &amp; $A44, Table2[HomeTeam], AF$1)</f>
        <v>0</v>
      </c>
      <c r="AG44" s="145">
        <f>SUMIFS(Table2[NewPointsAway],Table2[GameDate], "&lt;=" &amp; $A44, Table2[AwayTeam], AG$1)+SUMIFS(Table2[NewPointsHome],Table2[GameDate], "&lt;=" &amp; $A44, Table2[HomeTeam], AG$1)</f>
        <v>0</v>
      </c>
    </row>
    <row r="45" spans="1:33" x14ac:dyDescent="0.25">
      <c r="A45" s="3">
        <v>45976</v>
      </c>
      <c r="B45" s="145">
        <f>SUMIFS(Table2[NewPointsAway],Table2[GameDate], "&lt;=" &amp; $A45, Table2[AwayTeam], B$1)+SUMIFS(Table2[NewPointsHome],Table2[GameDate], "&lt;=" &amp; $A45, Table2[HomeTeam], B$1)</f>
        <v>0</v>
      </c>
      <c r="C45" s="145">
        <f>SUMIFS(Table2[NewPointsAway],Table2[GameDate], "&lt;=" &amp; $A45, Table2[AwayTeam], C$1)+SUMIFS(Table2[NewPointsHome],Table2[GameDate], "&lt;=" &amp; $A45, Table2[HomeTeam], C$1)</f>
        <v>2</v>
      </c>
      <c r="D45" s="145">
        <f>SUMIFS(Table2[NewPointsAway],Table2[GameDate], "&lt;=" &amp; $A45, Table2[AwayTeam], D$1)+SUMIFS(Table2[NewPointsHome],Table2[GameDate], "&lt;=" &amp; $A45, Table2[HomeTeam], D$1)</f>
        <v>0</v>
      </c>
      <c r="E45" s="145">
        <f>SUMIFS(Table2[NewPointsAway],Table2[GameDate], "&lt;=" &amp; $A45, Table2[AwayTeam], E$1)+SUMIFS(Table2[NewPointsHome],Table2[GameDate], "&lt;=" &amp; $A45, Table2[HomeTeam], E$1)</f>
        <v>0</v>
      </c>
      <c r="F45" s="145">
        <f>SUMIFS(Table2[NewPointsAway],Table2[GameDate], "&lt;=" &amp; $A45, Table2[AwayTeam], F$1)+SUMIFS(Table2[NewPointsHome],Table2[GameDate], "&lt;=" &amp; $A45, Table2[HomeTeam], F$1)</f>
        <v>0</v>
      </c>
      <c r="G45" s="145">
        <f>SUMIFS(Table2[NewPointsAway],Table2[GameDate], "&lt;=" &amp; $A45, Table2[AwayTeam], G$1)+SUMIFS(Table2[NewPointsHome],Table2[GameDate], "&lt;=" &amp; $A45, Table2[HomeTeam], G$1)</f>
        <v>2</v>
      </c>
      <c r="H45" s="145">
        <f>SUMIFS(Table2[NewPointsAway],Table2[GameDate], "&lt;=" &amp; $A45, Table2[AwayTeam], H$1)+SUMIFS(Table2[NewPointsHome],Table2[GameDate], "&lt;=" &amp; $A45, Table2[HomeTeam], H$1)</f>
        <v>0</v>
      </c>
      <c r="I45" s="145">
        <f>SUMIFS(Table2[NewPointsAway],Table2[GameDate], "&lt;=" &amp; $A45, Table2[AwayTeam], I$1)+SUMIFS(Table2[NewPointsHome],Table2[GameDate], "&lt;=" &amp; $A45, Table2[HomeTeam], I$1)</f>
        <v>2</v>
      </c>
      <c r="J45" s="145">
        <f>SUMIFS(Table2[NewPointsAway],Table2[GameDate], "&lt;=" &amp; $A45, Table2[AwayTeam], J$1)+SUMIFS(Table2[NewPointsHome],Table2[GameDate], "&lt;=" &amp; $A45, Table2[HomeTeam], J$1)</f>
        <v>0</v>
      </c>
      <c r="K45" s="145">
        <f>SUMIFS(Table2[NewPointsAway],Table2[GameDate], "&lt;=" &amp; $A45, Table2[AwayTeam], K$1)+SUMIFS(Table2[NewPointsHome],Table2[GameDate], "&lt;=" &amp; $A45, Table2[HomeTeam], K$1)</f>
        <v>0</v>
      </c>
      <c r="L45" s="145">
        <f>SUMIFS(Table2[NewPointsAway],Table2[GameDate], "&lt;=" &amp; $A45, Table2[AwayTeam], L$1)+SUMIFS(Table2[NewPointsHome],Table2[GameDate], "&lt;=" &amp; $A45, Table2[HomeTeam], L$1)</f>
        <v>1</v>
      </c>
      <c r="M45" s="145">
        <f>SUMIFS(Table2[NewPointsAway],Table2[GameDate], "&lt;=" &amp; $A45, Table2[AwayTeam], M$1)+SUMIFS(Table2[NewPointsHome],Table2[GameDate], "&lt;=" &amp; $A45, Table2[HomeTeam], M$1)</f>
        <v>2</v>
      </c>
      <c r="N45" s="145">
        <f>SUMIFS(Table2[NewPointsAway],Table2[GameDate], "&lt;=" &amp; $A45, Table2[AwayTeam], N$1)+SUMIFS(Table2[NewPointsHome],Table2[GameDate], "&lt;=" &amp; $A45, Table2[HomeTeam], N$1)</f>
        <v>2</v>
      </c>
      <c r="O45" s="145">
        <f>SUMIFS(Table2[NewPointsAway],Table2[GameDate], "&lt;=" &amp; $A45, Table2[AwayTeam], O$1)+SUMIFS(Table2[NewPointsHome],Table2[GameDate], "&lt;=" &amp; $A45, Table2[HomeTeam], O$1)</f>
        <v>0</v>
      </c>
      <c r="P45" s="145">
        <f>SUMIFS(Table2[NewPointsAway],Table2[GameDate], "&lt;=" &amp; $A45, Table2[AwayTeam], P$1)+SUMIFS(Table2[NewPointsHome],Table2[GameDate], "&lt;=" &amp; $A45, Table2[HomeTeam], P$1)</f>
        <v>0</v>
      </c>
      <c r="Q45" s="145">
        <f>SUMIFS(Table2[NewPointsAway],Table2[GameDate], "&lt;=" &amp; $A45, Table2[AwayTeam], Q$1)+SUMIFS(Table2[NewPointsHome],Table2[GameDate], "&lt;=" &amp; $A45, Table2[HomeTeam], Q$1)</f>
        <v>0</v>
      </c>
      <c r="R45" s="145">
        <f>SUMIFS(Table2[NewPointsAway],Table2[GameDate], "&lt;=" &amp; $A45, Table2[AwayTeam], R$1)+SUMIFS(Table2[NewPointsHome],Table2[GameDate], "&lt;=" &amp; $A45, Table2[HomeTeam], R$1)</f>
        <v>0</v>
      </c>
      <c r="S45" s="145">
        <f>SUMIFS(Table2[NewPointsAway],Table2[GameDate], "&lt;=" &amp; $A45, Table2[AwayTeam], S$1)+SUMIFS(Table2[NewPointsHome],Table2[GameDate], "&lt;=" &amp; $A45, Table2[HomeTeam], S$1)</f>
        <v>0</v>
      </c>
      <c r="T45" s="145">
        <f>SUMIFS(Table2[NewPointsAway],Table2[GameDate], "&lt;=" &amp; $A45, Table2[AwayTeam], T$1)+SUMIFS(Table2[NewPointsHome],Table2[GameDate], "&lt;=" &amp; $A45, Table2[HomeTeam], T$1)</f>
        <v>0</v>
      </c>
      <c r="U45" s="145">
        <f>SUMIFS(Table2[NewPointsAway],Table2[GameDate], "&lt;=" &amp; $A45, Table2[AwayTeam], U$1)+SUMIFS(Table2[NewPointsHome],Table2[GameDate], "&lt;=" &amp; $A45, Table2[HomeTeam], U$1)</f>
        <v>0</v>
      </c>
      <c r="V45" s="145">
        <f>SUMIFS(Table2[NewPointsAway],Table2[GameDate], "&lt;=" &amp; $A45, Table2[AwayTeam], V$1)+SUMIFS(Table2[NewPointsHome],Table2[GameDate], "&lt;=" &amp; $A45, Table2[HomeTeam], V$1)</f>
        <v>0</v>
      </c>
      <c r="W45" s="145">
        <f>SUMIFS(Table2[NewPointsAway],Table2[GameDate], "&lt;=" &amp; $A45, Table2[AwayTeam], W$1)+SUMIFS(Table2[NewPointsHome],Table2[GameDate], "&lt;=" &amp; $A45, Table2[HomeTeam], W$1)</f>
        <v>2</v>
      </c>
      <c r="X45" s="145">
        <f>SUMIFS(Table2[NewPointsAway],Table2[GameDate], "&lt;=" &amp; $A45, Table2[AwayTeam], X$1)+SUMIFS(Table2[NewPointsHome],Table2[GameDate], "&lt;=" &amp; $A45, Table2[HomeTeam], X$1)</f>
        <v>0</v>
      </c>
      <c r="Y45" s="145">
        <f>SUMIFS(Table2[NewPointsAway],Table2[GameDate], "&lt;=" &amp; $A45, Table2[AwayTeam], Y$1)+SUMIFS(Table2[NewPointsHome],Table2[GameDate], "&lt;=" &amp; $A45, Table2[HomeTeam], Y$1)</f>
        <v>0</v>
      </c>
      <c r="Z45" s="145">
        <f>SUMIFS(Table2[NewPointsAway],Table2[GameDate], "&lt;=" &amp; $A45, Table2[AwayTeam], Z$1)+SUMIFS(Table2[NewPointsHome],Table2[GameDate], "&lt;=" &amp; $A45, Table2[HomeTeam], Z$1)</f>
        <v>0</v>
      </c>
      <c r="AA45" s="145">
        <f>SUMIFS(Table2[NewPointsAway],Table2[GameDate], "&lt;=" &amp; $A45, Table2[AwayTeam], AA$1)+SUMIFS(Table2[NewPointsHome],Table2[GameDate], "&lt;=" &amp; $A45, Table2[HomeTeam], AA$1)</f>
        <v>0</v>
      </c>
      <c r="AB45" s="145">
        <f>SUMIFS(Table2[NewPointsAway],Table2[GameDate], "&lt;=" &amp; $A45, Table2[AwayTeam], AB$1)+SUMIFS(Table2[NewPointsHome],Table2[GameDate], "&lt;=" &amp; $A45, Table2[HomeTeam], AB$1)</f>
        <v>2</v>
      </c>
      <c r="AC45" s="145">
        <f>SUMIFS(Table2[NewPointsAway],Table2[GameDate], "&lt;=" &amp; $A45, Table2[AwayTeam], AC$1)+SUMIFS(Table2[NewPointsHome],Table2[GameDate], "&lt;=" &amp; $A45, Table2[HomeTeam], AC$1)</f>
        <v>0</v>
      </c>
      <c r="AD45" s="145">
        <f>SUMIFS(Table2[NewPointsAway],Table2[GameDate], "&lt;=" &amp; $A45, Table2[AwayTeam], AD$1)+SUMIFS(Table2[NewPointsHome],Table2[GameDate], "&lt;=" &amp; $A45, Table2[HomeTeam], AD$1)</f>
        <v>0</v>
      </c>
      <c r="AE45" s="145">
        <f>SUMIFS(Table2[NewPointsAway],Table2[GameDate], "&lt;=" &amp; $A45, Table2[AwayTeam], AE$1)+SUMIFS(Table2[NewPointsHome],Table2[GameDate], "&lt;=" &amp; $A45, Table2[HomeTeam], AE$1)</f>
        <v>1</v>
      </c>
      <c r="AF45" s="145">
        <f>SUMIFS(Table2[NewPointsAway],Table2[GameDate], "&lt;=" &amp; $A45, Table2[AwayTeam], AF$1)+SUMIFS(Table2[NewPointsHome],Table2[GameDate], "&lt;=" &amp; $A45, Table2[HomeTeam], AF$1)</f>
        <v>0</v>
      </c>
      <c r="AG45" s="145">
        <f>SUMIFS(Table2[NewPointsAway],Table2[GameDate], "&lt;=" &amp; $A45, Table2[AwayTeam], AG$1)+SUMIFS(Table2[NewPointsHome],Table2[GameDate], "&lt;=" &amp; $A45, Table2[HomeTeam], AG$1)</f>
        <v>0</v>
      </c>
    </row>
    <row r="46" spans="1:33" x14ac:dyDescent="0.25">
      <c r="A46" s="3">
        <v>45977</v>
      </c>
      <c r="B46" s="145">
        <f>SUMIFS(Table2[NewPointsAway],Table2[GameDate], "&lt;=" &amp; $A46, Table2[AwayTeam], B$1)+SUMIFS(Table2[NewPointsHome],Table2[GameDate], "&lt;=" &amp; $A46, Table2[HomeTeam], B$1)</f>
        <v>0</v>
      </c>
      <c r="C46" s="145">
        <f>SUMIFS(Table2[NewPointsAway],Table2[GameDate], "&lt;=" &amp; $A46, Table2[AwayTeam], C$1)+SUMIFS(Table2[NewPointsHome],Table2[GameDate], "&lt;=" &amp; $A46, Table2[HomeTeam], C$1)</f>
        <v>2</v>
      </c>
      <c r="D46" s="145">
        <f>SUMIFS(Table2[NewPointsAway],Table2[GameDate], "&lt;=" &amp; $A46, Table2[AwayTeam], D$1)+SUMIFS(Table2[NewPointsHome],Table2[GameDate], "&lt;=" &amp; $A46, Table2[HomeTeam], D$1)</f>
        <v>0</v>
      </c>
      <c r="E46" s="145">
        <f>SUMIFS(Table2[NewPointsAway],Table2[GameDate], "&lt;=" &amp; $A46, Table2[AwayTeam], E$1)+SUMIFS(Table2[NewPointsHome],Table2[GameDate], "&lt;=" &amp; $A46, Table2[HomeTeam], E$1)</f>
        <v>0</v>
      </c>
      <c r="F46" s="145">
        <f>SUMIFS(Table2[NewPointsAway],Table2[GameDate], "&lt;=" &amp; $A46, Table2[AwayTeam], F$1)+SUMIFS(Table2[NewPointsHome],Table2[GameDate], "&lt;=" &amp; $A46, Table2[HomeTeam], F$1)</f>
        <v>0</v>
      </c>
      <c r="G46" s="145">
        <f>SUMIFS(Table2[NewPointsAway],Table2[GameDate], "&lt;=" &amp; $A46, Table2[AwayTeam], G$1)+SUMIFS(Table2[NewPointsHome],Table2[GameDate], "&lt;=" &amp; $A46, Table2[HomeTeam], G$1)</f>
        <v>2</v>
      </c>
      <c r="H46" s="145">
        <f>SUMIFS(Table2[NewPointsAway],Table2[GameDate], "&lt;=" &amp; $A46, Table2[AwayTeam], H$1)+SUMIFS(Table2[NewPointsHome],Table2[GameDate], "&lt;=" &amp; $A46, Table2[HomeTeam], H$1)</f>
        <v>0</v>
      </c>
      <c r="I46" s="145">
        <f>SUMIFS(Table2[NewPointsAway],Table2[GameDate], "&lt;=" &amp; $A46, Table2[AwayTeam], I$1)+SUMIFS(Table2[NewPointsHome],Table2[GameDate], "&lt;=" &amp; $A46, Table2[HomeTeam], I$1)</f>
        <v>2</v>
      </c>
      <c r="J46" s="145">
        <f>SUMIFS(Table2[NewPointsAway],Table2[GameDate], "&lt;=" &amp; $A46, Table2[AwayTeam], J$1)+SUMIFS(Table2[NewPointsHome],Table2[GameDate], "&lt;=" &amp; $A46, Table2[HomeTeam], J$1)</f>
        <v>0</v>
      </c>
      <c r="K46" s="145">
        <f>SUMIFS(Table2[NewPointsAway],Table2[GameDate], "&lt;=" &amp; $A46, Table2[AwayTeam], K$1)+SUMIFS(Table2[NewPointsHome],Table2[GameDate], "&lt;=" &amp; $A46, Table2[HomeTeam], K$1)</f>
        <v>0</v>
      </c>
      <c r="L46" s="145">
        <f>SUMIFS(Table2[NewPointsAway],Table2[GameDate], "&lt;=" &amp; $A46, Table2[AwayTeam], L$1)+SUMIFS(Table2[NewPointsHome],Table2[GameDate], "&lt;=" &amp; $A46, Table2[HomeTeam], L$1)</f>
        <v>1</v>
      </c>
      <c r="M46" s="145">
        <f>SUMIFS(Table2[NewPointsAway],Table2[GameDate], "&lt;=" &amp; $A46, Table2[AwayTeam], M$1)+SUMIFS(Table2[NewPointsHome],Table2[GameDate], "&lt;=" &amp; $A46, Table2[HomeTeam], M$1)</f>
        <v>2</v>
      </c>
      <c r="N46" s="145">
        <f>SUMIFS(Table2[NewPointsAway],Table2[GameDate], "&lt;=" &amp; $A46, Table2[AwayTeam], N$1)+SUMIFS(Table2[NewPointsHome],Table2[GameDate], "&lt;=" &amp; $A46, Table2[HomeTeam], N$1)</f>
        <v>2</v>
      </c>
      <c r="O46" s="145">
        <f>SUMIFS(Table2[NewPointsAway],Table2[GameDate], "&lt;=" &amp; $A46, Table2[AwayTeam], O$1)+SUMIFS(Table2[NewPointsHome],Table2[GameDate], "&lt;=" &amp; $A46, Table2[HomeTeam], O$1)</f>
        <v>0</v>
      </c>
      <c r="P46" s="145">
        <f>SUMIFS(Table2[NewPointsAway],Table2[GameDate], "&lt;=" &amp; $A46, Table2[AwayTeam], P$1)+SUMIFS(Table2[NewPointsHome],Table2[GameDate], "&lt;=" &amp; $A46, Table2[HomeTeam], P$1)</f>
        <v>0</v>
      </c>
      <c r="Q46" s="145">
        <f>SUMIFS(Table2[NewPointsAway],Table2[GameDate], "&lt;=" &amp; $A46, Table2[AwayTeam], Q$1)+SUMIFS(Table2[NewPointsHome],Table2[GameDate], "&lt;=" &amp; $A46, Table2[HomeTeam], Q$1)</f>
        <v>0</v>
      </c>
      <c r="R46" s="145">
        <f>SUMIFS(Table2[NewPointsAway],Table2[GameDate], "&lt;=" &amp; $A46, Table2[AwayTeam], R$1)+SUMIFS(Table2[NewPointsHome],Table2[GameDate], "&lt;=" &amp; $A46, Table2[HomeTeam], R$1)</f>
        <v>0</v>
      </c>
      <c r="S46" s="145">
        <f>SUMIFS(Table2[NewPointsAway],Table2[GameDate], "&lt;=" &amp; $A46, Table2[AwayTeam], S$1)+SUMIFS(Table2[NewPointsHome],Table2[GameDate], "&lt;=" &amp; $A46, Table2[HomeTeam], S$1)</f>
        <v>0</v>
      </c>
      <c r="T46" s="145">
        <f>SUMIFS(Table2[NewPointsAway],Table2[GameDate], "&lt;=" &amp; $A46, Table2[AwayTeam], T$1)+SUMIFS(Table2[NewPointsHome],Table2[GameDate], "&lt;=" &amp; $A46, Table2[HomeTeam], T$1)</f>
        <v>0</v>
      </c>
      <c r="U46" s="145">
        <f>SUMIFS(Table2[NewPointsAway],Table2[GameDate], "&lt;=" &amp; $A46, Table2[AwayTeam], U$1)+SUMIFS(Table2[NewPointsHome],Table2[GameDate], "&lt;=" &amp; $A46, Table2[HomeTeam], U$1)</f>
        <v>0</v>
      </c>
      <c r="V46" s="145">
        <f>SUMIFS(Table2[NewPointsAway],Table2[GameDate], "&lt;=" &amp; $A46, Table2[AwayTeam], V$1)+SUMIFS(Table2[NewPointsHome],Table2[GameDate], "&lt;=" &amp; $A46, Table2[HomeTeam], V$1)</f>
        <v>0</v>
      </c>
      <c r="W46" s="145">
        <f>SUMIFS(Table2[NewPointsAway],Table2[GameDate], "&lt;=" &amp; $A46, Table2[AwayTeam], W$1)+SUMIFS(Table2[NewPointsHome],Table2[GameDate], "&lt;=" &amp; $A46, Table2[HomeTeam], W$1)</f>
        <v>2</v>
      </c>
      <c r="X46" s="145">
        <f>SUMIFS(Table2[NewPointsAway],Table2[GameDate], "&lt;=" &amp; $A46, Table2[AwayTeam], X$1)+SUMIFS(Table2[NewPointsHome],Table2[GameDate], "&lt;=" &amp; $A46, Table2[HomeTeam], X$1)</f>
        <v>0</v>
      </c>
      <c r="Y46" s="145">
        <f>SUMIFS(Table2[NewPointsAway],Table2[GameDate], "&lt;=" &amp; $A46, Table2[AwayTeam], Y$1)+SUMIFS(Table2[NewPointsHome],Table2[GameDate], "&lt;=" &amp; $A46, Table2[HomeTeam], Y$1)</f>
        <v>0</v>
      </c>
      <c r="Z46" s="145">
        <f>SUMIFS(Table2[NewPointsAway],Table2[GameDate], "&lt;=" &amp; $A46, Table2[AwayTeam], Z$1)+SUMIFS(Table2[NewPointsHome],Table2[GameDate], "&lt;=" &amp; $A46, Table2[HomeTeam], Z$1)</f>
        <v>0</v>
      </c>
      <c r="AA46" s="145">
        <f>SUMIFS(Table2[NewPointsAway],Table2[GameDate], "&lt;=" &amp; $A46, Table2[AwayTeam], AA$1)+SUMIFS(Table2[NewPointsHome],Table2[GameDate], "&lt;=" &amp; $A46, Table2[HomeTeam], AA$1)</f>
        <v>0</v>
      </c>
      <c r="AB46" s="145">
        <f>SUMIFS(Table2[NewPointsAway],Table2[GameDate], "&lt;=" &amp; $A46, Table2[AwayTeam], AB$1)+SUMIFS(Table2[NewPointsHome],Table2[GameDate], "&lt;=" &amp; $A46, Table2[HomeTeam], AB$1)</f>
        <v>2</v>
      </c>
      <c r="AC46" s="145">
        <f>SUMIFS(Table2[NewPointsAway],Table2[GameDate], "&lt;=" &amp; $A46, Table2[AwayTeam], AC$1)+SUMIFS(Table2[NewPointsHome],Table2[GameDate], "&lt;=" &amp; $A46, Table2[HomeTeam], AC$1)</f>
        <v>0</v>
      </c>
      <c r="AD46" s="145">
        <f>SUMIFS(Table2[NewPointsAway],Table2[GameDate], "&lt;=" &amp; $A46, Table2[AwayTeam], AD$1)+SUMIFS(Table2[NewPointsHome],Table2[GameDate], "&lt;=" &amp; $A46, Table2[HomeTeam], AD$1)</f>
        <v>0</v>
      </c>
      <c r="AE46" s="145">
        <f>SUMIFS(Table2[NewPointsAway],Table2[GameDate], "&lt;=" &amp; $A46, Table2[AwayTeam], AE$1)+SUMIFS(Table2[NewPointsHome],Table2[GameDate], "&lt;=" &amp; $A46, Table2[HomeTeam], AE$1)</f>
        <v>1</v>
      </c>
      <c r="AF46" s="145">
        <f>SUMIFS(Table2[NewPointsAway],Table2[GameDate], "&lt;=" &amp; $A46, Table2[AwayTeam], AF$1)+SUMIFS(Table2[NewPointsHome],Table2[GameDate], "&lt;=" &amp; $A46, Table2[HomeTeam], AF$1)</f>
        <v>0</v>
      </c>
      <c r="AG46" s="145">
        <f>SUMIFS(Table2[NewPointsAway],Table2[GameDate], "&lt;=" &amp; $A46, Table2[AwayTeam], AG$1)+SUMIFS(Table2[NewPointsHome],Table2[GameDate], "&lt;=" &amp; $A46, Table2[HomeTeam], AG$1)</f>
        <v>0</v>
      </c>
    </row>
    <row r="47" spans="1:33" x14ac:dyDescent="0.25">
      <c r="A47" s="3">
        <v>45978</v>
      </c>
      <c r="B47" s="145">
        <f>SUMIFS(Table2[NewPointsAway],Table2[GameDate], "&lt;=" &amp; $A47, Table2[AwayTeam], B$1)+SUMIFS(Table2[NewPointsHome],Table2[GameDate], "&lt;=" &amp; $A47, Table2[HomeTeam], B$1)</f>
        <v>0</v>
      </c>
      <c r="C47" s="145">
        <f>SUMIFS(Table2[NewPointsAway],Table2[GameDate], "&lt;=" &amp; $A47, Table2[AwayTeam], C$1)+SUMIFS(Table2[NewPointsHome],Table2[GameDate], "&lt;=" &amp; $A47, Table2[HomeTeam], C$1)</f>
        <v>2</v>
      </c>
      <c r="D47" s="145">
        <f>SUMIFS(Table2[NewPointsAway],Table2[GameDate], "&lt;=" &amp; $A47, Table2[AwayTeam], D$1)+SUMIFS(Table2[NewPointsHome],Table2[GameDate], "&lt;=" &amp; $A47, Table2[HomeTeam], D$1)</f>
        <v>0</v>
      </c>
      <c r="E47" s="145">
        <f>SUMIFS(Table2[NewPointsAway],Table2[GameDate], "&lt;=" &amp; $A47, Table2[AwayTeam], E$1)+SUMIFS(Table2[NewPointsHome],Table2[GameDate], "&lt;=" &amp; $A47, Table2[HomeTeam], E$1)</f>
        <v>0</v>
      </c>
      <c r="F47" s="145">
        <f>SUMIFS(Table2[NewPointsAway],Table2[GameDate], "&lt;=" &amp; $A47, Table2[AwayTeam], F$1)+SUMIFS(Table2[NewPointsHome],Table2[GameDate], "&lt;=" &amp; $A47, Table2[HomeTeam], F$1)</f>
        <v>0</v>
      </c>
      <c r="G47" s="145">
        <f>SUMIFS(Table2[NewPointsAway],Table2[GameDate], "&lt;=" &amp; $A47, Table2[AwayTeam], G$1)+SUMIFS(Table2[NewPointsHome],Table2[GameDate], "&lt;=" &amp; $A47, Table2[HomeTeam], G$1)</f>
        <v>2</v>
      </c>
      <c r="H47" s="145">
        <f>SUMIFS(Table2[NewPointsAway],Table2[GameDate], "&lt;=" &amp; $A47, Table2[AwayTeam], H$1)+SUMIFS(Table2[NewPointsHome],Table2[GameDate], "&lt;=" &amp; $A47, Table2[HomeTeam], H$1)</f>
        <v>0</v>
      </c>
      <c r="I47" s="145">
        <f>SUMIFS(Table2[NewPointsAway],Table2[GameDate], "&lt;=" &amp; $A47, Table2[AwayTeam], I$1)+SUMIFS(Table2[NewPointsHome],Table2[GameDate], "&lt;=" &amp; $A47, Table2[HomeTeam], I$1)</f>
        <v>2</v>
      </c>
      <c r="J47" s="145">
        <f>SUMIFS(Table2[NewPointsAway],Table2[GameDate], "&lt;=" &amp; $A47, Table2[AwayTeam], J$1)+SUMIFS(Table2[NewPointsHome],Table2[GameDate], "&lt;=" &amp; $A47, Table2[HomeTeam], J$1)</f>
        <v>0</v>
      </c>
      <c r="K47" s="145">
        <f>SUMIFS(Table2[NewPointsAway],Table2[GameDate], "&lt;=" &amp; $A47, Table2[AwayTeam], K$1)+SUMIFS(Table2[NewPointsHome],Table2[GameDate], "&lt;=" &amp; $A47, Table2[HomeTeam], K$1)</f>
        <v>0</v>
      </c>
      <c r="L47" s="145">
        <f>SUMIFS(Table2[NewPointsAway],Table2[GameDate], "&lt;=" &amp; $A47, Table2[AwayTeam], L$1)+SUMIFS(Table2[NewPointsHome],Table2[GameDate], "&lt;=" &amp; $A47, Table2[HomeTeam], L$1)</f>
        <v>1</v>
      </c>
      <c r="M47" s="145">
        <f>SUMIFS(Table2[NewPointsAway],Table2[GameDate], "&lt;=" &amp; $A47, Table2[AwayTeam], M$1)+SUMIFS(Table2[NewPointsHome],Table2[GameDate], "&lt;=" &amp; $A47, Table2[HomeTeam], M$1)</f>
        <v>2</v>
      </c>
      <c r="N47" s="145">
        <f>SUMIFS(Table2[NewPointsAway],Table2[GameDate], "&lt;=" &amp; $A47, Table2[AwayTeam], N$1)+SUMIFS(Table2[NewPointsHome],Table2[GameDate], "&lt;=" &amp; $A47, Table2[HomeTeam], N$1)</f>
        <v>2</v>
      </c>
      <c r="O47" s="145">
        <f>SUMIFS(Table2[NewPointsAway],Table2[GameDate], "&lt;=" &amp; $A47, Table2[AwayTeam], O$1)+SUMIFS(Table2[NewPointsHome],Table2[GameDate], "&lt;=" &amp; $A47, Table2[HomeTeam], O$1)</f>
        <v>0</v>
      </c>
      <c r="P47" s="145">
        <f>SUMIFS(Table2[NewPointsAway],Table2[GameDate], "&lt;=" &amp; $A47, Table2[AwayTeam], P$1)+SUMIFS(Table2[NewPointsHome],Table2[GameDate], "&lt;=" &amp; $A47, Table2[HomeTeam], P$1)</f>
        <v>0</v>
      </c>
      <c r="Q47" s="145">
        <f>SUMIFS(Table2[NewPointsAway],Table2[GameDate], "&lt;=" &amp; $A47, Table2[AwayTeam], Q$1)+SUMIFS(Table2[NewPointsHome],Table2[GameDate], "&lt;=" &amp; $A47, Table2[HomeTeam], Q$1)</f>
        <v>0</v>
      </c>
      <c r="R47" s="145">
        <f>SUMIFS(Table2[NewPointsAway],Table2[GameDate], "&lt;=" &amp; $A47, Table2[AwayTeam], R$1)+SUMIFS(Table2[NewPointsHome],Table2[GameDate], "&lt;=" &amp; $A47, Table2[HomeTeam], R$1)</f>
        <v>0</v>
      </c>
      <c r="S47" s="145">
        <f>SUMIFS(Table2[NewPointsAway],Table2[GameDate], "&lt;=" &amp; $A47, Table2[AwayTeam], S$1)+SUMIFS(Table2[NewPointsHome],Table2[GameDate], "&lt;=" &amp; $A47, Table2[HomeTeam], S$1)</f>
        <v>0</v>
      </c>
      <c r="T47" s="145">
        <f>SUMIFS(Table2[NewPointsAway],Table2[GameDate], "&lt;=" &amp; $A47, Table2[AwayTeam], T$1)+SUMIFS(Table2[NewPointsHome],Table2[GameDate], "&lt;=" &amp; $A47, Table2[HomeTeam], T$1)</f>
        <v>0</v>
      </c>
      <c r="U47" s="145">
        <f>SUMIFS(Table2[NewPointsAway],Table2[GameDate], "&lt;=" &amp; $A47, Table2[AwayTeam], U$1)+SUMIFS(Table2[NewPointsHome],Table2[GameDate], "&lt;=" &amp; $A47, Table2[HomeTeam], U$1)</f>
        <v>0</v>
      </c>
      <c r="V47" s="145">
        <f>SUMIFS(Table2[NewPointsAway],Table2[GameDate], "&lt;=" &amp; $A47, Table2[AwayTeam], V$1)+SUMIFS(Table2[NewPointsHome],Table2[GameDate], "&lt;=" &amp; $A47, Table2[HomeTeam], V$1)</f>
        <v>0</v>
      </c>
      <c r="W47" s="145">
        <f>SUMIFS(Table2[NewPointsAway],Table2[GameDate], "&lt;=" &amp; $A47, Table2[AwayTeam], W$1)+SUMIFS(Table2[NewPointsHome],Table2[GameDate], "&lt;=" &amp; $A47, Table2[HomeTeam], W$1)</f>
        <v>2</v>
      </c>
      <c r="X47" s="145">
        <f>SUMIFS(Table2[NewPointsAway],Table2[GameDate], "&lt;=" &amp; $A47, Table2[AwayTeam], X$1)+SUMIFS(Table2[NewPointsHome],Table2[GameDate], "&lt;=" &amp; $A47, Table2[HomeTeam], X$1)</f>
        <v>0</v>
      </c>
      <c r="Y47" s="145">
        <f>SUMIFS(Table2[NewPointsAway],Table2[GameDate], "&lt;=" &amp; $A47, Table2[AwayTeam], Y$1)+SUMIFS(Table2[NewPointsHome],Table2[GameDate], "&lt;=" &amp; $A47, Table2[HomeTeam], Y$1)</f>
        <v>0</v>
      </c>
      <c r="Z47" s="145">
        <f>SUMIFS(Table2[NewPointsAway],Table2[GameDate], "&lt;=" &amp; $A47, Table2[AwayTeam], Z$1)+SUMIFS(Table2[NewPointsHome],Table2[GameDate], "&lt;=" &amp; $A47, Table2[HomeTeam], Z$1)</f>
        <v>0</v>
      </c>
      <c r="AA47" s="145">
        <f>SUMIFS(Table2[NewPointsAway],Table2[GameDate], "&lt;=" &amp; $A47, Table2[AwayTeam], AA$1)+SUMIFS(Table2[NewPointsHome],Table2[GameDate], "&lt;=" &amp; $A47, Table2[HomeTeam], AA$1)</f>
        <v>0</v>
      </c>
      <c r="AB47" s="145">
        <f>SUMIFS(Table2[NewPointsAway],Table2[GameDate], "&lt;=" &amp; $A47, Table2[AwayTeam], AB$1)+SUMIFS(Table2[NewPointsHome],Table2[GameDate], "&lt;=" &amp; $A47, Table2[HomeTeam], AB$1)</f>
        <v>2</v>
      </c>
      <c r="AC47" s="145">
        <f>SUMIFS(Table2[NewPointsAway],Table2[GameDate], "&lt;=" &amp; $A47, Table2[AwayTeam], AC$1)+SUMIFS(Table2[NewPointsHome],Table2[GameDate], "&lt;=" &amp; $A47, Table2[HomeTeam], AC$1)</f>
        <v>0</v>
      </c>
      <c r="AD47" s="145">
        <f>SUMIFS(Table2[NewPointsAway],Table2[GameDate], "&lt;=" &amp; $A47, Table2[AwayTeam], AD$1)+SUMIFS(Table2[NewPointsHome],Table2[GameDate], "&lt;=" &amp; $A47, Table2[HomeTeam], AD$1)</f>
        <v>0</v>
      </c>
      <c r="AE47" s="145">
        <f>SUMIFS(Table2[NewPointsAway],Table2[GameDate], "&lt;=" &amp; $A47, Table2[AwayTeam], AE$1)+SUMIFS(Table2[NewPointsHome],Table2[GameDate], "&lt;=" &amp; $A47, Table2[HomeTeam], AE$1)</f>
        <v>1</v>
      </c>
      <c r="AF47" s="145">
        <f>SUMIFS(Table2[NewPointsAway],Table2[GameDate], "&lt;=" &amp; $A47, Table2[AwayTeam], AF$1)+SUMIFS(Table2[NewPointsHome],Table2[GameDate], "&lt;=" &amp; $A47, Table2[HomeTeam], AF$1)</f>
        <v>0</v>
      </c>
      <c r="AG47" s="145">
        <f>SUMIFS(Table2[NewPointsAway],Table2[GameDate], "&lt;=" &amp; $A47, Table2[AwayTeam], AG$1)+SUMIFS(Table2[NewPointsHome],Table2[GameDate], "&lt;=" &amp; $A47, Table2[HomeTeam], AG$1)</f>
        <v>0</v>
      </c>
    </row>
    <row r="48" spans="1:33" x14ac:dyDescent="0.25">
      <c r="A48" s="3">
        <v>45979</v>
      </c>
      <c r="B48" s="145">
        <f>SUMIFS(Table2[NewPointsAway],Table2[GameDate], "&lt;=" &amp; $A48, Table2[AwayTeam], B$1)+SUMIFS(Table2[NewPointsHome],Table2[GameDate], "&lt;=" &amp; $A48, Table2[HomeTeam], B$1)</f>
        <v>0</v>
      </c>
      <c r="C48" s="145">
        <f>SUMIFS(Table2[NewPointsAway],Table2[GameDate], "&lt;=" &amp; $A48, Table2[AwayTeam], C$1)+SUMIFS(Table2[NewPointsHome],Table2[GameDate], "&lt;=" &amp; $A48, Table2[HomeTeam], C$1)</f>
        <v>2</v>
      </c>
      <c r="D48" s="145">
        <f>SUMIFS(Table2[NewPointsAway],Table2[GameDate], "&lt;=" &amp; $A48, Table2[AwayTeam], D$1)+SUMIFS(Table2[NewPointsHome],Table2[GameDate], "&lt;=" &amp; $A48, Table2[HomeTeam], D$1)</f>
        <v>0</v>
      </c>
      <c r="E48" s="145">
        <f>SUMIFS(Table2[NewPointsAway],Table2[GameDate], "&lt;=" &amp; $A48, Table2[AwayTeam], E$1)+SUMIFS(Table2[NewPointsHome],Table2[GameDate], "&lt;=" &amp; $A48, Table2[HomeTeam], E$1)</f>
        <v>0</v>
      </c>
      <c r="F48" s="145">
        <f>SUMIFS(Table2[NewPointsAway],Table2[GameDate], "&lt;=" &amp; $A48, Table2[AwayTeam], F$1)+SUMIFS(Table2[NewPointsHome],Table2[GameDate], "&lt;=" &amp; $A48, Table2[HomeTeam], F$1)</f>
        <v>0</v>
      </c>
      <c r="G48" s="145">
        <f>SUMIFS(Table2[NewPointsAway],Table2[GameDate], "&lt;=" &amp; $A48, Table2[AwayTeam], G$1)+SUMIFS(Table2[NewPointsHome],Table2[GameDate], "&lt;=" &amp; $A48, Table2[HomeTeam], G$1)</f>
        <v>2</v>
      </c>
      <c r="H48" s="145">
        <f>SUMIFS(Table2[NewPointsAway],Table2[GameDate], "&lt;=" &amp; $A48, Table2[AwayTeam], H$1)+SUMIFS(Table2[NewPointsHome],Table2[GameDate], "&lt;=" &amp; $A48, Table2[HomeTeam], H$1)</f>
        <v>0</v>
      </c>
      <c r="I48" s="145">
        <f>SUMIFS(Table2[NewPointsAway],Table2[GameDate], "&lt;=" &amp; $A48, Table2[AwayTeam], I$1)+SUMIFS(Table2[NewPointsHome],Table2[GameDate], "&lt;=" &amp; $A48, Table2[HomeTeam], I$1)</f>
        <v>2</v>
      </c>
      <c r="J48" s="145">
        <f>SUMIFS(Table2[NewPointsAway],Table2[GameDate], "&lt;=" &amp; $A48, Table2[AwayTeam], J$1)+SUMIFS(Table2[NewPointsHome],Table2[GameDate], "&lt;=" &amp; $A48, Table2[HomeTeam], J$1)</f>
        <v>0</v>
      </c>
      <c r="K48" s="145">
        <f>SUMIFS(Table2[NewPointsAway],Table2[GameDate], "&lt;=" &amp; $A48, Table2[AwayTeam], K$1)+SUMIFS(Table2[NewPointsHome],Table2[GameDate], "&lt;=" &amp; $A48, Table2[HomeTeam], K$1)</f>
        <v>0</v>
      </c>
      <c r="L48" s="145">
        <f>SUMIFS(Table2[NewPointsAway],Table2[GameDate], "&lt;=" &amp; $A48, Table2[AwayTeam], L$1)+SUMIFS(Table2[NewPointsHome],Table2[GameDate], "&lt;=" &amp; $A48, Table2[HomeTeam], L$1)</f>
        <v>1</v>
      </c>
      <c r="M48" s="145">
        <f>SUMIFS(Table2[NewPointsAway],Table2[GameDate], "&lt;=" &amp; $A48, Table2[AwayTeam], M$1)+SUMIFS(Table2[NewPointsHome],Table2[GameDate], "&lt;=" &amp; $A48, Table2[HomeTeam], M$1)</f>
        <v>2</v>
      </c>
      <c r="N48" s="145">
        <f>SUMIFS(Table2[NewPointsAway],Table2[GameDate], "&lt;=" &amp; $A48, Table2[AwayTeam], N$1)+SUMIFS(Table2[NewPointsHome],Table2[GameDate], "&lt;=" &amp; $A48, Table2[HomeTeam], N$1)</f>
        <v>2</v>
      </c>
      <c r="O48" s="145">
        <f>SUMIFS(Table2[NewPointsAway],Table2[GameDate], "&lt;=" &amp; $A48, Table2[AwayTeam], O$1)+SUMIFS(Table2[NewPointsHome],Table2[GameDate], "&lt;=" &amp; $A48, Table2[HomeTeam], O$1)</f>
        <v>0</v>
      </c>
      <c r="P48" s="145">
        <f>SUMIFS(Table2[NewPointsAway],Table2[GameDate], "&lt;=" &amp; $A48, Table2[AwayTeam], P$1)+SUMIFS(Table2[NewPointsHome],Table2[GameDate], "&lt;=" &amp; $A48, Table2[HomeTeam], P$1)</f>
        <v>0</v>
      </c>
      <c r="Q48" s="145">
        <f>SUMIFS(Table2[NewPointsAway],Table2[GameDate], "&lt;=" &amp; $A48, Table2[AwayTeam], Q$1)+SUMIFS(Table2[NewPointsHome],Table2[GameDate], "&lt;=" &amp; $A48, Table2[HomeTeam], Q$1)</f>
        <v>0</v>
      </c>
      <c r="R48" s="145">
        <f>SUMIFS(Table2[NewPointsAway],Table2[GameDate], "&lt;=" &amp; $A48, Table2[AwayTeam], R$1)+SUMIFS(Table2[NewPointsHome],Table2[GameDate], "&lt;=" &amp; $A48, Table2[HomeTeam], R$1)</f>
        <v>0</v>
      </c>
      <c r="S48" s="145">
        <f>SUMIFS(Table2[NewPointsAway],Table2[GameDate], "&lt;=" &amp; $A48, Table2[AwayTeam], S$1)+SUMIFS(Table2[NewPointsHome],Table2[GameDate], "&lt;=" &amp; $A48, Table2[HomeTeam], S$1)</f>
        <v>0</v>
      </c>
      <c r="T48" s="145">
        <f>SUMIFS(Table2[NewPointsAway],Table2[GameDate], "&lt;=" &amp; $A48, Table2[AwayTeam], T$1)+SUMIFS(Table2[NewPointsHome],Table2[GameDate], "&lt;=" &amp; $A48, Table2[HomeTeam], T$1)</f>
        <v>0</v>
      </c>
      <c r="U48" s="145">
        <f>SUMIFS(Table2[NewPointsAway],Table2[GameDate], "&lt;=" &amp; $A48, Table2[AwayTeam], U$1)+SUMIFS(Table2[NewPointsHome],Table2[GameDate], "&lt;=" &amp; $A48, Table2[HomeTeam], U$1)</f>
        <v>0</v>
      </c>
      <c r="V48" s="145">
        <f>SUMIFS(Table2[NewPointsAway],Table2[GameDate], "&lt;=" &amp; $A48, Table2[AwayTeam], V$1)+SUMIFS(Table2[NewPointsHome],Table2[GameDate], "&lt;=" &amp; $A48, Table2[HomeTeam], V$1)</f>
        <v>0</v>
      </c>
      <c r="W48" s="145">
        <f>SUMIFS(Table2[NewPointsAway],Table2[GameDate], "&lt;=" &amp; $A48, Table2[AwayTeam], W$1)+SUMIFS(Table2[NewPointsHome],Table2[GameDate], "&lt;=" &amp; $A48, Table2[HomeTeam], W$1)</f>
        <v>2</v>
      </c>
      <c r="X48" s="145">
        <f>SUMIFS(Table2[NewPointsAway],Table2[GameDate], "&lt;=" &amp; $A48, Table2[AwayTeam], X$1)+SUMIFS(Table2[NewPointsHome],Table2[GameDate], "&lt;=" &amp; $A48, Table2[HomeTeam], X$1)</f>
        <v>0</v>
      </c>
      <c r="Y48" s="145">
        <f>SUMIFS(Table2[NewPointsAway],Table2[GameDate], "&lt;=" &amp; $A48, Table2[AwayTeam], Y$1)+SUMIFS(Table2[NewPointsHome],Table2[GameDate], "&lt;=" &amp; $A48, Table2[HomeTeam], Y$1)</f>
        <v>0</v>
      </c>
      <c r="Z48" s="145">
        <f>SUMIFS(Table2[NewPointsAway],Table2[GameDate], "&lt;=" &amp; $A48, Table2[AwayTeam], Z$1)+SUMIFS(Table2[NewPointsHome],Table2[GameDate], "&lt;=" &amp; $A48, Table2[HomeTeam], Z$1)</f>
        <v>0</v>
      </c>
      <c r="AA48" s="145">
        <f>SUMIFS(Table2[NewPointsAway],Table2[GameDate], "&lt;=" &amp; $A48, Table2[AwayTeam], AA$1)+SUMIFS(Table2[NewPointsHome],Table2[GameDate], "&lt;=" &amp; $A48, Table2[HomeTeam], AA$1)</f>
        <v>0</v>
      </c>
      <c r="AB48" s="145">
        <f>SUMIFS(Table2[NewPointsAway],Table2[GameDate], "&lt;=" &amp; $A48, Table2[AwayTeam], AB$1)+SUMIFS(Table2[NewPointsHome],Table2[GameDate], "&lt;=" &amp; $A48, Table2[HomeTeam], AB$1)</f>
        <v>2</v>
      </c>
      <c r="AC48" s="145">
        <f>SUMIFS(Table2[NewPointsAway],Table2[GameDate], "&lt;=" &amp; $A48, Table2[AwayTeam], AC$1)+SUMIFS(Table2[NewPointsHome],Table2[GameDate], "&lt;=" &amp; $A48, Table2[HomeTeam], AC$1)</f>
        <v>0</v>
      </c>
      <c r="AD48" s="145">
        <f>SUMIFS(Table2[NewPointsAway],Table2[GameDate], "&lt;=" &amp; $A48, Table2[AwayTeam], AD$1)+SUMIFS(Table2[NewPointsHome],Table2[GameDate], "&lt;=" &amp; $A48, Table2[HomeTeam], AD$1)</f>
        <v>0</v>
      </c>
      <c r="AE48" s="145">
        <f>SUMIFS(Table2[NewPointsAway],Table2[GameDate], "&lt;=" &amp; $A48, Table2[AwayTeam], AE$1)+SUMIFS(Table2[NewPointsHome],Table2[GameDate], "&lt;=" &amp; $A48, Table2[HomeTeam], AE$1)</f>
        <v>1</v>
      </c>
      <c r="AF48" s="145">
        <f>SUMIFS(Table2[NewPointsAway],Table2[GameDate], "&lt;=" &amp; $A48, Table2[AwayTeam], AF$1)+SUMIFS(Table2[NewPointsHome],Table2[GameDate], "&lt;=" &amp; $A48, Table2[HomeTeam], AF$1)</f>
        <v>0</v>
      </c>
      <c r="AG48" s="145">
        <f>SUMIFS(Table2[NewPointsAway],Table2[GameDate], "&lt;=" &amp; $A48, Table2[AwayTeam], AG$1)+SUMIFS(Table2[NewPointsHome],Table2[GameDate], "&lt;=" &amp; $A48, Table2[HomeTeam], AG$1)</f>
        <v>0</v>
      </c>
    </row>
    <row r="49" spans="1:33" x14ac:dyDescent="0.25">
      <c r="A49" s="3">
        <v>45980</v>
      </c>
      <c r="B49" s="145">
        <f>SUMIFS(Table2[NewPointsAway],Table2[GameDate], "&lt;=" &amp; $A49, Table2[AwayTeam], B$1)+SUMIFS(Table2[NewPointsHome],Table2[GameDate], "&lt;=" &amp; $A49, Table2[HomeTeam], B$1)</f>
        <v>0</v>
      </c>
      <c r="C49" s="145">
        <f>SUMIFS(Table2[NewPointsAway],Table2[GameDate], "&lt;=" &amp; $A49, Table2[AwayTeam], C$1)+SUMIFS(Table2[NewPointsHome],Table2[GameDate], "&lt;=" &amp; $A49, Table2[HomeTeam], C$1)</f>
        <v>2</v>
      </c>
      <c r="D49" s="145">
        <f>SUMIFS(Table2[NewPointsAway],Table2[GameDate], "&lt;=" &amp; $A49, Table2[AwayTeam], D$1)+SUMIFS(Table2[NewPointsHome],Table2[GameDate], "&lt;=" &amp; $A49, Table2[HomeTeam], D$1)</f>
        <v>0</v>
      </c>
      <c r="E49" s="145">
        <f>SUMIFS(Table2[NewPointsAway],Table2[GameDate], "&lt;=" &amp; $A49, Table2[AwayTeam], E$1)+SUMIFS(Table2[NewPointsHome],Table2[GameDate], "&lt;=" &amp; $A49, Table2[HomeTeam], E$1)</f>
        <v>0</v>
      </c>
      <c r="F49" s="145">
        <f>SUMIFS(Table2[NewPointsAway],Table2[GameDate], "&lt;=" &amp; $A49, Table2[AwayTeam], F$1)+SUMIFS(Table2[NewPointsHome],Table2[GameDate], "&lt;=" &amp; $A49, Table2[HomeTeam], F$1)</f>
        <v>0</v>
      </c>
      <c r="G49" s="145">
        <f>SUMIFS(Table2[NewPointsAway],Table2[GameDate], "&lt;=" &amp; $A49, Table2[AwayTeam], G$1)+SUMIFS(Table2[NewPointsHome],Table2[GameDate], "&lt;=" &amp; $A49, Table2[HomeTeam], G$1)</f>
        <v>2</v>
      </c>
      <c r="H49" s="145">
        <f>SUMIFS(Table2[NewPointsAway],Table2[GameDate], "&lt;=" &amp; $A49, Table2[AwayTeam], H$1)+SUMIFS(Table2[NewPointsHome],Table2[GameDate], "&lt;=" &amp; $A49, Table2[HomeTeam], H$1)</f>
        <v>0</v>
      </c>
      <c r="I49" s="145">
        <f>SUMIFS(Table2[NewPointsAway],Table2[GameDate], "&lt;=" &amp; $A49, Table2[AwayTeam], I$1)+SUMIFS(Table2[NewPointsHome],Table2[GameDate], "&lt;=" &amp; $A49, Table2[HomeTeam], I$1)</f>
        <v>2</v>
      </c>
      <c r="J49" s="145">
        <f>SUMIFS(Table2[NewPointsAway],Table2[GameDate], "&lt;=" &amp; $A49, Table2[AwayTeam], J$1)+SUMIFS(Table2[NewPointsHome],Table2[GameDate], "&lt;=" &amp; $A49, Table2[HomeTeam], J$1)</f>
        <v>0</v>
      </c>
      <c r="K49" s="145">
        <f>SUMIFS(Table2[NewPointsAway],Table2[GameDate], "&lt;=" &amp; $A49, Table2[AwayTeam], K$1)+SUMIFS(Table2[NewPointsHome],Table2[GameDate], "&lt;=" &amp; $A49, Table2[HomeTeam], K$1)</f>
        <v>0</v>
      </c>
      <c r="L49" s="145">
        <f>SUMIFS(Table2[NewPointsAway],Table2[GameDate], "&lt;=" &amp; $A49, Table2[AwayTeam], L$1)+SUMIFS(Table2[NewPointsHome],Table2[GameDate], "&lt;=" &amp; $A49, Table2[HomeTeam], L$1)</f>
        <v>1</v>
      </c>
      <c r="M49" s="145">
        <f>SUMIFS(Table2[NewPointsAway],Table2[GameDate], "&lt;=" &amp; $A49, Table2[AwayTeam], M$1)+SUMIFS(Table2[NewPointsHome],Table2[GameDate], "&lt;=" &amp; $A49, Table2[HomeTeam], M$1)</f>
        <v>2</v>
      </c>
      <c r="N49" s="145">
        <f>SUMIFS(Table2[NewPointsAway],Table2[GameDate], "&lt;=" &amp; $A49, Table2[AwayTeam], N$1)+SUMIFS(Table2[NewPointsHome],Table2[GameDate], "&lt;=" &amp; $A49, Table2[HomeTeam], N$1)</f>
        <v>2</v>
      </c>
      <c r="O49" s="145">
        <f>SUMIFS(Table2[NewPointsAway],Table2[GameDate], "&lt;=" &amp; $A49, Table2[AwayTeam], O$1)+SUMIFS(Table2[NewPointsHome],Table2[GameDate], "&lt;=" &amp; $A49, Table2[HomeTeam], O$1)</f>
        <v>0</v>
      </c>
      <c r="P49" s="145">
        <f>SUMIFS(Table2[NewPointsAway],Table2[GameDate], "&lt;=" &amp; $A49, Table2[AwayTeam], P$1)+SUMIFS(Table2[NewPointsHome],Table2[GameDate], "&lt;=" &amp; $A49, Table2[HomeTeam], P$1)</f>
        <v>0</v>
      </c>
      <c r="Q49" s="145">
        <f>SUMIFS(Table2[NewPointsAway],Table2[GameDate], "&lt;=" &amp; $A49, Table2[AwayTeam], Q$1)+SUMIFS(Table2[NewPointsHome],Table2[GameDate], "&lt;=" &amp; $A49, Table2[HomeTeam], Q$1)</f>
        <v>0</v>
      </c>
      <c r="R49" s="145">
        <f>SUMIFS(Table2[NewPointsAway],Table2[GameDate], "&lt;=" &amp; $A49, Table2[AwayTeam], R$1)+SUMIFS(Table2[NewPointsHome],Table2[GameDate], "&lt;=" &amp; $A49, Table2[HomeTeam], R$1)</f>
        <v>0</v>
      </c>
      <c r="S49" s="145">
        <f>SUMIFS(Table2[NewPointsAway],Table2[GameDate], "&lt;=" &amp; $A49, Table2[AwayTeam], S$1)+SUMIFS(Table2[NewPointsHome],Table2[GameDate], "&lt;=" &amp; $A49, Table2[HomeTeam], S$1)</f>
        <v>0</v>
      </c>
      <c r="T49" s="145">
        <f>SUMIFS(Table2[NewPointsAway],Table2[GameDate], "&lt;=" &amp; $A49, Table2[AwayTeam], T$1)+SUMIFS(Table2[NewPointsHome],Table2[GameDate], "&lt;=" &amp; $A49, Table2[HomeTeam], T$1)</f>
        <v>0</v>
      </c>
      <c r="U49" s="145">
        <f>SUMIFS(Table2[NewPointsAway],Table2[GameDate], "&lt;=" &amp; $A49, Table2[AwayTeam], U$1)+SUMIFS(Table2[NewPointsHome],Table2[GameDate], "&lt;=" &amp; $A49, Table2[HomeTeam], U$1)</f>
        <v>0</v>
      </c>
      <c r="V49" s="145">
        <f>SUMIFS(Table2[NewPointsAway],Table2[GameDate], "&lt;=" &amp; $A49, Table2[AwayTeam], V$1)+SUMIFS(Table2[NewPointsHome],Table2[GameDate], "&lt;=" &amp; $A49, Table2[HomeTeam], V$1)</f>
        <v>0</v>
      </c>
      <c r="W49" s="145">
        <f>SUMIFS(Table2[NewPointsAway],Table2[GameDate], "&lt;=" &amp; $A49, Table2[AwayTeam], W$1)+SUMIFS(Table2[NewPointsHome],Table2[GameDate], "&lt;=" &amp; $A49, Table2[HomeTeam], W$1)</f>
        <v>2</v>
      </c>
      <c r="X49" s="145">
        <f>SUMIFS(Table2[NewPointsAway],Table2[GameDate], "&lt;=" &amp; $A49, Table2[AwayTeam], X$1)+SUMIFS(Table2[NewPointsHome],Table2[GameDate], "&lt;=" &amp; $A49, Table2[HomeTeam], X$1)</f>
        <v>0</v>
      </c>
      <c r="Y49" s="145">
        <f>SUMIFS(Table2[NewPointsAway],Table2[GameDate], "&lt;=" &amp; $A49, Table2[AwayTeam], Y$1)+SUMIFS(Table2[NewPointsHome],Table2[GameDate], "&lt;=" &amp; $A49, Table2[HomeTeam], Y$1)</f>
        <v>0</v>
      </c>
      <c r="Z49" s="145">
        <f>SUMIFS(Table2[NewPointsAway],Table2[GameDate], "&lt;=" &amp; $A49, Table2[AwayTeam], Z$1)+SUMIFS(Table2[NewPointsHome],Table2[GameDate], "&lt;=" &amp; $A49, Table2[HomeTeam], Z$1)</f>
        <v>0</v>
      </c>
      <c r="AA49" s="145">
        <f>SUMIFS(Table2[NewPointsAway],Table2[GameDate], "&lt;=" &amp; $A49, Table2[AwayTeam], AA$1)+SUMIFS(Table2[NewPointsHome],Table2[GameDate], "&lt;=" &amp; $A49, Table2[HomeTeam], AA$1)</f>
        <v>0</v>
      </c>
      <c r="AB49" s="145">
        <f>SUMIFS(Table2[NewPointsAway],Table2[GameDate], "&lt;=" &amp; $A49, Table2[AwayTeam], AB$1)+SUMIFS(Table2[NewPointsHome],Table2[GameDate], "&lt;=" &amp; $A49, Table2[HomeTeam], AB$1)</f>
        <v>2</v>
      </c>
      <c r="AC49" s="145">
        <f>SUMIFS(Table2[NewPointsAway],Table2[GameDate], "&lt;=" &amp; $A49, Table2[AwayTeam], AC$1)+SUMIFS(Table2[NewPointsHome],Table2[GameDate], "&lt;=" &amp; $A49, Table2[HomeTeam], AC$1)</f>
        <v>0</v>
      </c>
      <c r="AD49" s="145">
        <f>SUMIFS(Table2[NewPointsAway],Table2[GameDate], "&lt;=" &amp; $A49, Table2[AwayTeam], AD$1)+SUMIFS(Table2[NewPointsHome],Table2[GameDate], "&lt;=" &amp; $A49, Table2[HomeTeam], AD$1)</f>
        <v>0</v>
      </c>
      <c r="AE49" s="145">
        <f>SUMIFS(Table2[NewPointsAway],Table2[GameDate], "&lt;=" &amp; $A49, Table2[AwayTeam], AE$1)+SUMIFS(Table2[NewPointsHome],Table2[GameDate], "&lt;=" &amp; $A49, Table2[HomeTeam], AE$1)</f>
        <v>1</v>
      </c>
      <c r="AF49" s="145">
        <f>SUMIFS(Table2[NewPointsAway],Table2[GameDate], "&lt;=" &amp; $A49, Table2[AwayTeam], AF$1)+SUMIFS(Table2[NewPointsHome],Table2[GameDate], "&lt;=" &amp; $A49, Table2[HomeTeam], AF$1)</f>
        <v>0</v>
      </c>
      <c r="AG49" s="145">
        <f>SUMIFS(Table2[NewPointsAway],Table2[GameDate], "&lt;=" &amp; $A49, Table2[AwayTeam], AG$1)+SUMIFS(Table2[NewPointsHome],Table2[GameDate], "&lt;=" &amp; $A49, Table2[HomeTeam], AG$1)</f>
        <v>0</v>
      </c>
    </row>
    <row r="50" spans="1:33" x14ac:dyDescent="0.25">
      <c r="A50" s="3">
        <v>45981</v>
      </c>
      <c r="B50" s="145">
        <f>SUMIFS(Table2[NewPointsAway],Table2[GameDate], "&lt;=" &amp; $A50, Table2[AwayTeam], B$1)+SUMIFS(Table2[NewPointsHome],Table2[GameDate], "&lt;=" &amp; $A50, Table2[HomeTeam], B$1)</f>
        <v>0</v>
      </c>
      <c r="C50" s="145">
        <f>SUMIFS(Table2[NewPointsAway],Table2[GameDate], "&lt;=" &amp; $A50, Table2[AwayTeam], C$1)+SUMIFS(Table2[NewPointsHome],Table2[GameDate], "&lt;=" &amp; $A50, Table2[HomeTeam], C$1)</f>
        <v>2</v>
      </c>
      <c r="D50" s="145">
        <f>SUMIFS(Table2[NewPointsAway],Table2[GameDate], "&lt;=" &amp; $A50, Table2[AwayTeam], D$1)+SUMIFS(Table2[NewPointsHome],Table2[GameDate], "&lt;=" &amp; $A50, Table2[HomeTeam], D$1)</f>
        <v>0</v>
      </c>
      <c r="E50" s="145">
        <f>SUMIFS(Table2[NewPointsAway],Table2[GameDate], "&lt;=" &amp; $A50, Table2[AwayTeam], E$1)+SUMIFS(Table2[NewPointsHome],Table2[GameDate], "&lt;=" &amp; $A50, Table2[HomeTeam], E$1)</f>
        <v>0</v>
      </c>
      <c r="F50" s="145">
        <f>SUMIFS(Table2[NewPointsAway],Table2[GameDate], "&lt;=" &amp; $A50, Table2[AwayTeam], F$1)+SUMIFS(Table2[NewPointsHome],Table2[GameDate], "&lt;=" &amp; $A50, Table2[HomeTeam], F$1)</f>
        <v>0</v>
      </c>
      <c r="G50" s="145">
        <f>SUMIFS(Table2[NewPointsAway],Table2[GameDate], "&lt;=" &amp; $A50, Table2[AwayTeam], G$1)+SUMIFS(Table2[NewPointsHome],Table2[GameDate], "&lt;=" &amp; $A50, Table2[HomeTeam], G$1)</f>
        <v>2</v>
      </c>
      <c r="H50" s="145">
        <f>SUMIFS(Table2[NewPointsAway],Table2[GameDate], "&lt;=" &amp; $A50, Table2[AwayTeam], H$1)+SUMIFS(Table2[NewPointsHome],Table2[GameDate], "&lt;=" &amp; $A50, Table2[HomeTeam], H$1)</f>
        <v>0</v>
      </c>
      <c r="I50" s="145">
        <f>SUMIFS(Table2[NewPointsAway],Table2[GameDate], "&lt;=" &amp; $A50, Table2[AwayTeam], I$1)+SUMIFS(Table2[NewPointsHome],Table2[GameDate], "&lt;=" &amp; $A50, Table2[HomeTeam], I$1)</f>
        <v>2</v>
      </c>
      <c r="J50" s="145">
        <f>SUMIFS(Table2[NewPointsAway],Table2[GameDate], "&lt;=" &amp; $A50, Table2[AwayTeam], J$1)+SUMIFS(Table2[NewPointsHome],Table2[GameDate], "&lt;=" &amp; $A50, Table2[HomeTeam], J$1)</f>
        <v>0</v>
      </c>
      <c r="K50" s="145">
        <f>SUMIFS(Table2[NewPointsAway],Table2[GameDate], "&lt;=" &amp; $A50, Table2[AwayTeam], K$1)+SUMIFS(Table2[NewPointsHome],Table2[GameDate], "&lt;=" &amp; $A50, Table2[HomeTeam], K$1)</f>
        <v>0</v>
      </c>
      <c r="L50" s="145">
        <f>SUMIFS(Table2[NewPointsAway],Table2[GameDate], "&lt;=" &amp; $A50, Table2[AwayTeam], L$1)+SUMIFS(Table2[NewPointsHome],Table2[GameDate], "&lt;=" &amp; $A50, Table2[HomeTeam], L$1)</f>
        <v>1</v>
      </c>
      <c r="M50" s="145">
        <f>SUMIFS(Table2[NewPointsAway],Table2[GameDate], "&lt;=" &amp; $A50, Table2[AwayTeam], M$1)+SUMIFS(Table2[NewPointsHome],Table2[GameDate], "&lt;=" &amp; $A50, Table2[HomeTeam], M$1)</f>
        <v>2</v>
      </c>
      <c r="N50" s="145">
        <f>SUMIFS(Table2[NewPointsAway],Table2[GameDate], "&lt;=" &amp; $A50, Table2[AwayTeam], N$1)+SUMIFS(Table2[NewPointsHome],Table2[GameDate], "&lt;=" &amp; $A50, Table2[HomeTeam], N$1)</f>
        <v>2</v>
      </c>
      <c r="O50" s="145">
        <f>SUMIFS(Table2[NewPointsAway],Table2[GameDate], "&lt;=" &amp; $A50, Table2[AwayTeam], O$1)+SUMIFS(Table2[NewPointsHome],Table2[GameDate], "&lt;=" &amp; $A50, Table2[HomeTeam], O$1)</f>
        <v>0</v>
      </c>
      <c r="P50" s="145">
        <f>SUMIFS(Table2[NewPointsAway],Table2[GameDate], "&lt;=" &amp; $A50, Table2[AwayTeam], P$1)+SUMIFS(Table2[NewPointsHome],Table2[GameDate], "&lt;=" &amp; $A50, Table2[HomeTeam], P$1)</f>
        <v>0</v>
      </c>
      <c r="Q50" s="145">
        <f>SUMIFS(Table2[NewPointsAway],Table2[GameDate], "&lt;=" &amp; $A50, Table2[AwayTeam], Q$1)+SUMIFS(Table2[NewPointsHome],Table2[GameDate], "&lt;=" &amp; $A50, Table2[HomeTeam], Q$1)</f>
        <v>0</v>
      </c>
      <c r="R50" s="145">
        <f>SUMIFS(Table2[NewPointsAway],Table2[GameDate], "&lt;=" &amp; $A50, Table2[AwayTeam], R$1)+SUMIFS(Table2[NewPointsHome],Table2[GameDate], "&lt;=" &amp; $A50, Table2[HomeTeam], R$1)</f>
        <v>0</v>
      </c>
      <c r="S50" s="145">
        <f>SUMIFS(Table2[NewPointsAway],Table2[GameDate], "&lt;=" &amp; $A50, Table2[AwayTeam], S$1)+SUMIFS(Table2[NewPointsHome],Table2[GameDate], "&lt;=" &amp; $A50, Table2[HomeTeam], S$1)</f>
        <v>0</v>
      </c>
      <c r="T50" s="145">
        <f>SUMIFS(Table2[NewPointsAway],Table2[GameDate], "&lt;=" &amp; $A50, Table2[AwayTeam], T$1)+SUMIFS(Table2[NewPointsHome],Table2[GameDate], "&lt;=" &amp; $A50, Table2[HomeTeam], T$1)</f>
        <v>0</v>
      </c>
      <c r="U50" s="145">
        <f>SUMIFS(Table2[NewPointsAway],Table2[GameDate], "&lt;=" &amp; $A50, Table2[AwayTeam], U$1)+SUMIFS(Table2[NewPointsHome],Table2[GameDate], "&lt;=" &amp; $A50, Table2[HomeTeam], U$1)</f>
        <v>0</v>
      </c>
      <c r="V50" s="145">
        <f>SUMIFS(Table2[NewPointsAway],Table2[GameDate], "&lt;=" &amp; $A50, Table2[AwayTeam], V$1)+SUMIFS(Table2[NewPointsHome],Table2[GameDate], "&lt;=" &amp; $A50, Table2[HomeTeam], V$1)</f>
        <v>0</v>
      </c>
      <c r="W50" s="145">
        <f>SUMIFS(Table2[NewPointsAway],Table2[GameDate], "&lt;=" &amp; $A50, Table2[AwayTeam], W$1)+SUMIFS(Table2[NewPointsHome],Table2[GameDate], "&lt;=" &amp; $A50, Table2[HomeTeam], W$1)</f>
        <v>2</v>
      </c>
      <c r="X50" s="145">
        <f>SUMIFS(Table2[NewPointsAway],Table2[GameDate], "&lt;=" &amp; $A50, Table2[AwayTeam], X$1)+SUMIFS(Table2[NewPointsHome],Table2[GameDate], "&lt;=" &amp; $A50, Table2[HomeTeam], X$1)</f>
        <v>0</v>
      </c>
      <c r="Y50" s="145">
        <f>SUMIFS(Table2[NewPointsAway],Table2[GameDate], "&lt;=" &amp; $A50, Table2[AwayTeam], Y$1)+SUMIFS(Table2[NewPointsHome],Table2[GameDate], "&lt;=" &amp; $A50, Table2[HomeTeam], Y$1)</f>
        <v>0</v>
      </c>
      <c r="Z50" s="145">
        <f>SUMIFS(Table2[NewPointsAway],Table2[GameDate], "&lt;=" &amp; $A50, Table2[AwayTeam], Z$1)+SUMIFS(Table2[NewPointsHome],Table2[GameDate], "&lt;=" &amp; $A50, Table2[HomeTeam], Z$1)</f>
        <v>0</v>
      </c>
      <c r="AA50" s="145">
        <f>SUMIFS(Table2[NewPointsAway],Table2[GameDate], "&lt;=" &amp; $A50, Table2[AwayTeam], AA$1)+SUMIFS(Table2[NewPointsHome],Table2[GameDate], "&lt;=" &amp; $A50, Table2[HomeTeam], AA$1)</f>
        <v>0</v>
      </c>
      <c r="AB50" s="145">
        <f>SUMIFS(Table2[NewPointsAway],Table2[GameDate], "&lt;=" &amp; $A50, Table2[AwayTeam], AB$1)+SUMIFS(Table2[NewPointsHome],Table2[GameDate], "&lt;=" &amp; $A50, Table2[HomeTeam], AB$1)</f>
        <v>2</v>
      </c>
      <c r="AC50" s="145">
        <f>SUMIFS(Table2[NewPointsAway],Table2[GameDate], "&lt;=" &amp; $A50, Table2[AwayTeam], AC$1)+SUMIFS(Table2[NewPointsHome],Table2[GameDate], "&lt;=" &amp; $A50, Table2[HomeTeam], AC$1)</f>
        <v>0</v>
      </c>
      <c r="AD50" s="145">
        <f>SUMIFS(Table2[NewPointsAway],Table2[GameDate], "&lt;=" &amp; $A50, Table2[AwayTeam], AD$1)+SUMIFS(Table2[NewPointsHome],Table2[GameDate], "&lt;=" &amp; $A50, Table2[HomeTeam], AD$1)</f>
        <v>0</v>
      </c>
      <c r="AE50" s="145">
        <f>SUMIFS(Table2[NewPointsAway],Table2[GameDate], "&lt;=" &amp; $A50, Table2[AwayTeam], AE$1)+SUMIFS(Table2[NewPointsHome],Table2[GameDate], "&lt;=" &amp; $A50, Table2[HomeTeam], AE$1)</f>
        <v>1</v>
      </c>
      <c r="AF50" s="145">
        <f>SUMIFS(Table2[NewPointsAway],Table2[GameDate], "&lt;=" &amp; $A50, Table2[AwayTeam], AF$1)+SUMIFS(Table2[NewPointsHome],Table2[GameDate], "&lt;=" &amp; $A50, Table2[HomeTeam], AF$1)</f>
        <v>0</v>
      </c>
      <c r="AG50" s="145">
        <f>SUMIFS(Table2[NewPointsAway],Table2[GameDate], "&lt;=" &amp; $A50, Table2[AwayTeam], AG$1)+SUMIFS(Table2[NewPointsHome],Table2[GameDate], "&lt;=" &amp; $A50, Table2[HomeTeam], AG$1)</f>
        <v>0</v>
      </c>
    </row>
    <row r="51" spans="1:33" x14ac:dyDescent="0.25">
      <c r="A51" s="3">
        <v>45982</v>
      </c>
      <c r="B51" s="145">
        <f>SUMIFS(Table2[NewPointsAway],Table2[GameDate], "&lt;=" &amp; $A51, Table2[AwayTeam], B$1)+SUMIFS(Table2[NewPointsHome],Table2[GameDate], "&lt;=" &amp; $A51, Table2[HomeTeam], B$1)</f>
        <v>0</v>
      </c>
      <c r="C51" s="145">
        <f>SUMIFS(Table2[NewPointsAway],Table2[GameDate], "&lt;=" &amp; $A51, Table2[AwayTeam], C$1)+SUMIFS(Table2[NewPointsHome],Table2[GameDate], "&lt;=" &amp; $A51, Table2[HomeTeam], C$1)</f>
        <v>2</v>
      </c>
      <c r="D51" s="145">
        <f>SUMIFS(Table2[NewPointsAway],Table2[GameDate], "&lt;=" &amp; $A51, Table2[AwayTeam], D$1)+SUMIFS(Table2[NewPointsHome],Table2[GameDate], "&lt;=" &amp; $A51, Table2[HomeTeam], D$1)</f>
        <v>0</v>
      </c>
      <c r="E51" s="145">
        <f>SUMIFS(Table2[NewPointsAway],Table2[GameDate], "&lt;=" &amp; $A51, Table2[AwayTeam], E$1)+SUMIFS(Table2[NewPointsHome],Table2[GameDate], "&lt;=" &amp; $A51, Table2[HomeTeam], E$1)</f>
        <v>0</v>
      </c>
      <c r="F51" s="145">
        <f>SUMIFS(Table2[NewPointsAway],Table2[GameDate], "&lt;=" &amp; $A51, Table2[AwayTeam], F$1)+SUMIFS(Table2[NewPointsHome],Table2[GameDate], "&lt;=" &amp; $A51, Table2[HomeTeam], F$1)</f>
        <v>0</v>
      </c>
      <c r="G51" s="145">
        <f>SUMIFS(Table2[NewPointsAway],Table2[GameDate], "&lt;=" &amp; $A51, Table2[AwayTeam], G$1)+SUMIFS(Table2[NewPointsHome],Table2[GameDate], "&lt;=" &amp; $A51, Table2[HomeTeam], G$1)</f>
        <v>2</v>
      </c>
      <c r="H51" s="145">
        <f>SUMIFS(Table2[NewPointsAway],Table2[GameDate], "&lt;=" &amp; $A51, Table2[AwayTeam], H$1)+SUMIFS(Table2[NewPointsHome],Table2[GameDate], "&lt;=" &amp; $A51, Table2[HomeTeam], H$1)</f>
        <v>0</v>
      </c>
      <c r="I51" s="145">
        <f>SUMIFS(Table2[NewPointsAway],Table2[GameDate], "&lt;=" &amp; $A51, Table2[AwayTeam], I$1)+SUMIFS(Table2[NewPointsHome],Table2[GameDate], "&lt;=" &amp; $A51, Table2[HomeTeam], I$1)</f>
        <v>2</v>
      </c>
      <c r="J51" s="145">
        <f>SUMIFS(Table2[NewPointsAway],Table2[GameDate], "&lt;=" &amp; $A51, Table2[AwayTeam], J$1)+SUMIFS(Table2[NewPointsHome],Table2[GameDate], "&lt;=" &amp; $A51, Table2[HomeTeam], J$1)</f>
        <v>0</v>
      </c>
      <c r="K51" s="145">
        <f>SUMIFS(Table2[NewPointsAway],Table2[GameDate], "&lt;=" &amp; $A51, Table2[AwayTeam], K$1)+SUMIFS(Table2[NewPointsHome],Table2[GameDate], "&lt;=" &amp; $A51, Table2[HomeTeam], K$1)</f>
        <v>0</v>
      </c>
      <c r="L51" s="145">
        <f>SUMIFS(Table2[NewPointsAway],Table2[GameDate], "&lt;=" &amp; $A51, Table2[AwayTeam], L$1)+SUMIFS(Table2[NewPointsHome],Table2[GameDate], "&lt;=" &amp; $A51, Table2[HomeTeam], L$1)</f>
        <v>1</v>
      </c>
      <c r="M51" s="145">
        <f>SUMIFS(Table2[NewPointsAway],Table2[GameDate], "&lt;=" &amp; $A51, Table2[AwayTeam], M$1)+SUMIFS(Table2[NewPointsHome],Table2[GameDate], "&lt;=" &amp; $A51, Table2[HomeTeam], M$1)</f>
        <v>2</v>
      </c>
      <c r="N51" s="145">
        <f>SUMIFS(Table2[NewPointsAway],Table2[GameDate], "&lt;=" &amp; $A51, Table2[AwayTeam], N$1)+SUMIFS(Table2[NewPointsHome],Table2[GameDate], "&lt;=" &amp; $A51, Table2[HomeTeam], N$1)</f>
        <v>2</v>
      </c>
      <c r="O51" s="145">
        <f>SUMIFS(Table2[NewPointsAway],Table2[GameDate], "&lt;=" &amp; $A51, Table2[AwayTeam], O$1)+SUMIFS(Table2[NewPointsHome],Table2[GameDate], "&lt;=" &amp; $A51, Table2[HomeTeam], O$1)</f>
        <v>0</v>
      </c>
      <c r="P51" s="145">
        <f>SUMIFS(Table2[NewPointsAway],Table2[GameDate], "&lt;=" &amp; $A51, Table2[AwayTeam], P$1)+SUMIFS(Table2[NewPointsHome],Table2[GameDate], "&lt;=" &amp; $A51, Table2[HomeTeam], P$1)</f>
        <v>0</v>
      </c>
      <c r="Q51" s="145">
        <f>SUMIFS(Table2[NewPointsAway],Table2[GameDate], "&lt;=" &amp; $A51, Table2[AwayTeam], Q$1)+SUMIFS(Table2[NewPointsHome],Table2[GameDate], "&lt;=" &amp; $A51, Table2[HomeTeam], Q$1)</f>
        <v>0</v>
      </c>
      <c r="R51" s="145">
        <f>SUMIFS(Table2[NewPointsAway],Table2[GameDate], "&lt;=" &amp; $A51, Table2[AwayTeam], R$1)+SUMIFS(Table2[NewPointsHome],Table2[GameDate], "&lt;=" &amp; $A51, Table2[HomeTeam], R$1)</f>
        <v>0</v>
      </c>
      <c r="S51" s="145">
        <f>SUMIFS(Table2[NewPointsAway],Table2[GameDate], "&lt;=" &amp; $A51, Table2[AwayTeam], S$1)+SUMIFS(Table2[NewPointsHome],Table2[GameDate], "&lt;=" &amp; $A51, Table2[HomeTeam], S$1)</f>
        <v>0</v>
      </c>
      <c r="T51" s="145">
        <f>SUMIFS(Table2[NewPointsAway],Table2[GameDate], "&lt;=" &amp; $A51, Table2[AwayTeam], T$1)+SUMIFS(Table2[NewPointsHome],Table2[GameDate], "&lt;=" &amp; $A51, Table2[HomeTeam], T$1)</f>
        <v>0</v>
      </c>
      <c r="U51" s="145">
        <f>SUMIFS(Table2[NewPointsAway],Table2[GameDate], "&lt;=" &amp; $A51, Table2[AwayTeam], U$1)+SUMIFS(Table2[NewPointsHome],Table2[GameDate], "&lt;=" &amp; $A51, Table2[HomeTeam], U$1)</f>
        <v>0</v>
      </c>
      <c r="V51" s="145">
        <f>SUMIFS(Table2[NewPointsAway],Table2[GameDate], "&lt;=" &amp; $A51, Table2[AwayTeam], V$1)+SUMIFS(Table2[NewPointsHome],Table2[GameDate], "&lt;=" &amp; $A51, Table2[HomeTeam], V$1)</f>
        <v>0</v>
      </c>
      <c r="W51" s="145">
        <f>SUMIFS(Table2[NewPointsAway],Table2[GameDate], "&lt;=" &amp; $A51, Table2[AwayTeam], W$1)+SUMIFS(Table2[NewPointsHome],Table2[GameDate], "&lt;=" &amp; $A51, Table2[HomeTeam], W$1)</f>
        <v>2</v>
      </c>
      <c r="X51" s="145">
        <f>SUMIFS(Table2[NewPointsAway],Table2[GameDate], "&lt;=" &amp; $A51, Table2[AwayTeam], X$1)+SUMIFS(Table2[NewPointsHome],Table2[GameDate], "&lt;=" &amp; $A51, Table2[HomeTeam], X$1)</f>
        <v>0</v>
      </c>
      <c r="Y51" s="145">
        <f>SUMIFS(Table2[NewPointsAway],Table2[GameDate], "&lt;=" &amp; $A51, Table2[AwayTeam], Y$1)+SUMIFS(Table2[NewPointsHome],Table2[GameDate], "&lt;=" &amp; $A51, Table2[HomeTeam], Y$1)</f>
        <v>0</v>
      </c>
      <c r="Z51" s="145">
        <f>SUMIFS(Table2[NewPointsAway],Table2[GameDate], "&lt;=" &amp; $A51, Table2[AwayTeam], Z$1)+SUMIFS(Table2[NewPointsHome],Table2[GameDate], "&lt;=" &amp; $A51, Table2[HomeTeam], Z$1)</f>
        <v>0</v>
      </c>
      <c r="AA51" s="145">
        <f>SUMIFS(Table2[NewPointsAway],Table2[GameDate], "&lt;=" &amp; $A51, Table2[AwayTeam], AA$1)+SUMIFS(Table2[NewPointsHome],Table2[GameDate], "&lt;=" &amp; $A51, Table2[HomeTeam], AA$1)</f>
        <v>0</v>
      </c>
      <c r="AB51" s="145">
        <f>SUMIFS(Table2[NewPointsAway],Table2[GameDate], "&lt;=" &amp; $A51, Table2[AwayTeam], AB$1)+SUMIFS(Table2[NewPointsHome],Table2[GameDate], "&lt;=" &amp; $A51, Table2[HomeTeam], AB$1)</f>
        <v>2</v>
      </c>
      <c r="AC51" s="145">
        <f>SUMIFS(Table2[NewPointsAway],Table2[GameDate], "&lt;=" &amp; $A51, Table2[AwayTeam], AC$1)+SUMIFS(Table2[NewPointsHome],Table2[GameDate], "&lt;=" &amp; $A51, Table2[HomeTeam], AC$1)</f>
        <v>0</v>
      </c>
      <c r="AD51" s="145">
        <f>SUMIFS(Table2[NewPointsAway],Table2[GameDate], "&lt;=" &amp; $A51, Table2[AwayTeam], AD$1)+SUMIFS(Table2[NewPointsHome],Table2[GameDate], "&lt;=" &amp; $A51, Table2[HomeTeam], AD$1)</f>
        <v>0</v>
      </c>
      <c r="AE51" s="145">
        <f>SUMIFS(Table2[NewPointsAway],Table2[GameDate], "&lt;=" &amp; $A51, Table2[AwayTeam], AE$1)+SUMIFS(Table2[NewPointsHome],Table2[GameDate], "&lt;=" &amp; $A51, Table2[HomeTeam], AE$1)</f>
        <v>1</v>
      </c>
      <c r="AF51" s="145">
        <f>SUMIFS(Table2[NewPointsAway],Table2[GameDate], "&lt;=" &amp; $A51, Table2[AwayTeam], AF$1)+SUMIFS(Table2[NewPointsHome],Table2[GameDate], "&lt;=" &amp; $A51, Table2[HomeTeam], AF$1)</f>
        <v>0</v>
      </c>
      <c r="AG51" s="145">
        <f>SUMIFS(Table2[NewPointsAway],Table2[GameDate], "&lt;=" &amp; $A51, Table2[AwayTeam], AG$1)+SUMIFS(Table2[NewPointsHome],Table2[GameDate], "&lt;=" &amp; $A51, Table2[HomeTeam], AG$1)</f>
        <v>0</v>
      </c>
    </row>
    <row r="52" spans="1:33" x14ac:dyDescent="0.25">
      <c r="A52" s="3">
        <v>45983</v>
      </c>
      <c r="B52" s="145">
        <f>SUMIFS(Table2[NewPointsAway],Table2[GameDate], "&lt;=" &amp; $A52, Table2[AwayTeam], B$1)+SUMIFS(Table2[NewPointsHome],Table2[GameDate], "&lt;=" &amp; $A52, Table2[HomeTeam], B$1)</f>
        <v>0</v>
      </c>
      <c r="C52" s="145">
        <f>SUMIFS(Table2[NewPointsAway],Table2[GameDate], "&lt;=" &amp; $A52, Table2[AwayTeam], C$1)+SUMIFS(Table2[NewPointsHome],Table2[GameDate], "&lt;=" &amp; $A52, Table2[HomeTeam], C$1)</f>
        <v>2</v>
      </c>
      <c r="D52" s="145">
        <f>SUMIFS(Table2[NewPointsAway],Table2[GameDate], "&lt;=" &amp; $A52, Table2[AwayTeam], D$1)+SUMIFS(Table2[NewPointsHome],Table2[GameDate], "&lt;=" &amp; $A52, Table2[HomeTeam], D$1)</f>
        <v>0</v>
      </c>
      <c r="E52" s="145">
        <f>SUMIFS(Table2[NewPointsAway],Table2[GameDate], "&lt;=" &amp; $A52, Table2[AwayTeam], E$1)+SUMIFS(Table2[NewPointsHome],Table2[GameDate], "&lt;=" &amp; $A52, Table2[HomeTeam], E$1)</f>
        <v>0</v>
      </c>
      <c r="F52" s="145">
        <f>SUMIFS(Table2[NewPointsAway],Table2[GameDate], "&lt;=" &amp; $A52, Table2[AwayTeam], F$1)+SUMIFS(Table2[NewPointsHome],Table2[GameDate], "&lt;=" &amp; $A52, Table2[HomeTeam], F$1)</f>
        <v>0</v>
      </c>
      <c r="G52" s="145">
        <f>SUMIFS(Table2[NewPointsAway],Table2[GameDate], "&lt;=" &amp; $A52, Table2[AwayTeam], G$1)+SUMIFS(Table2[NewPointsHome],Table2[GameDate], "&lt;=" &amp; $A52, Table2[HomeTeam], G$1)</f>
        <v>2</v>
      </c>
      <c r="H52" s="145">
        <f>SUMIFS(Table2[NewPointsAway],Table2[GameDate], "&lt;=" &amp; $A52, Table2[AwayTeam], H$1)+SUMIFS(Table2[NewPointsHome],Table2[GameDate], "&lt;=" &amp; $A52, Table2[HomeTeam], H$1)</f>
        <v>0</v>
      </c>
      <c r="I52" s="145">
        <f>SUMIFS(Table2[NewPointsAway],Table2[GameDate], "&lt;=" &amp; $A52, Table2[AwayTeam], I$1)+SUMIFS(Table2[NewPointsHome],Table2[GameDate], "&lt;=" &amp; $A52, Table2[HomeTeam], I$1)</f>
        <v>2</v>
      </c>
      <c r="J52" s="145">
        <f>SUMIFS(Table2[NewPointsAway],Table2[GameDate], "&lt;=" &amp; $A52, Table2[AwayTeam], J$1)+SUMIFS(Table2[NewPointsHome],Table2[GameDate], "&lt;=" &amp; $A52, Table2[HomeTeam], J$1)</f>
        <v>0</v>
      </c>
      <c r="K52" s="145">
        <f>SUMIFS(Table2[NewPointsAway],Table2[GameDate], "&lt;=" &amp; $A52, Table2[AwayTeam], K$1)+SUMIFS(Table2[NewPointsHome],Table2[GameDate], "&lt;=" &amp; $A52, Table2[HomeTeam], K$1)</f>
        <v>0</v>
      </c>
      <c r="L52" s="145">
        <f>SUMIFS(Table2[NewPointsAway],Table2[GameDate], "&lt;=" &amp; $A52, Table2[AwayTeam], L$1)+SUMIFS(Table2[NewPointsHome],Table2[GameDate], "&lt;=" &amp; $A52, Table2[HomeTeam], L$1)</f>
        <v>1</v>
      </c>
      <c r="M52" s="145">
        <f>SUMIFS(Table2[NewPointsAway],Table2[GameDate], "&lt;=" &amp; $A52, Table2[AwayTeam], M$1)+SUMIFS(Table2[NewPointsHome],Table2[GameDate], "&lt;=" &amp; $A52, Table2[HomeTeam], M$1)</f>
        <v>2</v>
      </c>
      <c r="N52" s="145">
        <f>SUMIFS(Table2[NewPointsAway],Table2[GameDate], "&lt;=" &amp; $A52, Table2[AwayTeam], N$1)+SUMIFS(Table2[NewPointsHome],Table2[GameDate], "&lt;=" &amp; $A52, Table2[HomeTeam], N$1)</f>
        <v>2</v>
      </c>
      <c r="O52" s="145">
        <f>SUMIFS(Table2[NewPointsAway],Table2[GameDate], "&lt;=" &amp; $A52, Table2[AwayTeam], O$1)+SUMIFS(Table2[NewPointsHome],Table2[GameDate], "&lt;=" &amp; $A52, Table2[HomeTeam], O$1)</f>
        <v>0</v>
      </c>
      <c r="P52" s="145">
        <f>SUMIFS(Table2[NewPointsAway],Table2[GameDate], "&lt;=" &amp; $A52, Table2[AwayTeam], P$1)+SUMIFS(Table2[NewPointsHome],Table2[GameDate], "&lt;=" &amp; $A52, Table2[HomeTeam], P$1)</f>
        <v>0</v>
      </c>
      <c r="Q52" s="145">
        <f>SUMIFS(Table2[NewPointsAway],Table2[GameDate], "&lt;=" &amp; $A52, Table2[AwayTeam], Q$1)+SUMIFS(Table2[NewPointsHome],Table2[GameDate], "&lt;=" &amp; $A52, Table2[HomeTeam], Q$1)</f>
        <v>0</v>
      </c>
      <c r="R52" s="145">
        <f>SUMIFS(Table2[NewPointsAway],Table2[GameDate], "&lt;=" &amp; $A52, Table2[AwayTeam], R$1)+SUMIFS(Table2[NewPointsHome],Table2[GameDate], "&lt;=" &amp; $A52, Table2[HomeTeam], R$1)</f>
        <v>0</v>
      </c>
      <c r="S52" s="145">
        <f>SUMIFS(Table2[NewPointsAway],Table2[GameDate], "&lt;=" &amp; $A52, Table2[AwayTeam], S$1)+SUMIFS(Table2[NewPointsHome],Table2[GameDate], "&lt;=" &amp; $A52, Table2[HomeTeam], S$1)</f>
        <v>0</v>
      </c>
      <c r="T52" s="145">
        <f>SUMIFS(Table2[NewPointsAway],Table2[GameDate], "&lt;=" &amp; $A52, Table2[AwayTeam], T$1)+SUMIFS(Table2[NewPointsHome],Table2[GameDate], "&lt;=" &amp; $A52, Table2[HomeTeam], T$1)</f>
        <v>0</v>
      </c>
      <c r="U52" s="145">
        <f>SUMIFS(Table2[NewPointsAway],Table2[GameDate], "&lt;=" &amp; $A52, Table2[AwayTeam], U$1)+SUMIFS(Table2[NewPointsHome],Table2[GameDate], "&lt;=" &amp; $A52, Table2[HomeTeam], U$1)</f>
        <v>0</v>
      </c>
      <c r="V52" s="145">
        <f>SUMIFS(Table2[NewPointsAway],Table2[GameDate], "&lt;=" &amp; $A52, Table2[AwayTeam], V$1)+SUMIFS(Table2[NewPointsHome],Table2[GameDate], "&lt;=" &amp; $A52, Table2[HomeTeam], V$1)</f>
        <v>0</v>
      </c>
      <c r="W52" s="145">
        <f>SUMIFS(Table2[NewPointsAway],Table2[GameDate], "&lt;=" &amp; $A52, Table2[AwayTeam], W$1)+SUMIFS(Table2[NewPointsHome],Table2[GameDate], "&lt;=" &amp; $A52, Table2[HomeTeam], W$1)</f>
        <v>2</v>
      </c>
      <c r="X52" s="145">
        <f>SUMIFS(Table2[NewPointsAway],Table2[GameDate], "&lt;=" &amp; $A52, Table2[AwayTeam], X$1)+SUMIFS(Table2[NewPointsHome],Table2[GameDate], "&lt;=" &amp; $A52, Table2[HomeTeam], X$1)</f>
        <v>0</v>
      </c>
      <c r="Y52" s="145">
        <f>SUMIFS(Table2[NewPointsAway],Table2[GameDate], "&lt;=" &amp; $A52, Table2[AwayTeam], Y$1)+SUMIFS(Table2[NewPointsHome],Table2[GameDate], "&lt;=" &amp; $A52, Table2[HomeTeam], Y$1)</f>
        <v>0</v>
      </c>
      <c r="Z52" s="145">
        <f>SUMIFS(Table2[NewPointsAway],Table2[GameDate], "&lt;=" &amp; $A52, Table2[AwayTeam], Z$1)+SUMIFS(Table2[NewPointsHome],Table2[GameDate], "&lt;=" &amp; $A52, Table2[HomeTeam], Z$1)</f>
        <v>0</v>
      </c>
      <c r="AA52" s="145">
        <f>SUMIFS(Table2[NewPointsAway],Table2[GameDate], "&lt;=" &amp; $A52, Table2[AwayTeam], AA$1)+SUMIFS(Table2[NewPointsHome],Table2[GameDate], "&lt;=" &amp; $A52, Table2[HomeTeam], AA$1)</f>
        <v>0</v>
      </c>
      <c r="AB52" s="145">
        <f>SUMIFS(Table2[NewPointsAway],Table2[GameDate], "&lt;=" &amp; $A52, Table2[AwayTeam], AB$1)+SUMIFS(Table2[NewPointsHome],Table2[GameDate], "&lt;=" &amp; $A52, Table2[HomeTeam], AB$1)</f>
        <v>2</v>
      </c>
      <c r="AC52" s="145">
        <f>SUMIFS(Table2[NewPointsAway],Table2[GameDate], "&lt;=" &amp; $A52, Table2[AwayTeam], AC$1)+SUMIFS(Table2[NewPointsHome],Table2[GameDate], "&lt;=" &amp; $A52, Table2[HomeTeam], AC$1)</f>
        <v>0</v>
      </c>
      <c r="AD52" s="145">
        <f>SUMIFS(Table2[NewPointsAway],Table2[GameDate], "&lt;=" &amp; $A52, Table2[AwayTeam], AD$1)+SUMIFS(Table2[NewPointsHome],Table2[GameDate], "&lt;=" &amp; $A52, Table2[HomeTeam], AD$1)</f>
        <v>0</v>
      </c>
      <c r="AE52" s="145">
        <f>SUMIFS(Table2[NewPointsAway],Table2[GameDate], "&lt;=" &amp; $A52, Table2[AwayTeam], AE$1)+SUMIFS(Table2[NewPointsHome],Table2[GameDate], "&lt;=" &amp; $A52, Table2[HomeTeam], AE$1)</f>
        <v>1</v>
      </c>
      <c r="AF52" s="145">
        <f>SUMIFS(Table2[NewPointsAway],Table2[GameDate], "&lt;=" &amp; $A52, Table2[AwayTeam], AF$1)+SUMIFS(Table2[NewPointsHome],Table2[GameDate], "&lt;=" &amp; $A52, Table2[HomeTeam], AF$1)</f>
        <v>0</v>
      </c>
      <c r="AG52" s="145">
        <f>SUMIFS(Table2[NewPointsAway],Table2[GameDate], "&lt;=" &amp; $A52, Table2[AwayTeam], AG$1)+SUMIFS(Table2[NewPointsHome],Table2[GameDate], "&lt;=" &amp; $A52, Table2[HomeTeam], AG$1)</f>
        <v>0</v>
      </c>
    </row>
    <row r="53" spans="1:33" x14ac:dyDescent="0.25">
      <c r="A53" s="3">
        <v>45984</v>
      </c>
      <c r="B53" s="145">
        <f>SUMIFS(Table2[NewPointsAway],Table2[GameDate], "&lt;=" &amp; $A53, Table2[AwayTeam], B$1)+SUMIFS(Table2[NewPointsHome],Table2[GameDate], "&lt;=" &amp; $A53, Table2[HomeTeam], B$1)</f>
        <v>0</v>
      </c>
      <c r="C53" s="145">
        <f>SUMIFS(Table2[NewPointsAway],Table2[GameDate], "&lt;=" &amp; $A53, Table2[AwayTeam], C$1)+SUMIFS(Table2[NewPointsHome],Table2[GameDate], "&lt;=" &amp; $A53, Table2[HomeTeam], C$1)</f>
        <v>2</v>
      </c>
      <c r="D53" s="145">
        <f>SUMIFS(Table2[NewPointsAway],Table2[GameDate], "&lt;=" &amp; $A53, Table2[AwayTeam], D$1)+SUMIFS(Table2[NewPointsHome],Table2[GameDate], "&lt;=" &amp; $A53, Table2[HomeTeam], D$1)</f>
        <v>0</v>
      </c>
      <c r="E53" s="145">
        <f>SUMIFS(Table2[NewPointsAway],Table2[GameDate], "&lt;=" &amp; $A53, Table2[AwayTeam], E$1)+SUMIFS(Table2[NewPointsHome],Table2[GameDate], "&lt;=" &amp; $A53, Table2[HomeTeam], E$1)</f>
        <v>0</v>
      </c>
      <c r="F53" s="145">
        <f>SUMIFS(Table2[NewPointsAway],Table2[GameDate], "&lt;=" &amp; $A53, Table2[AwayTeam], F$1)+SUMIFS(Table2[NewPointsHome],Table2[GameDate], "&lt;=" &amp; $A53, Table2[HomeTeam], F$1)</f>
        <v>0</v>
      </c>
      <c r="G53" s="145">
        <f>SUMIFS(Table2[NewPointsAway],Table2[GameDate], "&lt;=" &amp; $A53, Table2[AwayTeam], G$1)+SUMIFS(Table2[NewPointsHome],Table2[GameDate], "&lt;=" &amp; $A53, Table2[HomeTeam], G$1)</f>
        <v>2</v>
      </c>
      <c r="H53" s="145">
        <f>SUMIFS(Table2[NewPointsAway],Table2[GameDate], "&lt;=" &amp; $A53, Table2[AwayTeam], H$1)+SUMIFS(Table2[NewPointsHome],Table2[GameDate], "&lt;=" &amp; $A53, Table2[HomeTeam], H$1)</f>
        <v>0</v>
      </c>
      <c r="I53" s="145">
        <f>SUMIFS(Table2[NewPointsAway],Table2[GameDate], "&lt;=" &amp; $A53, Table2[AwayTeam], I$1)+SUMIFS(Table2[NewPointsHome],Table2[GameDate], "&lt;=" &amp; $A53, Table2[HomeTeam], I$1)</f>
        <v>2</v>
      </c>
      <c r="J53" s="145">
        <f>SUMIFS(Table2[NewPointsAway],Table2[GameDate], "&lt;=" &amp; $A53, Table2[AwayTeam], J$1)+SUMIFS(Table2[NewPointsHome],Table2[GameDate], "&lt;=" &amp; $A53, Table2[HomeTeam], J$1)</f>
        <v>0</v>
      </c>
      <c r="K53" s="145">
        <f>SUMIFS(Table2[NewPointsAway],Table2[GameDate], "&lt;=" &amp; $A53, Table2[AwayTeam], K$1)+SUMIFS(Table2[NewPointsHome],Table2[GameDate], "&lt;=" &amp; $A53, Table2[HomeTeam], K$1)</f>
        <v>0</v>
      </c>
      <c r="L53" s="145">
        <f>SUMIFS(Table2[NewPointsAway],Table2[GameDate], "&lt;=" &amp; $A53, Table2[AwayTeam], L$1)+SUMIFS(Table2[NewPointsHome],Table2[GameDate], "&lt;=" &amp; $A53, Table2[HomeTeam], L$1)</f>
        <v>1</v>
      </c>
      <c r="M53" s="145">
        <f>SUMIFS(Table2[NewPointsAway],Table2[GameDate], "&lt;=" &amp; $A53, Table2[AwayTeam], M$1)+SUMIFS(Table2[NewPointsHome],Table2[GameDate], "&lt;=" &amp; $A53, Table2[HomeTeam], M$1)</f>
        <v>2</v>
      </c>
      <c r="N53" s="145">
        <f>SUMIFS(Table2[NewPointsAway],Table2[GameDate], "&lt;=" &amp; $A53, Table2[AwayTeam], N$1)+SUMIFS(Table2[NewPointsHome],Table2[GameDate], "&lt;=" &amp; $A53, Table2[HomeTeam], N$1)</f>
        <v>2</v>
      </c>
      <c r="O53" s="145">
        <f>SUMIFS(Table2[NewPointsAway],Table2[GameDate], "&lt;=" &amp; $A53, Table2[AwayTeam], O$1)+SUMIFS(Table2[NewPointsHome],Table2[GameDate], "&lt;=" &amp; $A53, Table2[HomeTeam], O$1)</f>
        <v>0</v>
      </c>
      <c r="P53" s="145">
        <f>SUMIFS(Table2[NewPointsAway],Table2[GameDate], "&lt;=" &amp; $A53, Table2[AwayTeam], P$1)+SUMIFS(Table2[NewPointsHome],Table2[GameDate], "&lt;=" &amp; $A53, Table2[HomeTeam], P$1)</f>
        <v>0</v>
      </c>
      <c r="Q53" s="145">
        <f>SUMIFS(Table2[NewPointsAway],Table2[GameDate], "&lt;=" &amp; $A53, Table2[AwayTeam], Q$1)+SUMIFS(Table2[NewPointsHome],Table2[GameDate], "&lt;=" &amp; $A53, Table2[HomeTeam], Q$1)</f>
        <v>0</v>
      </c>
      <c r="R53" s="145">
        <f>SUMIFS(Table2[NewPointsAway],Table2[GameDate], "&lt;=" &amp; $A53, Table2[AwayTeam], R$1)+SUMIFS(Table2[NewPointsHome],Table2[GameDate], "&lt;=" &amp; $A53, Table2[HomeTeam], R$1)</f>
        <v>0</v>
      </c>
      <c r="S53" s="145">
        <f>SUMIFS(Table2[NewPointsAway],Table2[GameDate], "&lt;=" &amp; $A53, Table2[AwayTeam], S$1)+SUMIFS(Table2[NewPointsHome],Table2[GameDate], "&lt;=" &amp; $A53, Table2[HomeTeam], S$1)</f>
        <v>0</v>
      </c>
      <c r="T53" s="145">
        <f>SUMIFS(Table2[NewPointsAway],Table2[GameDate], "&lt;=" &amp; $A53, Table2[AwayTeam], T$1)+SUMIFS(Table2[NewPointsHome],Table2[GameDate], "&lt;=" &amp; $A53, Table2[HomeTeam], T$1)</f>
        <v>0</v>
      </c>
      <c r="U53" s="145">
        <f>SUMIFS(Table2[NewPointsAway],Table2[GameDate], "&lt;=" &amp; $A53, Table2[AwayTeam], U$1)+SUMIFS(Table2[NewPointsHome],Table2[GameDate], "&lt;=" &amp; $A53, Table2[HomeTeam], U$1)</f>
        <v>0</v>
      </c>
      <c r="V53" s="145">
        <f>SUMIFS(Table2[NewPointsAway],Table2[GameDate], "&lt;=" &amp; $A53, Table2[AwayTeam], V$1)+SUMIFS(Table2[NewPointsHome],Table2[GameDate], "&lt;=" &amp; $A53, Table2[HomeTeam], V$1)</f>
        <v>0</v>
      </c>
      <c r="W53" s="145">
        <f>SUMIFS(Table2[NewPointsAway],Table2[GameDate], "&lt;=" &amp; $A53, Table2[AwayTeam], W$1)+SUMIFS(Table2[NewPointsHome],Table2[GameDate], "&lt;=" &amp; $A53, Table2[HomeTeam], W$1)</f>
        <v>2</v>
      </c>
      <c r="X53" s="145">
        <f>SUMIFS(Table2[NewPointsAway],Table2[GameDate], "&lt;=" &amp; $A53, Table2[AwayTeam], X$1)+SUMIFS(Table2[NewPointsHome],Table2[GameDate], "&lt;=" &amp; $A53, Table2[HomeTeam], X$1)</f>
        <v>0</v>
      </c>
      <c r="Y53" s="145">
        <f>SUMIFS(Table2[NewPointsAway],Table2[GameDate], "&lt;=" &amp; $A53, Table2[AwayTeam], Y$1)+SUMIFS(Table2[NewPointsHome],Table2[GameDate], "&lt;=" &amp; $A53, Table2[HomeTeam], Y$1)</f>
        <v>0</v>
      </c>
      <c r="Z53" s="145">
        <f>SUMIFS(Table2[NewPointsAway],Table2[GameDate], "&lt;=" &amp; $A53, Table2[AwayTeam], Z$1)+SUMIFS(Table2[NewPointsHome],Table2[GameDate], "&lt;=" &amp; $A53, Table2[HomeTeam], Z$1)</f>
        <v>0</v>
      </c>
      <c r="AA53" s="145">
        <f>SUMIFS(Table2[NewPointsAway],Table2[GameDate], "&lt;=" &amp; $A53, Table2[AwayTeam], AA$1)+SUMIFS(Table2[NewPointsHome],Table2[GameDate], "&lt;=" &amp; $A53, Table2[HomeTeam], AA$1)</f>
        <v>0</v>
      </c>
      <c r="AB53" s="145">
        <f>SUMIFS(Table2[NewPointsAway],Table2[GameDate], "&lt;=" &amp; $A53, Table2[AwayTeam], AB$1)+SUMIFS(Table2[NewPointsHome],Table2[GameDate], "&lt;=" &amp; $A53, Table2[HomeTeam], AB$1)</f>
        <v>2</v>
      </c>
      <c r="AC53" s="145">
        <f>SUMIFS(Table2[NewPointsAway],Table2[GameDate], "&lt;=" &amp; $A53, Table2[AwayTeam], AC$1)+SUMIFS(Table2[NewPointsHome],Table2[GameDate], "&lt;=" &amp; $A53, Table2[HomeTeam], AC$1)</f>
        <v>0</v>
      </c>
      <c r="AD53" s="145">
        <f>SUMIFS(Table2[NewPointsAway],Table2[GameDate], "&lt;=" &amp; $A53, Table2[AwayTeam], AD$1)+SUMIFS(Table2[NewPointsHome],Table2[GameDate], "&lt;=" &amp; $A53, Table2[HomeTeam], AD$1)</f>
        <v>0</v>
      </c>
      <c r="AE53" s="145">
        <f>SUMIFS(Table2[NewPointsAway],Table2[GameDate], "&lt;=" &amp; $A53, Table2[AwayTeam], AE$1)+SUMIFS(Table2[NewPointsHome],Table2[GameDate], "&lt;=" &amp; $A53, Table2[HomeTeam], AE$1)</f>
        <v>1</v>
      </c>
      <c r="AF53" s="145">
        <f>SUMIFS(Table2[NewPointsAway],Table2[GameDate], "&lt;=" &amp; $A53, Table2[AwayTeam], AF$1)+SUMIFS(Table2[NewPointsHome],Table2[GameDate], "&lt;=" &amp; $A53, Table2[HomeTeam], AF$1)</f>
        <v>0</v>
      </c>
      <c r="AG53" s="145">
        <f>SUMIFS(Table2[NewPointsAway],Table2[GameDate], "&lt;=" &amp; $A53, Table2[AwayTeam], AG$1)+SUMIFS(Table2[NewPointsHome],Table2[GameDate], "&lt;=" &amp; $A53, Table2[HomeTeam], AG$1)</f>
        <v>0</v>
      </c>
    </row>
    <row r="54" spans="1:33" x14ac:dyDescent="0.25">
      <c r="A54" s="3">
        <v>45985</v>
      </c>
      <c r="B54" s="145">
        <f>SUMIFS(Table2[NewPointsAway],Table2[GameDate], "&lt;=" &amp; $A54, Table2[AwayTeam], B$1)+SUMIFS(Table2[NewPointsHome],Table2[GameDate], "&lt;=" &amp; $A54, Table2[HomeTeam], B$1)</f>
        <v>0</v>
      </c>
      <c r="C54" s="145">
        <f>SUMIFS(Table2[NewPointsAway],Table2[GameDate], "&lt;=" &amp; $A54, Table2[AwayTeam], C$1)+SUMIFS(Table2[NewPointsHome],Table2[GameDate], "&lt;=" &amp; $A54, Table2[HomeTeam], C$1)</f>
        <v>2</v>
      </c>
      <c r="D54" s="145">
        <f>SUMIFS(Table2[NewPointsAway],Table2[GameDate], "&lt;=" &amp; $A54, Table2[AwayTeam], D$1)+SUMIFS(Table2[NewPointsHome],Table2[GameDate], "&lt;=" &amp; $A54, Table2[HomeTeam], D$1)</f>
        <v>0</v>
      </c>
      <c r="E54" s="145">
        <f>SUMIFS(Table2[NewPointsAway],Table2[GameDate], "&lt;=" &amp; $A54, Table2[AwayTeam], E$1)+SUMIFS(Table2[NewPointsHome],Table2[GameDate], "&lt;=" &amp; $A54, Table2[HomeTeam], E$1)</f>
        <v>0</v>
      </c>
      <c r="F54" s="145">
        <f>SUMIFS(Table2[NewPointsAway],Table2[GameDate], "&lt;=" &amp; $A54, Table2[AwayTeam], F$1)+SUMIFS(Table2[NewPointsHome],Table2[GameDate], "&lt;=" &amp; $A54, Table2[HomeTeam], F$1)</f>
        <v>0</v>
      </c>
      <c r="G54" s="145">
        <f>SUMIFS(Table2[NewPointsAway],Table2[GameDate], "&lt;=" &amp; $A54, Table2[AwayTeam], G$1)+SUMIFS(Table2[NewPointsHome],Table2[GameDate], "&lt;=" &amp; $A54, Table2[HomeTeam], G$1)</f>
        <v>2</v>
      </c>
      <c r="H54" s="145">
        <f>SUMIFS(Table2[NewPointsAway],Table2[GameDate], "&lt;=" &amp; $A54, Table2[AwayTeam], H$1)+SUMIFS(Table2[NewPointsHome],Table2[GameDate], "&lt;=" &amp; $A54, Table2[HomeTeam], H$1)</f>
        <v>0</v>
      </c>
      <c r="I54" s="145">
        <f>SUMIFS(Table2[NewPointsAway],Table2[GameDate], "&lt;=" &amp; $A54, Table2[AwayTeam], I$1)+SUMIFS(Table2[NewPointsHome],Table2[GameDate], "&lt;=" &amp; $A54, Table2[HomeTeam], I$1)</f>
        <v>2</v>
      </c>
      <c r="J54" s="145">
        <f>SUMIFS(Table2[NewPointsAway],Table2[GameDate], "&lt;=" &amp; $A54, Table2[AwayTeam], J$1)+SUMIFS(Table2[NewPointsHome],Table2[GameDate], "&lt;=" &amp; $A54, Table2[HomeTeam], J$1)</f>
        <v>0</v>
      </c>
      <c r="K54" s="145">
        <f>SUMIFS(Table2[NewPointsAway],Table2[GameDate], "&lt;=" &amp; $A54, Table2[AwayTeam], K$1)+SUMIFS(Table2[NewPointsHome],Table2[GameDate], "&lt;=" &amp; $A54, Table2[HomeTeam], K$1)</f>
        <v>0</v>
      </c>
      <c r="L54" s="145">
        <f>SUMIFS(Table2[NewPointsAway],Table2[GameDate], "&lt;=" &amp; $A54, Table2[AwayTeam], L$1)+SUMIFS(Table2[NewPointsHome],Table2[GameDate], "&lt;=" &amp; $A54, Table2[HomeTeam], L$1)</f>
        <v>1</v>
      </c>
      <c r="M54" s="145">
        <f>SUMIFS(Table2[NewPointsAway],Table2[GameDate], "&lt;=" &amp; $A54, Table2[AwayTeam], M$1)+SUMIFS(Table2[NewPointsHome],Table2[GameDate], "&lt;=" &amp; $A54, Table2[HomeTeam], M$1)</f>
        <v>2</v>
      </c>
      <c r="N54" s="145">
        <f>SUMIFS(Table2[NewPointsAway],Table2[GameDate], "&lt;=" &amp; $A54, Table2[AwayTeam], N$1)+SUMIFS(Table2[NewPointsHome],Table2[GameDate], "&lt;=" &amp; $A54, Table2[HomeTeam], N$1)</f>
        <v>2</v>
      </c>
      <c r="O54" s="145">
        <f>SUMIFS(Table2[NewPointsAway],Table2[GameDate], "&lt;=" &amp; $A54, Table2[AwayTeam], O$1)+SUMIFS(Table2[NewPointsHome],Table2[GameDate], "&lt;=" &amp; $A54, Table2[HomeTeam], O$1)</f>
        <v>0</v>
      </c>
      <c r="P54" s="145">
        <f>SUMIFS(Table2[NewPointsAway],Table2[GameDate], "&lt;=" &amp; $A54, Table2[AwayTeam], P$1)+SUMIFS(Table2[NewPointsHome],Table2[GameDate], "&lt;=" &amp; $A54, Table2[HomeTeam], P$1)</f>
        <v>0</v>
      </c>
      <c r="Q54" s="145">
        <f>SUMIFS(Table2[NewPointsAway],Table2[GameDate], "&lt;=" &amp; $A54, Table2[AwayTeam], Q$1)+SUMIFS(Table2[NewPointsHome],Table2[GameDate], "&lt;=" &amp; $A54, Table2[HomeTeam], Q$1)</f>
        <v>0</v>
      </c>
      <c r="R54" s="145">
        <f>SUMIFS(Table2[NewPointsAway],Table2[GameDate], "&lt;=" &amp; $A54, Table2[AwayTeam], R$1)+SUMIFS(Table2[NewPointsHome],Table2[GameDate], "&lt;=" &amp; $A54, Table2[HomeTeam], R$1)</f>
        <v>0</v>
      </c>
      <c r="S54" s="145">
        <f>SUMIFS(Table2[NewPointsAway],Table2[GameDate], "&lt;=" &amp; $A54, Table2[AwayTeam], S$1)+SUMIFS(Table2[NewPointsHome],Table2[GameDate], "&lt;=" &amp; $A54, Table2[HomeTeam], S$1)</f>
        <v>0</v>
      </c>
      <c r="T54" s="145">
        <f>SUMIFS(Table2[NewPointsAway],Table2[GameDate], "&lt;=" &amp; $A54, Table2[AwayTeam], T$1)+SUMIFS(Table2[NewPointsHome],Table2[GameDate], "&lt;=" &amp; $A54, Table2[HomeTeam], T$1)</f>
        <v>0</v>
      </c>
      <c r="U54" s="145">
        <f>SUMIFS(Table2[NewPointsAway],Table2[GameDate], "&lt;=" &amp; $A54, Table2[AwayTeam], U$1)+SUMIFS(Table2[NewPointsHome],Table2[GameDate], "&lt;=" &amp; $A54, Table2[HomeTeam], U$1)</f>
        <v>0</v>
      </c>
      <c r="V54" s="145">
        <f>SUMIFS(Table2[NewPointsAway],Table2[GameDate], "&lt;=" &amp; $A54, Table2[AwayTeam], V$1)+SUMIFS(Table2[NewPointsHome],Table2[GameDate], "&lt;=" &amp; $A54, Table2[HomeTeam], V$1)</f>
        <v>0</v>
      </c>
      <c r="W54" s="145">
        <f>SUMIFS(Table2[NewPointsAway],Table2[GameDate], "&lt;=" &amp; $A54, Table2[AwayTeam], W$1)+SUMIFS(Table2[NewPointsHome],Table2[GameDate], "&lt;=" &amp; $A54, Table2[HomeTeam], W$1)</f>
        <v>2</v>
      </c>
      <c r="X54" s="145">
        <f>SUMIFS(Table2[NewPointsAway],Table2[GameDate], "&lt;=" &amp; $A54, Table2[AwayTeam], X$1)+SUMIFS(Table2[NewPointsHome],Table2[GameDate], "&lt;=" &amp; $A54, Table2[HomeTeam], X$1)</f>
        <v>0</v>
      </c>
      <c r="Y54" s="145">
        <f>SUMIFS(Table2[NewPointsAway],Table2[GameDate], "&lt;=" &amp; $A54, Table2[AwayTeam], Y$1)+SUMIFS(Table2[NewPointsHome],Table2[GameDate], "&lt;=" &amp; $A54, Table2[HomeTeam], Y$1)</f>
        <v>0</v>
      </c>
      <c r="Z54" s="145">
        <f>SUMIFS(Table2[NewPointsAway],Table2[GameDate], "&lt;=" &amp; $A54, Table2[AwayTeam], Z$1)+SUMIFS(Table2[NewPointsHome],Table2[GameDate], "&lt;=" &amp; $A54, Table2[HomeTeam], Z$1)</f>
        <v>0</v>
      </c>
      <c r="AA54" s="145">
        <f>SUMIFS(Table2[NewPointsAway],Table2[GameDate], "&lt;=" &amp; $A54, Table2[AwayTeam], AA$1)+SUMIFS(Table2[NewPointsHome],Table2[GameDate], "&lt;=" &amp; $A54, Table2[HomeTeam], AA$1)</f>
        <v>0</v>
      </c>
      <c r="AB54" s="145">
        <f>SUMIFS(Table2[NewPointsAway],Table2[GameDate], "&lt;=" &amp; $A54, Table2[AwayTeam], AB$1)+SUMIFS(Table2[NewPointsHome],Table2[GameDate], "&lt;=" &amp; $A54, Table2[HomeTeam], AB$1)</f>
        <v>2</v>
      </c>
      <c r="AC54" s="145">
        <f>SUMIFS(Table2[NewPointsAway],Table2[GameDate], "&lt;=" &amp; $A54, Table2[AwayTeam], AC$1)+SUMIFS(Table2[NewPointsHome],Table2[GameDate], "&lt;=" &amp; $A54, Table2[HomeTeam], AC$1)</f>
        <v>0</v>
      </c>
      <c r="AD54" s="145">
        <f>SUMIFS(Table2[NewPointsAway],Table2[GameDate], "&lt;=" &amp; $A54, Table2[AwayTeam], AD$1)+SUMIFS(Table2[NewPointsHome],Table2[GameDate], "&lt;=" &amp; $A54, Table2[HomeTeam], AD$1)</f>
        <v>0</v>
      </c>
      <c r="AE54" s="145">
        <f>SUMIFS(Table2[NewPointsAway],Table2[GameDate], "&lt;=" &amp; $A54, Table2[AwayTeam], AE$1)+SUMIFS(Table2[NewPointsHome],Table2[GameDate], "&lt;=" &amp; $A54, Table2[HomeTeam], AE$1)</f>
        <v>1</v>
      </c>
      <c r="AF54" s="145">
        <f>SUMIFS(Table2[NewPointsAway],Table2[GameDate], "&lt;=" &amp; $A54, Table2[AwayTeam], AF$1)+SUMIFS(Table2[NewPointsHome],Table2[GameDate], "&lt;=" &amp; $A54, Table2[HomeTeam], AF$1)</f>
        <v>0</v>
      </c>
      <c r="AG54" s="145">
        <f>SUMIFS(Table2[NewPointsAway],Table2[GameDate], "&lt;=" &amp; $A54, Table2[AwayTeam], AG$1)+SUMIFS(Table2[NewPointsHome],Table2[GameDate], "&lt;=" &amp; $A54, Table2[HomeTeam], AG$1)</f>
        <v>0</v>
      </c>
    </row>
    <row r="55" spans="1:33" x14ac:dyDescent="0.25">
      <c r="A55" s="3">
        <v>45986</v>
      </c>
      <c r="B55" s="145">
        <f>SUMIFS(Table2[NewPointsAway],Table2[GameDate], "&lt;=" &amp; $A55, Table2[AwayTeam], B$1)+SUMIFS(Table2[NewPointsHome],Table2[GameDate], "&lt;=" &amp; $A55, Table2[HomeTeam], B$1)</f>
        <v>0</v>
      </c>
      <c r="C55" s="145">
        <f>SUMIFS(Table2[NewPointsAway],Table2[GameDate], "&lt;=" &amp; $A55, Table2[AwayTeam], C$1)+SUMIFS(Table2[NewPointsHome],Table2[GameDate], "&lt;=" &amp; $A55, Table2[HomeTeam], C$1)</f>
        <v>2</v>
      </c>
      <c r="D55" s="145">
        <f>SUMIFS(Table2[NewPointsAway],Table2[GameDate], "&lt;=" &amp; $A55, Table2[AwayTeam], D$1)+SUMIFS(Table2[NewPointsHome],Table2[GameDate], "&lt;=" &amp; $A55, Table2[HomeTeam], D$1)</f>
        <v>0</v>
      </c>
      <c r="E55" s="145">
        <f>SUMIFS(Table2[NewPointsAway],Table2[GameDate], "&lt;=" &amp; $A55, Table2[AwayTeam], E$1)+SUMIFS(Table2[NewPointsHome],Table2[GameDate], "&lt;=" &amp; $A55, Table2[HomeTeam], E$1)</f>
        <v>0</v>
      </c>
      <c r="F55" s="145">
        <f>SUMIFS(Table2[NewPointsAway],Table2[GameDate], "&lt;=" &amp; $A55, Table2[AwayTeam], F$1)+SUMIFS(Table2[NewPointsHome],Table2[GameDate], "&lt;=" &amp; $A55, Table2[HomeTeam], F$1)</f>
        <v>0</v>
      </c>
      <c r="G55" s="145">
        <f>SUMIFS(Table2[NewPointsAway],Table2[GameDate], "&lt;=" &amp; $A55, Table2[AwayTeam], G$1)+SUMIFS(Table2[NewPointsHome],Table2[GameDate], "&lt;=" &amp; $A55, Table2[HomeTeam], G$1)</f>
        <v>2</v>
      </c>
      <c r="H55" s="145">
        <f>SUMIFS(Table2[NewPointsAway],Table2[GameDate], "&lt;=" &amp; $A55, Table2[AwayTeam], H$1)+SUMIFS(Table2[NewPointsHome],Table2[GameDate], "&lt;=" &amp; $A55, Table2[HomeTeam], H$1)</f>
        <v>0</v>
      </c>
      <c r="I55" s="145">
        <f>SUMIFS(Table2[NewPointsAway],Table2[GameDate], "&lt;=" &amp; $A55, Table2[AwayTeam], I$1)+SUMIFS(Table2[NewPointsHome],Table2[GameDate], "&lt;=" &amp; $A55, Table2[HomeTeam], I$1)</f>
        <v>2</v>
      </c>
      <c r="J55" s="145">
        <f>SUMIFS(Table2[NewPointsAway],Table2[GameDate], "&lt;=" &amp; $A55, Table2[AwayTeam], J$1)+SUMIFS(Table2[NewPointsHome],Table2[GameDate], "&lt;=" &amp; $A55, Table2[HomeTeam], J$1)</f>
        <v>0</v>
      </c>
      <c r="K55" s="145">
        <f>SUMIFS(Table2[NewPointsAway],Table2[GameDate], "&lt;=" &amp; $A55, Table2[AwayTeam], K$1)+SUMIFS(Table2[NewPointsHome],Table2[GameDate], "&lt;=" &amp; $A55, Table2[HomeTeam], K$1)</f>
        <v>0</v>
      </c>
      <c r="L55" s="145">
        <f>SUMIFS(Table2[NewPointsAway],Table2[GameDate], "&lt;=" &amp; $A55, Table2[AwayTeam], L$1)+SUMIFS(Table2[NewPointsHome],Table2[GameDate], "&lt;=" &amp; $A55, Table2[HomeTeam], L$1)</f>
        <v>1</v>
      </c>
      <c r="M55" s="145">
        <f>SUMIFS(Table2[NewPointsAway],Table2[GameDate], "&lt;=" &amp; $A55, Table2[AwayTeam], M$1)+SUMIFS(Table2[NewPointsHome],Table2[GameDate], "&lt;=" &amp; $A55, Table2[HomeTeam], M$1)</f>
        <v>2</v>
      </c>
      <c r="N55" s="145">
        <f>SUMIFS(Table2[NewPointsAway],Table2[GameDate], "&lt;=" &amp; $A55, Table2[AwayTeam], N$1)+SUMIFS(Table2[NewPointsHome],Table2[GameDate], "&lt;=" &amp; $A55, Table2[HomeTeam], N$1)</f>
        <v>2</v>
      </c>
      <c r="O55" s="145">
        <f>SUMIFS(Table2[NewPointsAway],Table2[GameDate], "&lt;=" &amp; $A55, Table2[AwayTeam], O$1)+SUMIFS(Table2[NewPointsHome],Table2[GameDate], "&lt;=" &amp; $A55, Table2[HomeTeam], O$1)</f>
        <v>0</v>
      </c>
      <c r="P55" s="145">
        <f>SUMIFS(Table2[NewPointsAway],Table2[GameDate], "&lt;=" &amp; $A55, Table2[AwayTeam], P$1)+SUMIFS(Table2[NewPointsHome],Table2[GameDate], "&lt;=" &amp; $A55, Table2[HomeTeam], P$1)</f>
        <v>0</v>
      </c>
      <c r="Q55" s="145">
        <f>SUMIFS(Table2[NewPointsAway],Table2[GameDate], "&lt;=" &amp; $A55, Table2[AwayTeam], Q$1)+SUMIFS(Table2[NewPointsHome],Table2[GameDate], "&lt;=" &amp; $A55, Table2[HomeTeam], Q$1)</f>
        <v>0</v>
      </c>
      <c r="R55" s="145">
        <f>SUMIFS(Table2[NewPointsAway],Table2[GameDate], "&lt;=" &amp; $A55, Table2[AwayTeam], R$1)+SUMIFS(Table2[NewPointsHome],Table2[GameDate], "&lt;=" &amp; $A55, Table2[HomeTeam], R$1)</f>
        <v>0</v>
      </c>
      <c r="S55" s="145">
        <f>SUMIFS(Table2[NewPointsAway],Table2[GameDate], "&lt;=" &amp; $A55, Table2[AwayTeam], S$1)+SUMIFS(Table2[NewPointsHome],Table2[GameDate], "&lt;=" &amp; $A55, Table2[HomeTeam], S$1)</f>
        <v>0</v>
      </c>
      <c r="T55" s="145">
        <f>SUMIFS(Table2[NewPointsAway],Table2[GameDate], "&lt;=" &amp; $A55, Table2[AwayTeam], T$1)+SUMIFS(Table2[NewPointsHome],Table2[GameDate], "&lt;=" &amp; $A55, Table2[HomeTeam], T$1)</f>
        <v>0</v>
      </c>
      <c r="U55" s="145">
        <f>SUMIFS(Table2[NewPointsAway],Table2[GameDate], "&lt;=" &amp; $A55, Table2[AwayTeam], U$1)+SUMIFS(Table2[NewPointsHome],Table2[GameDate], "&lt;=" &amp; $A55, Table2[HomeTeam], U$1)</f>
        <v>0</v>
      </c>
      <c r="V55" s="145">
        <f>SUMIFS(Table2[NewPointsAway],Table2[GameDate], "&lt;=" &amp; $A55, Table2[AwayTeam], V$1)+SUMIFS(Table2[NewPointsHome],Table2[GameDate], "&lt;=" &amp; $A55, Table2[HomeTeam], V$1)</f>
        <v>0</v>
      </c>
      <c r="W55" s="145">
        <f>SUMIFS(Table2[NewPointsAway],Table2[GameDate], "&lt;=" &amp; $A55, Table2[AwayTeam], W$1)+SUMIFS(Table2[NewPointsHome],Table2[GameDate], "&lt;=" &amp; $A55, Table2[HomeTeam], W$1)</f>
        <v>2</v>
      </c>
      <c r="X55" s="145">
        <f>SUMIFS(Table2[NewPointsAway],Table2[GameDate], "&lt;=" &amp; $A55, Table2[AwayTeam], X$1)+SUMIFS(Table2[NewPointsHome],Table2[GameDate], "&lt;=" &amp; $A55, Table2[HomeTeam], X$1)</f>
        <v>0</v>
      </c>
      <c r="Y55" s="145">
        <f>SUMIFS(Table2[NewPointsAway],Table2[GameDate], "&lt;=" &amp; $A55, Table2[AwayTeam], Y$1)+SUMIFS(Table2[NewPointsHome],Table2[GameDate], "&lt;=" &amp; $A55, Table2[HomeTeam], Y$1)</f>
        <v>0</v>
      </c>
      <c r="Z55" s="145">
        <f>SUMIFS(Table2[NewPointsAway],Table2[GameDate], "&lt;=" &amp; $A55, Table2[AwayTeam], Z$1)+SUMIFS(Table2[NewPointsHome],Table2[GameDate], "&lt;=" &amp; $A55, Table2[HomeTeam], Z$1)</f>
        <v>0</v>
      </c>
      <c r="AA55" s="145">
        <f>SUMIFS(Table2[NewPointsAway],Table2[GameDate], "&lt;=" &amp; $A55, Table2[AwayTeam], AA$1)+SUMIFS(Table2[NewPointsHome],Table2[GameDate], "&lt;=" &amp; $A55, Table2[HomeTeam], AA$1)</f>
        <v>0</v>
      </c>
      <c r="AB55" s="145">
        <f>SUMIFS(Table2[NewPointsAway],Table2[GameDate], "&lt;=" &amp; $A55, Table2[AwayTeam], AB$1)+SUMIFS(Table2[NewPointsHome],Table2[GameDate], "&lt;=" &amp; $A55, Table2[HomeTeam], AB$1)</f>
        <v>2</v>
      </c>
      <c r="AC55" s="145">
        <f>SUMIFS(Table2[NewPointsAway],Table2[GameDate], "&lt;=" &amp; $A55, Table2[AwayTeam], AC$1)+SUMIFS(Table2[NewPointsHome],Table2[GameDate], "&lt;=" &amp; $A55, Table2[HomeTeam], AC$1)</f>
        <v>0</v>
      </c>
      <c r="AD55" s="145">
        <f>SUMIFS(Table2[NewPointsAway],Table2[GameDate], "&lt;=" &amp; $A55, Table2[AwayTeam], AD$1)+SUMIFS(Table2[NewPointsHome],Table2[GameDate], "&lt;=" &amp; $A55, Table2[HomeTeam], AD$1)</f>
        <v>0</v>
      </c>
      <c r="AE55" s="145">
        <f>SUMIFS(Table2[NewPointsAway],Table2[GameDate], "&lt;=" &amp; $A55, Table2[AwayTeam], AE$1)+SUMIFS(Table2[NewPointsHome],Table2[GameDate], "&lt;=" &amp; $A55, Table2[HomeTeam], AE$1)</f>
        <v>1</v>
      </c>
      <c r="AF55" s="145">
        <f>SUMIFS(Table2[NewPointsAway],Table2[GameDate], "&lt;=" &amp; $A55, Table2[AwayTeam], AF$1)+SUMIFS(Table2[NewPointsHome],Table2[GameDate], "&lt;=" &amp; $A55, Table2[HomeTeam], AF$1)</f>
        <v>0</v>
      </c>
      <c r="AG55" s="145">
        <f>SUMIFS(Table2[NewPointsAway],Table2[GameDate], "&lt;=" &amp; $A55, Table2[AwayTeam], AG$1)+SUMIFS(Table2[NewPointsHome],Table2[GameDate], "&lt;=" &amp; $A55, Table2[HomeTeam], AG$1)</f>
        <v>0</v>
      </c>
    </row>
    <row r="56" spans="1:33" x14ac:dyDescent="0.25">
      <c r="A56" s="3">
        <v>45987</v>
      </c>
      <c r="B56" s="145">
        <f>SUMIFS(Table2[NewPointsAway],Table2[GameDate], "&lt;=" &amp; $A56, Table2[AwayTeam], B$1)+SUMIFS(Table2[NewPointsHome],Table2[GameDate], "&lt;=" &amp; $A56, Table2[HomeTeam], B$1)</f>
        <v>0</v>
      </c>
      <c r="C56" s="145">
        <f>SUMIFS(Table2[NewPointsAway],Table2[GameDate], "&lt;=" &amp; $A56, Table2[AwayTeam], C$1)+SUMIFS(Table2[NewPointsHome],Table2[GameDate], "&lt;=" &amp; $A56, Table2[HomeTeam], C$1)</f>
        <v>2</v>
      </c>
      <c r="D56" s="145">
        <f>SUMIFS(Table2[NewPointsAway],Table2[GameDate], "&lt;=" &amp; $A56, Table2[AwayTeam], D$1)+SUMIFS(Table2[NewPointsHome],Table2[GameDate], "&lt;=" &amp; $A56, Table2[HomeTeam], D$1)</f>
        <v>0</v>
      </c>
      <c r="E56" s="145">
        <f>SUMIFS(Table2[NewPointsAway],Table2[GameDate], "&lt;=" &amp; $A56, Table2[AwayTeam], E$1)+SUMIFS(Table2[NewPointsHome],Table2[GameDate], "&lt;=" &amp; $A56, Table2[HomeTeam], E$1)</f>
        <v>0</v>
      </c>
      <c r="F56" s="145">
        <f>SUMIFS(Table2[NewPointsAway],Table2[GameDate], "&lt;=" &amp; $A56, Table2[AwayTeam], F$1)+SUMIFS(Table2[NewPointsHome],Table2[GameDate], "&lt;=" &amp; $A56, Table2[HomeTeam], F$1)</f>
        <v>0</v>
      </c>
      <c r="G56" s="145">
        <f>SUMIFS(Table2[NewPointsAway],Table2[GameDate], "&lt;=" &amp; $A56, Table2[AwayTeam], G$1)+SUMIFS(Table2[NewPointsHome],Table2[GameDate], "&lt;=" &amp; $A56, Table2[HomeTeam], G$1)</f>
        <v>2</v>
      </c>
      <c r="H56" s="145">
        <f>SUMIFS(Table2[NewPointsAway],Table2[GameDate], "&lt;=" &amp; $A56, Table2[AwayTeam], H$1)+SUMIFS(Table2[NewPointsHome],Table2[GameDate], "&lt;=" &amp; $A56, Table2[HomeTeam], H$1)</f>
        <v>0</v>
      </c>
      <c r="I56" s="145">
        <f>SUMIFS(Table2[NewPointsAway],Table2[GameDate], "&lt;=" &amp; $A56, Table2[AwayTeam], I$1)+SUMIFS(Table2[NewPointsHome],Table2[GameDate], "&lt;=" &amp; $A56, Table2[HomeTeam], I$1)</f>
        <v>2</v>
      </c>
      <c r="J56" s="145">
        <f>SUMIFS(Table2[NewPointsAway],Table2[GameDate], "&lt;=" &amp; $A56, Table2[AwayTeam], J$1)+SUMIFS(Table2[NewPointsHome],Table2[GameDate], "&lt;=" &amp; $A56, Table2[HomeTeam], J$1)</f>
        <v>0</v>
      </c>
      <c r="K56" s="145">
        <f>SUMIFS(Table2[NewPointsAway],Table2[GameDate], "&lt;=" &amp; $A56, Table2[AwayTeam], K$1)+SUMIFS(Table2[NewPointsHome],Table2[GameDate], "&lt;=" &amp; $A56, Table2[HomeTeam], K$1)</f>
        <v>0</v>
      </c>
      <c r="L56" s="145">
        <f>SUMIFS(Table2[NewPointsAway],Table2[GameDate], "&lt;=" &amp; $A56, Table2[AwayTeam], L$1)+SUMIFS(Table2[NewPointsHome],Table2[GameDate], "&lt;=" &amp; $A56, Table2[HomeTeam], L$1)</f>
        <v>1</v>
      </c>
      <c r="M56" s="145">
        <f>SUMIFS(Table2[NewPointsAway],Table2[GameDate], "&lt;=" &amp; $A56, Table2[AwayTeam], M$1)+SUMIFS(Table2[NewPointsHome],Table2[GameDate], "&lt;=" &amp; $A56, Table2[HomeTeam], M$1)</f>
        <v>2</v>
      </c>
      <c r="N56" s="145">
        <f>SUMIFS(Table2[NewPointsAway],Table2[GameDate], "&lt;=" &amp; $A56, Table2[AwayTeam], N$1)+SUMIFS(Table2[NewPointsHome],Table2[GameDate], "&lt;=" &amp; $A56, Table2[HomeTeam], N$1)</f>
        <v>2</v>
      </c>
      <c r="O56" s="145">
        <f>SUMIFS(Table2[NewPointsAway],Table2[GameDate], "&lt;=" &amp; $A56, Table2[AwayTeam], O$1)+SUMIFS(Table2[NewPointsHome],Table2[GameDate], "&lt;=" &amp; $A56, Table2[HomeTeam], O$1)</f>
        <v>0</v>
      </c>
      <c r="P56" s="145">
        <f>SUMIFS(Table2[NewPointsAway],Table2[GameDate], "&lt;=" &amp; $A56, Table2[AwayTeam], P$1)+SUMIFS(Table2[NewPointsHome],Table2[GameDate], "&lt;=" &amp; $A56, Table2[HomeTeam], P$1)</f>
        <v>0</v>
      </c>
      <c r="Q56" s="145">
        <f>SUMIFS(Table2[NewPointsAway],Table2[GameDate], "&lt;=" &amp; $A56, Table2[AwayTeam], Q$1)+SUMIFS(Table2[NewPointsHome],Table2[GameDate], "&lt;=" &amp; $A56, Table2[HomeTeam], Q$1)</f>
        <v>0</v>
      </c>
      <c r="R56" s="145">
        <f>SUMIFS(Table2[NewPointsAway],Table2[GameDate], "&lt;=" &amp; $A56, Table2[AwayTeam], R$1)+SUMIFS(Table2[NewPointsHome],Table2[GameDate], "&lt;=" &amp; $A56, Table2[HomeTeam], R$1)</f>
        <v>0</v>
      </c>
      <c r="S56" s="145">
        <f>SUMIFS(Table2[NewPointsAway],Table2[GameDate], "&lt;=" &amp; $A56, Table2[AwayTeam], S$1)+SUMIFS(Table2[NewPointsHome],Table2[GameDate], "&lt;=" &amp; $A56, Table2[HomeTeam], S$1)</f>
        <v>0</v>
      </c>
      <c r="T56" s="145">
        <f>SUMIFS(Table2[NewPointsAway],Table2[GameDate], "&lt;=" &amp; $A56, Table2[AwayTeam], T$1)+SUMIFS(Table2[NewPointsHome],Table2[GameDate], "&lt;=" &amp; $A56, Table2[HomeTeam], T$1)</f>
        <v>0</v>
      </c>
      <c r="U56" s="145">
        <f>SUMIFS(Table2[NewPointsAway],Table2[GameDate], "&lt;=" &amp; $A56, Table2[AwayTeam], U$1)+SUMIFS(Table2[NewPointsHome],Table2[GameDate], "&lt;=" &amp; $A56, Table2[HomeTeam], U$1)</f>
        <v>0</v>
      </c>
      <c r="V56" s="145">
        <f>SUMIFS(Table2[NewPointsAway],Table2[GameDate], "&lt;=" &amp; $A56, Table2[AwayTeam], V$1)+SUMIFS(Table2[NewPointsHome],Table2[GameDate], "&lt;=" &amp; $A56, Table2[HomeTeam], V$1)</f>
        <v>0</v>
      </c>
      <c r="W56" s="145">
        <f>SUMIFS(Table2[NewPointsAway],Table2[GameDate], "&lt;=" &amp; $A56, Table2[AwayTeam], W$1)+SUMIFS(Table2[NewPointsHome],Table2[GameDate], "&lt;=" &amp; $A56, Table2[HomeTeam], W$1)</f>
        <v>2</v>
      </c>
      <c r="X56" s="145">
        <f>SUMIFS(Table2[NewPointsAway],Table2[GameDate], "&lt;=" &amp; $A56, Table2[AwayTeam], X$1)+SUMIFS(Table2[NewPointsHome],Table2[GameDate], "&lt;=" &amp; $A56, Table2[HomeTeam], X$1)</f>
        <v>0</v>
      </c>
      <c r="Y56" s="145">
        <f>SUMIFS(Table2[NewPointsAway],Table2[GameDate], "&lt;=" &amp; $A56, Table2[AwayTeam], Y$1)+SUMIFS(Table2[NewPointsHome],Table2[GameDate], "&lt;=" &amp; $A56, Table2[HomeTeam], Y$1)</f>
        <v>0</v>
      </c>
      <c r="Z56" s="145">
        <f>SUMIFS(Table2[NewPointsAway],Table2[GameDate], "&lt;=" &amp; $A56, Table2[AwayTeam], Z$1)+SUMIFS(Table2[NewPointsHome],Table2[GameDate], "&lt;=" &amp; $A56, Table2[HomeTeam], Z$1)</f>
        <v>0</v>
      </c>
      <c r="AA56" s="145">
        <f>SUMIFS(Table2[NewPointsAway],Table2[GameDate], "&lt;=" &amp; $A56, Table2[AwayTeam], AA$1)+SUMIFS(Table2[NewPointsHome],Table2[GameDate], "&lt;=" &amp; $A56, Table2[HomeTeam], AA$1)</f>
        <v>0</v>
      </c>
      <c r="AB56" s="145">
        <f>SUMIFS(Table2[NewPointsAway],Table2[GameDate], "&lt;=" &amp; $A56, Table2[AwayTeam], AB$1)+SUMIFS(Table2[NewPointsHome],Table2[GameDate], "&lt;=" &amp; $A56, Table2[HomeTeam], AB$1)</f>
        <v>2</v>
      </c>
      <c r="AC56" s="145">
        <f>SUMIFS(Table2[NewPointsAway],Table2[GameDate], "&lt;=" &amp; $A56, Table2[AwayTeam], AC$1)+SUMIFS(Table2[NewPointsHome],Table2[GameDate], "&lt;=" &amp; $A56, Table2[HomeTeam], AC$1)</f>
        <v>0</v>
      </c>
      <c r="AD56" s="145">
        <f>SUMIFS(Table2[NewPointsAway],Table2[GameDate], "&lt;=" &amp; $A56, Table2[AwayTeam], AD$1)+SUMIFS(Table2[NewPointsHome],Table2[GameDate], "&lt;=" &amp; $A56, Table2[HomeTeam], AD$1)</f>
        <v>0</v>
      </c>
      <c r="AE56" s="145">
        <f>SUMIFS(Table2[NewPointsAway],Table2[GameDate], "&lt;=" &amp; $A56, Table2[AwayTeam], AE$1)+SUMIFS(Table2[NewPointsHome],Table2[GameDate], "&lt;=" &amp; $A56, Table2[HomeTeam], AE$1)</f>
        <v>1</v>
      </c>
      <c r="AF56" s="145">
        <f>SUMIFS(Table2[NewPointsAway],Table2[GameDate], "&lt;=" &amp; $A56, Table2[AwayTeam], AF$1)+SUMIFS(Table2[NewPointsHome],Table2[GameDate], "&lt;=" &amp; $A56, Table2[HomeTeam], AF$1)</f>
        <v>0</v>
      </c>
      <c r="AG56" s="145">
        <f>SUMIFS(Table2[NewPointsAway],Table2[GameDate], "&lt;=" &amp; $A56, Table2[AwayTeam], AG$1)+SUMIFS(Table2[NewPointsHome],Table2[GameDate], "&lt;=" &amp; $A56, Table2[HomeTeam], AG$1)</f>
        <v>0</v>
      </c>
    </row>
    <row r="57" spans="1:33" x14ac:dyDescent="0.25">
      <c r="A57" s="3">
        <v>45988</v>
      </c>
      <c r="B57" s="145">
        <f>SUMIFS(Table2[NewPointsAway],Table2[GameDate], "&lt;=" &amp; $A57, Table2[AwayTeam], B$1)+SUMIFS(Table2[NewPointsHome],Table2[GameDate], "&lt;=" &amp; $A57, Table2[HomeTeam], B$1)</f>
        <v>0</v>
      </c>
      <c r="C57" s="145">
        <f>SUMIFS(Table2[NewPointsAway],Table2[GameDate], "&lt;=" &amp; $A57, Table2[AwayTeam], C$1)+SUMIFS(Table2[NewPointsHome],Table2[GameDate], "&lt;=" &amp; $A57, Table2[HomeTeam], C$1)</f>
        <v>2</v>
      </c>
      <c r="D57" s="145">
        <f>SUMIFS(Table2[NewPointsAway],Table2[GameDate], "&lt;=" &amp; $A57, Table2[AwayTeam], D$1)+SUMIFS(Table2[NewPointsHome],Table2[GameDate], "&lt;=" &amp; $A57, Table2[HomeTeam], D$1)</f>
        <v>0</v>
      </c>
      <c r="E57" s="145">
        <f>SUMIFS(Table2[NewPointsAway],Table2[GameDate], "&lt;=" &amp; $A57, Table2[AwayTeam], E$1)+SUMIFS(Table2[NewPointsHome],Table2[GameDate], "&lt;=" &amp; $A57, Table2[HomeTeam], E$1)</f>
        <v>0</v>
      </c>
      <c r="F57" s="145">
        <f>SUMIFS(Table2[NewPointsAway],Table2[GameDate], "&lt;=" &amp; $A57, Table2[AwayTeam], F$1)+SUMIFS(Table2[NewPointsHome],Table2[GameDate], "&lt;=" &amp; $A57, Table2[HomeTeam], F$1)</f>
        <v>0</v>
      </c>
      <c r="G57" s="145">
        <f>SUMIFS(Table2[NewPointsAway],Table2[GameDate], "&lt;=" &amp; $A57, Table2[AwayTeam], G$1)+SUMIFS(Table2[NewPointsHome],Table2[GameDate], "&lt;=" &amp; $A57, Table2[HomeTeam], G$1)</f>
        <v>2</v>
      </c>
      <c r="H57" s="145">
        <f>SUMIFS(Table2[NewPointsAway],Table2[GameDate], "&lt;=" &amp; $A57, Table2[AwayTeam], H$1)+SUMIFS(Table2[NewPointsHome],Table2[GameDate], "&lt;=" &amp; $A57, Table2[HomeTeam], H$1)</f>
        <v>0</v>
      </c>
      <c r="I57" s="145">
        <f>SUMIFS(Table2[NewPointsAway],Table2[GameDate], "&lt;=" &amp; $A57, Table2[AwayTeam], I$1)+SUMIFS(Table2[NewPointsHome],Table2[GameDate], "&lt;=" &amp; $A57, Table2[HomeTeam], I$1)</f>
        <v>2</v>
      </c>
      <c r="J57" s="145">
        <f>SUMIFS(Table2[NewPointsAway],Table2[GameDate], "&lt;=" &amp; $A57, Table2[AwayTeam], J$1)+SUMIFS(Table2[NewPointsHome],Table2[GameDate], "&lt;=" &amp; $A57, Table2[HomeTeam], J$1)</f>
        <v>0</v>
      </c>
      <c r="K57" s="145">
        <f>SUMIFS(Table2[NewPointsAway],Table2[GameDate], "&lt;=" &amp; $A57, Table2[AwayTeam], K$1)+SUMIFS(Table2[NewPointsHome],Table2[GameDate], "&lt;=" &amp; $A57, Table2[HomeTeam], K$1)</f>
        <v>0</v>
      </c>
      <c r="L57" s="145">
        <f>SUMIFS(Table2[NewPointsAway],Table2[GameDate], "&lt;=" &amp; $A57, Table2[AwayTeam], L$1)+SUMIFS(Table2[NewPointsHome],Table2[GameDate], "&lt;=" &amp; $A57, Table2[HomeTeam], L$1)</f>
        <v>1</v>
      </c>
      <c r="M57" s="145">
        <f>SUMIFS(Table2[NewPointsAway],Table2[GameDate], "&lt;=" &amp; $A57, Table2[AwayTeam], M$1)+SUMIFS(Table2[NewPointsHome],Table2[GameDate], "&lt;=" &amp; $A57, Table2[HomeTeam], M$1)</f>
        <v>2</v>
      </c>
      <c r="N57" s="145">
        <f>SUMIFS(Table2[NewPointsAway],Table2[GameDate], "&lt;=" &amp; $A57, Table2[AwayTeam], N$1)+SUMIFS(Table2[NewPointsHome],Table2[GameDate], "&lt;=" &amp; $A57, Table2[HomeTeam], N$1)</f>
        <v>2</v>
      </c>
      <c r="O57" s="145">
        <f>SUMIFS(Table2[NewPointsAway],Table2[GameDate], "&lt;=" &amp; $A57, Table2[AwayTeam], O$1)+SUMIFS(Table2[NewPointsHome],Table2[GameDate], "&lt;=" &amp; $A57, Table2[HomeTeam], O$1)</f>
        <v>0</v>
      </c>
      <c r="P57" s="145">
        <f>SUMIFS(Table2[NewPointsAway],Table2[GameDate], "&lt;=" &amp; $A57, Table2[AwayTeam], P$1)+SUMIFS(Table2[NewPointsHome],Table2[GameDate], "&lt;=" &amp; $A57, Table2[HomeTeam], P$1)</f>
        <v>0</v>
      </c>
      <c r="Q57" s="145">
        <f>SUMIFS(Table2[NewPointsAway],Table2[GameDate], "&lt;=" &amp; $A57, Table2[AwayTeam], Q$1)+SUMIFS(Table2[NewPointsHome],Table2[GameDate], "&lt;=" &amp; $A57, Table2[HomeTeam], Q$1)</f>
        <v>0</v>
      </c>
      <c r="R57" s="145">
        <f>SUMIFS(Table2[NewPointsAway],Table2[GameDate], "&lt;=" &amp; $A57, Table2[AwayTeam], R$1)+SUMIFS(Table2[NewPointsHome],Table2[GameDate], "&lt;=" &amp; $A57, Table2[HomeTeam], R$1)</f>
        <v>0</v>
      </c>
      <c r="S57" s="145">
        <f>SUMIFS(Table2[NewPointsAway],Table2[GameDate], "&lt;=" &amp; $A57, Table2[AwayTeam], S$1)+SUMIFS(Table2[NewPointsHome],Table2[GameDate], "&lt;=" &amp; $A57, Table2[HomeTeam], S$1)</f>
        <v>0</v>
      </c>
      <c r="T57" s="145">
        <f>SUMIFS(Table2[NewPointsAway],Table2[GameDate], "&lt;=" &amp; $A57, Table2[AwayTeam], T$1)+SUMIFS(Table2[NewPointsHome],Table2[GameDate], "&lt;=" &amp; $A57, Table2[HomeTeam], T$1)</f>
        <v>0</v>
      </c>
      <c r="U57" s="145">
        <f>SUMIFS(Table2[NewPointsAway],Table2[GameDate], "&lt;=" &amp; $A57, Table2[AwayTeam], U$1)+SUMIFS(Table2[NewPointsHome],Table2[GameDate], "&lt;=" &amp; $A57, Table2[HomeTeam], U$1)</f>
        <v>0</v>
      </c>
      <c r="V57" s="145">
        <f>SUMIFS(Table2[NewPointsAway],Table2[GameDate], "&lt;=" &amp; $A57, Table2[AwayTeam], V$1)+SUMIFS(Table2[NewPointsHome],Table2[GameDate], "&lt;=" &amp; $A57, Table2[HomeTeam], V$1)</f>
        <v>0</v>
      </c>
      <c r="W57" s="145">
        <f>SUMIFS(Table2[NewPointsAway],Table2[GameDate], "&lt;=" &amp; $A57, Table2[AwayTeam], W$1)+SUMIFS(Table2[NewPointsHome],Table2[GameDate], "&lt;=" &amp; $A57, Table2[HomeTeam], W$1)</f>
        <v>2</v>
      </c>
      <c r="X57" s="145">
        <f>SUMIFS(Table2[NewPointsAway],Table2[GameDate], "&lt;=" &amp; $A57, Table2[AwayTeam], X$1)+SUMIFS(Table2[NewPointsHome],Table2[GameDate], "&lt;=" &amp; $A57, Table2[HomeTeam], X$1)</f>
        <v>0</v>
      </c>
      <c r="Y57" s="145">
        <f>SUMIFS(Table2[NewPointsAway],Table2[GameDate], "&lt;=" &amp; $A57, Table2[AwayTeam], Y$1)+SUMIFS(Table2[NewPointsHome],Table2[GameDate], "&lt;=" &amp; $A57, Table2[HomeTeam], Y$1)</f>
        <v>0</v>
      </c>
      <c r="Z57" s="145">
        <f>SUMIFS(Table2[NewPointsAway],Table2[GameDate], "&lt;=" &amp; $A57, Table2[AwayTeam], Z$1)+SUMIFS(Table2[NewPointsHome],Table2[GameDate], "&lt;=" &amp; $A57, Table2[HomeTeam], Z$1)</f>
        <v>0</v>
      </c>
      <c r="AA57" s="145">
        <f>SUMIFS(Table2[NewPointsAway],Table2[GameDate], "&lt;=" &amp; $A57, Table2[AwayTeam], AA$1)+SUMIFS(Table2[NewPointsHome],Table2[GameDate], "&lt;=" &amp; $A57, Table2[HomeTeam], AA$1)</f>
        <v>0</v>
      </c>
      <c r="AB57" s="145">
        <f>SUMIFS(Table2[NewPointsAway],Table2[GameDate], "&lt;=" &amp; $A57, Table2[AwayTeam], AB$1)+SUMIFS(Table2[NewPointsHome],Table2[GameDate], "&lt;=" &amp; $A57, Table2[HomeTeam], AB$1)</f>
        <v>2</v>
      </c>
      <c r="AC57" s="145">
        <f>SUMIFS(Table2[NewPointsAway],Table2[GameDate], "&lt;=" &amp; $A57, Table2[AwayTeam], AC$1)+SUMIFS(Table2[NewPointsHome],Table2[GameDate], "&lt;=" &amp; $A57, Table2[HomeTeam], AC$1)</f>
        <v>0</v>
      </c>
      <c r="AD57" s="145">
        <f>SUMIFS(Table2[NewPointsAway],Table2[GameDate], "&lt;=" &amp; $A57, Table2[AwayTeam], AD$1)+SUMIFS(Table2[NewPointsHome],Table2[GameDate], "&lt;=" &amp; $A57, Table2[HomeTeam], AD$1)</f>
        <v>0</v>
      </c>
      <c r="AE57" s="145">
        <f>SUMIFS(Table2[NewPointsAway],Table2[GameDate], "&lt;=" &amp; $A57, Table2[AwayTeam], AE$1)+SUMIFS(Table2[NewPointsHome],Table2[GameDate], "&lt;=" &amp; $A57, Table2[HomeTeam], AE$1)</f>
        <v>1</v>
      </c>
      <c r="AF57" s="145">
        <f>SUMIFS(Table2[NewPointsAway],Table2[GameDate], "&lt;=" &amp; $A57, Table2[AwayTeam], AF$1)+SUMIFS(Table2[NewPointsHome],Table2[GameDate], "&lt;=" &amp; $A57, Table2[HomeTeam], AF$1)</f>
        <v>0</v>
      </c>
      <c r="AG57" s="145">
        <f>SUMIFS(Table2[NewPointsAway],Table2[GameDate], "&lt;=" &amp; $A57, Table2[AwayTeam], AG$1)+SUMIFS(Table2[NewPointsHome],Table2[GameDate], "&lt;=" &amp; $A57, Table2[HomeTeam], AG$1)</f>
        <v>0</v>
      </c>
    </row>
    <row r="58" spans="1:33" x14ac:dyDescent="0.25">
      <c r="A58" s="3">
        <v>45989</v>
      </c>
      <c r="B58" s="145">
        <f>SUMIFS(Table2[NewPointsAway],Table2[GameDate], "&lt;=" &amp; $A58, Table2[AwayTeam], B$1)+SUMIFS(Table2[NewPointsHome],Table2[GameDate], "&lt;=" &amp; $A58, Table2[HomeTeam], B$1)</f>
        <v>0</v>
      </c>
      <c r="C58" s="145">
        <f>SUMIFS(Table2[NewPointsAway],Table2[GameDate], "&lt;=" &amp; $A58, Table2[AwayTeam], C$1)+SUMIFS(Table2[NewPointsHome],Table2[GameDate], "&lt;=" &amp; $A58, Table2[HomeTeam], C$1)</f>
        <v>2</v>
      </c>
      <c r="D58" s="145">
        <f>SUMIFS(Table2[NewPointsAway],Table2[GameDate], "&lt;=" &amp; $A58, Table2[AwayTeam], D$1)+SUMIFS(Table2[NewPointsHome],Table2[GameDate], "&lt;=" &amp; $A58, Table2[HomeTeam], D$1)</f>
        <v>0</v>
      </c>
      <c r="E58" s="145">
        <f>SUMIFS(Table2[NewPointsAway],Table2[GameDate], "&lt;=" &amp; $A58, Table2[AwayTeam], E$1)+SUMIFS(Table2[NewPointsHome],Table2[GameDate], "&lt;=" &amp; $A58, Table2[HomeTeam], E$1)</f>
        <v>0</v>
      </c>
      <c r="F58" s="145">
        <f>SUMIFS(Table2[NewPointsAway],Table2[GameDate], "&lt;=" &amp; $A58, Table2[AwayTeam], F$1)+SUMIFS(Table2[NewPointsHome],Table2[GameDate], "&lt;=" &amp; $A58, Table2[HomeTeam], F$1)</f>
        <v>0</v>
      </c>
      <c r="G58" s="145">
        <f>SUMIFS(Table2[NewPointsAway],Table2[GameDate], "&lt;=" &amp; $A58, Table2[AwayTeam], G$1)+SUMIFS(Table2[NewPointsHome],Table2[GameDate], "&lt;=" &amp; $A58, Table2[HomeTeam], G$1)</f>
        <v>2</v>
      </c>
      <c r="H58" s="145">
        <f>SUMIFS(Table2[NewPointsAway],Table2[GameDate], "&lt;=" &amp; $A58, Table2[AwayTeam], H$1)+SUMIFS(Table2[NewPointsHome],Table2[GameDate], "&lt;=" &amp; $A58, Table2[HomeTeam], H$1)</f>
        <v>0</v>
      </c>
      <c r="I58" s="145">
        <f>SUMIFS(Table2[NewPointsAway],Table2[GameDate], "&lt;=" &amp; $A58, Table2[AwayTeam], I$1)+SUMIFS(Table2[NewPointsHome],Table2[GameDate], "&lt;=" &amp; $A58, Table2[HomeTeam], I$1)</f>
        <v>2</v>
      </c>
      <c r="J58" s="145">
        <f>SUMIFS(Table2[NewPointsAway],Table2[GameDate], "&lt;=" &amp; $A58, Table2[AwayTeam], J$1)+SUMIFS(Table2[NewPointsHome],Table2[GameDate], "&lt;=" &amp; $A58, Table2[HomeTeam], J$1)</f>
        <v>0</v>
      </c>
      <c r="K58" s="145">
        <f>SUMIFS(Table2[NewPointsAway],Table2[GameDate], "&lt;=" &amp; $A58, Table2[AwayTeam], K$1)+SUMIFS(Table2[NewPointsHome],Table2[GameDate], "&lt;=" &amp; $A58, Table2[HomeTeam], K$1)</f>
        <v>0</v>
      </c>
      <c r="L58" s="145">
        <f>SUMIFS(Table2[NewPointsAway],Table2[GameDate], "&lt;=" &amp; $A58, Table2[AwayTeam], L$1)+SUMIFS(Table2[NewPointsHome],Table2[GameDate], "&lt;=" &amp; $A58, Table2[HomeTeam], L$1)</f>
        <v>1</v>
      </c>
      <c r="M58" s="145">
        <f>SUMIFS(Table2[NewPointsAway],Table2[GameDate], "&lt;=" &amp; $A58, Table2[AwayTeam], M$1)+SUMIFS(Table2[NewPointsHome],Table2[GameDate], "&lt;=" &amp; $A58, Table2[HomeTeam], M$1)</f>
        <v>2</v>
      </c>
      <c r="N58" s="145">
        <f>SUMIFS(Table2[NewPointsAway],Table2[GameDate], "&lt;=" &amp; $A58, Table2[AwayTeam], N$1)+SUMIFS(Table2[NewPointsHome],Table2[GameDate], "&lt;=" &amp; $A58, Table2[HomeTeam], N$1)</f>
        <v>2</v>
      </c>
      <c r="O58" s="145">
        <f>SUMIFS(Table2[NewPointsAway],Table2[GameDate], "&lt;=" &amp; $A58, Table2[AwayTeam], O$1)+SUMIFS(Table2[NewPointsHome],Table2[GameDate], "&lt;=" &amp; $A58, Table2[HomeTeam], O$1)</f>
        <v>0</v>
      </c>
      <c r="P58" s="145">
        <f>SUMIFS(Table2[NewPointsAway],Table2[GameDate], "&lt;=" &amp; $A58, Table2[AwayTeam], P$1)+SUMIFS(Table2[NewPointsHome],Table2[GameDate], "&lt;=" &amp; $A58, Table2[HomeTeam], P$1)</f>
        <v>0</v>
      </c>
      <c r="Q58" s="145">
        <f>SUMIFS(Table2[NewPointsAway],Table2[GameDate], "&lt;=" &amp; $A58, Table2[AwayTeam], Q$1)+SUMIFS(Table2[NewPointsHome],Table2[GameDate], "&lt;=" &amp; $A58, Table2[HomeTeam], Q$1)</f>
        <v>0</v>
      </c>
      <c r="R58" s="145">
        <f>SUMIFS(Table2[NewPointsAway],Table2[GameDate], "&lt;=" &amp; $A58, Table2[AwayTeam], R$1)+SUMIFS(Table2[NewPointsHome],Table2[GameDate], "&lt;=" &amp; $A58, Table2[HomeTeam], R$1)</f>
        <v>0</v>
      </c>
      <c r="S58" s="145">
        <f>SUMIFS(Table2[NewPointsAway],Table2[GameDate], "&lt;=" &amp; $A58, Table2[AwayTeam], S$1)+SUMIFS(Table2[NewPointsHome],Table2[GameDate], "&lt;=" &amp; $A58, Table2[HomeTeam], S$1)</f>
        <v>0</v>
      </c>
      <c r="T58" s="145">
        <f>SUMIFS(Table2[NewPointsAway],Table2[GameDate], "&lt;=" &amp; $A58, Table2[AwayTeam], T$1)+SUMIFS(Table2[NewPointsHome],Table2[GameDate], "&lt;=" &amp; $A58, Table2[HomeTeam], T$1)</f>
        <v>0</v>
      </c>
      <c r="U58" s="145">
        <f>SUMIFS(Table2[NewPointsAway],Table2[GameDate], "&lt;=" &amp; $A58, Table2[AwayTeam], U$1)+SUMIFS(Table2[NewPointsHome],Table2[GameDate], "&lt;=" &amp; $A58, Table2[HomeTeam], U$1)</f>
        <v>0</v>
      </c>
      <c r="V58" s="145">
        <f>SUMIFS(Table2[NewPointsAway],Table2[GameDate], "&lt;=" &amp; $A58, Table2[AwayTeam], V$1)+SUMIFS(Table2[NewPointsHome],Table2[GameDate], "&lt;=" &amp; $A58, Table2[HomeTeam], V$1)</f>
        <v>0</v>
      </c>
      <c r="W58" s="145">
        <f>SUMIFS(Table2[NewPointsAway],Table2[GameDate], "&lt;=" &amp; $A58, Table2[AwayTeam], W$1)+SUMIFS(Table2[NewPointsHome],Table2[GameDate], "&lt;=" &amp; $A58, Table2[HomeTeam], W$1)</f>
        <v>2</v>
      </c>
      <c r="X58" s="145">
        <f>SUMIFS(Table2[NewPointsAway],Table2[GameDate], "&lt;=" &amp; $A58, Table2[AwayTeam], X$1)+SUMIFS(Table2[NewPointsHome],Table2[GameDate], "&lt;=" &amp; $A58, Table2[HomeTeam], X$1)</f>
        <v>0</v>
      </c>
      <c r="Y58" s="145">
        <f>SUMIFS(Table2[NewPointsAway],Table2[GameDate], "&lt;=" &amp; $A58, Table2[AwayTeam], Y$1)+SUMIFS(Table2[NewPointsHome],Table2[GameDate], "&lt;=" &amp; $A58, Table2[HomeTeam], Y$1)</f>
        <v>0</v>
      </c>
      <c r="Z58" s="145">
        <f>SUMIFS(Table2[NewPointsAway],Table2[GameDate], "&lt;=" &amp; $A58, Table2[AwayTeam], Z$1)+SUMIFS(Table2[NewPointsHome],Table2[GameDate], "&lt;=" &amp; $A58, Table2[HomeTeam], Z$1)</f>
        <v>0</v>
      </c>
      <c r="AA58" s="145">
        <f>SUMIFS(Table2[NewPointsAway],Table2[GameDate], "&lt;=" &amp; $A58, Table2[AwayTeam], AA$1)+SUMIFS(Table2[NewPointsHome],Table2[GameDate], "&lt;=" &amp; $A58, Table2[HomeTeam], AA$1)</f>
        <v>0</v>
      </c>
      <c r="AB58" s="145">
        <f>SUMIFS(Table2[NewPointsAway],Table2[GameDate], "&lt;=" &amp; $A58, Table2[AwayTeam], AB$1)+SUMIFS(Table2[NewPointsHome],Table2[GameDate], "&lt;=" &amp; $A58, Table2[HomeTeam], AB$1)</f>
        <v>2</v>
      </c>
      <c r="AC58" s="145">
        <f>SUMIFS(Table2[NewPointsAway],Table2[GameDate], "&lt;=" &amp; $A58, Table2[AwayTeam], AC$1)+SUMIFS(Table2[NewPointsHome],Table2[GameDate], "&lt;=" &amp; $A58, Table2[HomeTeam], AC$1)</f>
        <v>0</v>
      </c>
      <c r="AD58" s="145">
        <f>SUMIFS(Table2[NewPointsAway],Table2[GameDate], "&lt;=" &amp; $A58, Table2[AwayTeam], AD$1)+SUMIFS(Table2[NewPointsHome],Table2[GameDate], "&lt;=" &amp; $A58, Table2[HomeTeam], AD$1)</f>
        <v>0</v>
      </c>
      <c r="AE58" s="145">
        <f>SUMIFS(Table2[NewPointsAway],Table2[GameDate], "&lt;=" &amp; $A58, Table2[AwayTeam], AE$1)+SUMIFS(Table2[NewPointsHome],Table2[GameDate], "&lt;=" &amp; $A58, Table2[HomeTeam], AE$1)</f>
        <v>1</v>
      </c>
      <c r="AF58" s="145">
        <f>SUMIFS(Table2[NewPointsAway],Table2[GameDate], "&lt;=" &amp; $A58, Table2[AwayTeam], AF$1)+SUMIFS(Table2[NewPointsHome],Table2[GameDate], "&lt;=" &amp; $A58, Table2[HomeTeam], AF$1)</f>
        <v>0</v>
      </c>
      <c r="AG58" s="145">
        <f>SUMIFS(Table2[NewPointsAway],Table2[GameDate], "&lt;=" &amp; $A58, Table2[AwayTeam], AG$1)+SUMIFS(Table2[NewPointsHome],Table2[GameDate], "&lt;=" &amp; $A58, Table2[HomeTeam], AG$1)</f>
        <v>0</v>
      </c>
    </row>
    <row r="59" spans="1:33" x14ac:dyDescent="0.25">
      <c r="A59" s="3">
        <v>45990</v>
      </c>
      <c r="B59" s="145">
        <f>SUMIFS(Table2[NewPointsAway],Table2[GameDate], "&lt;=" &amp; $A59, Table2[AwayTeam], B$1)+SUMIFS(Table2[NewPointsHome],Table2[GameDate], "&lt;=" &amp; $A59, Table2[HomeTeam], B$1)</f>
        <v>0</v>
      </c>
      <c r="C59" s="145">
        <f>SUMIFS(Table2[NewPointsAway],Table2[GameDate], "&lt;=" &amp; $A59, Table2[AwayTeam], C$1)+SUMIFS(Table2[NewPointsHome],Table2[GameDate], "&lt;=" &amp; $A59, Table2[HomeTeam], C$1)</f>
        <v>2</v>
      </c>
      <c r="D59" s="145">
        <f>SUMIFS(Table2[NewPointsAway],Table2[GameDate], "&lt;=" &amp; $A59, Table2[AwayTeam], D$1)+SUMIFS(Table2[NewPointsHome],Table2[GameDate], "&lt;=" &amp; $A59, Table2[HomeTeam], D$1)</f>
        <v>0</v>
      </c>
      <c r="E59" s="145">
        <f>SUMIFS(Table2[NewPointsAway],Table2[GameDate], "&lt;=" &amp; $A59, Table2[AwayTeam], E$1)+SUMIFS(Table2[NewPointsHome],Table2[GameDate], "&lt;=" &amp; $A59, Table2[HomeTeam], E$1)</f>
        <v>0</v>
      </c>
      <c r="F59" s="145">
        <f>SUMIFS(Table2[NewPointsAway],Table2[GameDate], "&lt;=" &amp; $A59, Table2[AwayTeam], F$1)+SUMIFS(Table2[NewPointsHome],Table2[GameDate], "&lt;=" &amp; $A59, Table2[HomeTeam], F$1)</f>
        <v>0</v>
      </c>
      <c r="G59" s="145">
        <f>SUMIFS(Table2[NewPointsAway],Table2[GameDate], "&lt;=" &amp; $A59, Table2[AwayTeam], G$1)+SUMIFS(Table2[NewPointsHome],Table2[GameDate], "&lt;=" &amp; $A59, Table2[HomeTeam], G$1)</f>
        <v>2</v>
      </c>
      <c r="H59" s="145">
        <f>SUMIFS(Table2[NewPointsAway],Table2[GameDate], "&lt;=" &amp; $A59, Table2[AwayTeam], H$1)+SUMIFS(Table2[NewPointsHome],Table2[GameDate], "&lt;=" &amp; $A59, Table2[HomeTeam], H$1)</f>
        <v>0</v>
      </c>
      <c r="I59" s="145">
        <f>SUMIFS(Table2[NewPointsAway],Table2[GameDate], "&lt;=" &amp; $A59, Table2[AwayTeam], I$1)+SUMIFS(Table2[NewPointsHome],Table2[GameDate], "&lt;=" &amp; $A59, Table2[HomeTeam], I$1)</f>
        <v>2</v>
      </c>
      <c r="J59" s="145">
        <f>SUMIFS(Table2[NewPointsAway],Table2[GameDate], "&lt;=" &amp; $A59, Table2[AwayTeam], J$1)+SUMIFS(Table2[NewPointsHome],Table2[GameDate], "&lt;=" &amp; $A59, Table2[HomeTeam], J$1)</f>
        <v>0</v>
      </c>
      <c r="K59" s="145">
        <f>SUMIFS(Table2[NewPointsAway],Table2[GameDate], "&lt;=" &amp; $A59, Table2[AwayTeam], K$1)+SUMIFS(Table2[NewPointsHome],Table2[GameDate], "&lt;=" &amp; $A59, Table2[HomeTeam], K$1)</f>
        <v>0</v>
      </c>
      <c r="L59" s="145">
        <f>SUMIFS(Table2[NewPointsAway],Table2[GameDate], "&lt;=" &amp; $A59, Table2[AwayTeam], L$1)+SUMIFS(Table2[NewPointsHome],Table2[GameDate], "&lt;=" &amp; $A59, Table2[HomeTeam], L$1)</f>
        <v>1</v>
      </c>
      <c r="M59" s="145">
        <f>SUMIFS(Table2[NewPointsAway],Table2[GameDate], "&lt;=" &amp; $A59, Table2[AwayTeam], M$1)+SUMIFS(Table2[NewPointsHome],Table2[GameDate], "&lt;=" &amp; $A59, Table2[HomeTeam], M$1)</f>
        <v>2</v>
      </c>
      <c r="N59" s="145">
        <f>SUMIFS(Table2[NewPointsAway],Table2[GameDate], "&lt;=" &amp; $A59, Table2[AwayTeam], N$1)+SUMIFS(Table2[NewPointsHome],Table2[GameDate], "&lt;=" &amp; $A59, Table2[HomeTeam], N$1)</f>
        <v>2</v>
      </c>
      <c r="O59" s="145">
        <f>SUMIFS(Table2[NewPointsAway],Table2[GameDate], "&lt;=" &amp; $A59, Table2[AwayTeam], O$1)+SUMIFS(Table2[NewPointsHome],Table2[GameDate], "&lt;=" &amp; $A59, Table2[HomeTeam], O$1)</f>
        <v>0</v>
      </c>
      <c r="P59" s="145">
        <f>SUMIFS(Table2[NewPointsAway],Table2[GameDate], "&lt;=" &amp; $A59, Table2[AwayTeam], P$1)+SUMIFS(Table2[NewPointsHome],Table2[GameDate], "&lt;=" &amp; $A59, Table2[HomeTeam], P$1)</f>
        <v>0</v>
      </c>
      <c r="Q59" s="145">
        <f>SUMIFS(Table2[NewPointsAway],Table2[GameDate], "&lt;=" &amp; $A59, Table2[AwayTeam], Q$1)+SUMIFS(Table2[NewPointsHome],Table2[GameDate], "&lt;=" &amp; $A59, Table2[HomeTeam], Q$1)</f>
        <v>0</v>
      </c>
      <c r="R59" s="145">
        <f>SUMIFS(Table2[NewPointsAway],Table2[GameDate], "&lt;=" &amp; $A59, Table2[AwayTeam], R$1)+SUMIFS(Table2[NewPointsHome],Table2[GameDate], "&lt;=" &amp; $A59, Table2[HomeTeam], R$1)</f>
        <v>0</v>
      </c>
      <c r="S59" s="145">
        <f>SUMIFS(Table2[NewPointsAway],Table2[GameDate], "&lt;=" &amp; $A59, Table2[AwayTeam], S$1)+SUMIFS(Table2[NewPointsHome],Table2[GameDate], "&lt;=" &amp; $A59, Table2[HomeTeam], S$1)</f>
        <v>0</v>
      </c>
      <c r="T59" s="145">
        <f>SUMIFS(Table2[NewPointsAway],Table2[GameDate], "&lt;=" &amp; $A59, Table2[AwayTeam], T$1)+SUMIFS(Table2[NewPointsHome],Table2[GameDate], "&lt;=" &amp; $A59, Table2[HomeTeam], T$1)</f>
        <v>0</v>
      </c>
      <c r="U59" s="145">
        <f>SUMIFS(Table2[NewPointsAway],Table2[GameDate], "&lt;=" &amp; $A59, Table2[AwayTeam], U$1)+SUMIFS(Table2[NewPointsHome],Table2[GameDate], "&lt;=" &amp; $A59, Table2[HomeTeam], U$1)</f>
        <v>0</v>
      </c>
      <c r="V59" s="145">
        <f>SUMIFS(Table2[NewPointsAway],Table2[GameDate], "&lt;=" &amp; $A59, Table2[AwayTeam], V$1)+SUMIFS(Table2[NewPointsHome],Table2[GameDate], "&lt;=" &amp; $A59, Table2[HomeTeam], V$1)</f>
        <v>0</v>
      </c>
      <c r="W59" s="145">
        <f>SUMIFS(Table2[NewPointsAway],Table2[GameDate], "&lt;=" &amp; $A59, Table2[AwayTeam], W$1)+SUMIFS(Table2[NewPointsHome],Table2[GameDate], "&lt;=" &amp; $A59, Table2[HomeTeam], W$1)</f>
        <v>2</v>
      </c>
      <c r="X59" s="145">
        <f>SUMIFS(Table2[NewPointsAway],Table2[GameDate], "&lt;=" &amp; $A59, Table2[AwayTeam], X$1)+SUMIFS(Table2[NewPointsHome],Table2[GameDate], "&lt;=" &amp; $A59, Table2[HomeTeam], X$1)</f>
        <v>0</v>
      </c>
      <c r="Y59" s="145">
        <f>SUMIFS(Table2[NewPointsAway],Table2[GameDate], "&lt;=" &amp; $A59, Table2[AwayTeam], Y$1)+SUMIFS(Table2[NewPointsHome],Table2[GameDate], "&lt;=" &amp; $A59, Table2[HomeTeam], Y$1)</f>
        <v>0</v>
      </c>
      <c r="Z59" s="145">
        <f>SUMIFS(Table2[NewPointsAway],Table2[GameDate], "&lt;=" &amp; $A59, Table2[AwayTeam], Z$1)+SUMIFS(Table2[NewPointsHome],Table2[GameDate], "&lt;=" &amp; $A59, Table2[HomeTeam], Z$1)</f>
        <v>0</v>
      </c>
      <c r="AA59" s="145">
        <f>SUMIFS(Table2[NewPointsAway],Table2[GameDate], "&lt;=" &amp; $A59, Table2[AwayTeam], AA$1)+SUMIFS(Table2[NewPointsHome],Table2[GameDate], "&lt;=" &amp; $A59, Table2[HomeTeam], AA$1)</f>
        <v>0</v>
      </c>
      <c r="AB59" s="145">
        <f>SUMIFS(Table2[NewPointsAway],Table2[GameDate], "&lt;=" &amp; $A59, Table2[AwayTeam], AB$1)+SUMIFS(Table2[NewPointsHome],Table2[GameDate], "&lt;=" &amp; $A59, Table2[HomeTeam], AB$1)</f>
        <v>2</v>
      </c>
      <c r="AC59" s="145">
        <f>SUMIFS(Table2[NewPointsAway],Table2[GameDate], "&lt;=" &amp; $A59, Table2[AwayTeam], AC$1)+SUMIFS(Table2[NewPointsHome],Table2[GameDate], "&lt;=" &amp; $A59, Table2[HomeTeam], AC$1)</f>
        <v>0</v>
      </c>
      <c r="AD59" s="145">
        <f>SUMIFS(Table2[NewPointsAway],Table2[GameDate], "&lt;=" &amp; $A59, Table2[AwayTeam], AD$1)+SUMIFS(Table2[NewPointsHome],Table2[GameDate], "&lt;=" &amp; $A59, Table2[HomeTeam], AD$1)</f>
        <v>0</v>
      </c>
      <c r="AE59" s="145">
        <f>SUMIFS(Table2[NewPointsAway],Table2[GameDate], "&lt;=" &amp; $A59, Table2[AwayTeam], AE$1)+SUMIFS(Table2[NewPointsHome],Table2[GameDate], "&lt;=" &amp; $A59, Table2[HomeTeam], AE$1)</f>
        <v>1</v>
      </c>
      <c r="AF59" s="145">
        <f>SUMIFS(Table2[NewPointsAway],Table2[GameDate], "&lt;=" &amp; $A59, Table2[AwayTeam], AF$1)+SUMIFS(Table2[NewPointsHome],Table2[GameDate], "&lt;=" &amp; $A59, Table2[HomeTeam], AF$1)</f>
        <v>0</v>
      </c>
      <c r="AG59" s="145">
        <f>SUMIFS(Table2[NewPointsAway],Table2[GameDate], "&lt;=" &amp; $A59, Table2[AwayTeam], AG$1)+SUMIFS(Table2[NewPointsHome],Table2[GameDate], "&lt;=" &amp; $A59, Table2[HomeTeam], AG$1)</f>
        <v>0</v>
      </c>
    </row>
    <row r="60" spans="1:33" x14ac:dyDescent="0.25">
      <c r="A60" s="3">
        <v>45991</v>
      </c>
      <c r="B60" s="145">
        <f>SUMIFS(Table2[NewPointsAway],Table2[GameDate], "&lt;=" &amp; $A60, Table2[AwayTeam], B$1)+SUMIFS(Table2[NewPointsHome],Table2[GameDate], "&lt;=" &amp; $A60, Table2[HomeTeam], B$1)</f>
        <v>0</v>
      </c>
      <c r="C60" s="145">
        <f>SUMIFS(Table2[NewPointsAway],Table2[GameDate], "&lt;=" &amp; $A60, Table2[AwayTeam], C$1)+SUMIFS(Table2[NewPointsHome],Table2[GameDate], "&lt;=" &amp; $A60, Table2[HomeTeam], C$1)</f>
        <v>2</v>
      </c>
      <c r="D60" s="145">
        <f>SUMIFS(Table2[NewPointsAway],Table2[GameDate], "&lt;=" &amp; $A60, Table2[AwayTeam], D$1)+SUMIFS(Table2[NewPointsHome],Table2[GameDate], "&lt;=" &amp; $A60, Table2[HomeTeam], D$1)</f>
        <v>0</v>
      </c>
      <c r="E60" s="145">
        <f>SUMIFS(Table2[NewPointsAway],Table2[GameDate], "&lt;=" &amp; $A60, Table2[AwayTeam], E$1)+SUMIFS(Table2[NewPointsHome],Table2[GameDate], "&lt;=" &amp; $A60, Table2[HomeTeam], E$1)</f>
        <v>0</v>
      </c>
      <c r="F60" s="145">
        <f>SUMIFS(Table2[NewPointsAway],Table2[GameDate], "&lt;=" &amp; $A60, Table2[AwayTeam], F$1)+SUMIFS(Table2[NewPointsHome],Table2[GameDate], "&lt;=" &amp; $A60, Table2[HomeTeam], F$1)</f>
        <v>0</v>
      </c>
      <c r="G60" s="145">
        <f>SUMIFS(Table2[NewPointsAway],Table2[GameDate], "&lt;=" &amp; $A60, Table2[AwayTeam], G$1)+SUMIFS(Table2[NewPointsHome],Table2[GameDate], "&lt;=" &amp; $A60, Table2[HomeTeam], G$1)</f>
        <v>2</v>
      </c>
      <c r="H60" s="145">
        <f>SUMIFS(Table2[NewPointsAway],Table2[GameDate], "&lt;=" &amp; $A60, Table2[AwayTeam], H$1)+SUMIFS(Table2[NewPointsHome],Table2[GameDate], "&lt;=" &amp; $A60, Table2[HomeTeam], H$1)</f>
        <v>0</v>
      </c>
      <c r="I60" s="145">
        <f>SUMIFS(Table2[NewPointsAway],Table2[GameDate], "&lt;=" &amp; $A60, Table2[AwayTeam], I$1)+SUMIFS(Table2[NewPointsHome],Table2[GameDate], "&lt;=" &amp; $A60, Table2[HomeTeam], I$1)</f>
        <v>2</v>
      </c>
      <c r="J60" s="145">
        <f>SUMIFS(Table2[NewPointsAway],Table2[GameDate], "&lt;=" &amp; $A60, Table2[AwayTeam], J$1)+SUMIFS(Table2[NewPointsHome],Table2[GameDate], "&lt;=" &amp; $A60, Table2[HomeTeam], J$1)</f>
        <v>0</v>
      </c>
      <c r="K60" s="145">
        <f>SUMIFS(Table2[NewPointsAway],Table2[GameDate], "&lt;=" &amp; $A60, Table2[AwayTeam], K$1)+SUMIFS(Table2[NewPointsHome],Table2[GameDate], "&lt;=" &amp; $A60, Table2[HomeTeam], K$1)</f>
        <v>0</v>
      </c>
      <c r="L60" s="145">
        <f>SUMIFS(Table2[NewPointsAway],Table2[GameDate], "&lt;=" &amp; $A60, Table2[AwayTeam], L$1)+SUMIFS(Table2[NewPointsHome],Table2[GameDate], "&lt;=" &amp; $A60, Table2[HomeTeam], L$1)</f>
        <v>1</v>
      </c>
      <c r="M60" s="145">
        <f>SUMIFS(Table2[NewPointsAway],Table2[GameDate], "&lt;=" &amp; $A60, Table2[AwayTeam], M$1)+SUMIFS(Table2[NewPointsHome],Table2[GameDate], "&lt;=" &amp; $A60, Table2[HomeTeam], M$1)</f>
        <v>2</v>
      </c>
      <c r="N60" s="145">
        <f>SUMIFS(Table2[NewPointsAway],Table2[GameDate], "&lt;=" &amp; $A60, Table2[AwayTeam], N$1)+SUMIFS(Table2[NewPointsHome],Table2[GameDate], "&lt;=" &amp; $A60, Table2[HomeTeam], N$1)</f>
        <v>2</v>
      </c>
      <c r="O60" s="145">
        <f>SUMIFS(Table2[NewPointsAway],Table2[GameDate], "&lt;=" &amp; $A60, Table2[AwayTeam], O$1)+SUMIFS(Table2[NewPointsHome],Table2[GameDate], "&lt;=" &amp; $A60, Table2[HomeTeam], O$1)</f>
        <v>0</v>
      </c>
      <c r="P60" s="145">
        <f>SUMIFS(Table2[NewPointsAway],Table2[GameDate], "&lt;=" &amp; $A60, Table2[AwayTeam], P$1)+SUMIFS(Table2[NewPointsHome],Table2[GameDate], "&lt;=" &amp; $A60, Table2[HomeTeam], P$1)</f>
        <v>0</v>
      </c>
      <c r="Q60" s="145">
        <f>SUMIFS(Table2[NewPointsAway],Table2[GameDate], "&lt;=" &amp; $A60, Table2[AwayTeam], Q$1)+SUMIFS(Table2[NewPointsHome],Table2[GameDate], "&lt;=" &amp; $A60, Table2[HomeTeam], Q$1)</f>
        <v>0</v>
      </c>
      <c r="R60" s="145">
        <f>SUMIFS(Table2[NewPointsAway],Table2[GameDate], "&lt;=" &amp; $A60, Table2[AwayTeam], R$1)+SUMIFS(Table2[NewPointsHome],Table2[GameDate], "&lt;=" &amp; $A60, Table2[HomeTeam], R$1)</f>
        <v>0</v>
      </c>
      <c r="S60" s="145">
        <f>SUMIFS(Table2[NewPointsAway],Table2[GameDate], "&lt;=" &amp; $A60, Table2[AwayTeam], S$1)+SUMIFS(Table2[NewPointsHome],Table2[GameDate], "&lt;=" &amp; $A60, Table2[HomeTeam], S$1)</f>
        <v>0</v>
      </c>
      <c r="T60" s="145">
        <f>SUMIFS(Table2[NewPointsAway],Table2[GameDate], "&lt;=" &amp; $A60, Table2[AwayTeam], T$1)+SUMIFS(Table2[NewPointsHome],Table2[GameDate], "&lt;=" &amp; $A60, Table2[HomeTeam], T$1)</f>
        <v>0</v>
      </c>
      <c r="U60" s="145">
        <f>SUMIFS(Table2[NewPointsAway],Table2[GameDate], "&lt;=" &amp; $A60, Table2[AwayTeam], U$1)+SUMIFS(Table2[NewPointsHome],Table2[GameDate], "&lt;=" &amp; $A60, Table2[HomeTeam], U$1)</f>
        <v>0</v>
      </c>
      <c r="V60" s="145">
        <f>SUMIFS(Table2[NewPointsAway],Table2[GameDate], "&lt;=" &amp; $A60, Table2[AwayTeam], V$1)+SUMIFS(Table2[NewPointsHome],Table2[GameDate], "&lt;=" &amp; $A60, Table2[HomeTeam], V$1)</f>
        <v>0</v>
      </c>
      <c r="W60" s="145">
        <f>SUMIFS(Table2[NewPointsAway],Table2[GameDate], "&lt;=" &amp; $A60, Table2[AwayTeam], W$1)+SUMIFS(Table2[NewPointsHome],Table2[GameDate], "&lt;=" &amp; $A60, Table2[HomeTeam], W$1)</f>
        <v>2</v>
      </c>
      <c r="X60" s="145">
        <f>SUMIFS(Table2[NewPointsAway],Table2[GameDate], "&lt;=" &amp; $A60, Table2[AwayTeam], X$1)+SUMIFS(Table2[NewPointsHome],Table2[GameDate], "&lt;=" &amp; $A60, Table2[HomeTeam], X$1)</f>
        <v>0</v>
      </c>
      <c r="Y60" s="145">
        <f>SUMIFS(Table2[NewPointsAway],Table2[GameDate], "&lt;=" &amp; $A60, Table2[AwayTeam], Y$1)+SUMIFS(Table2[NewPointsHome],Table2[GameDate], "&lt;=" &amp; $A60, Table2[HomeTeam], Y$1)</f>
        <v>0</v>
      </c>
      <c r="Z60" s="145">
        <f>SUMIFS(Table2[NewPointsAway],Table2[GameDate], "&lt;=" &amp; $A60, Table2[AwayTeam], Z$1)+SUMIFS(Table2[NewPointsHome],Table2[GameDate], "&lt;=" &amp; $A60, Table2[HomeTeam], Z$1)</f>
        <v>0</v>
      </c>
      <c r="AA60" s="145">
        <f>SUMIFS(Table2[NewPointsAway],Table2[GameDate], "&lt;=" &amp; $A60, Table2[AwayTeam], AA$1)+SUMIFS(Table2[NewPointsHome],Table2[GameDate], "&lt;=" &amp; $A60, Table2[HomeTeam], AA$1)</f>
        <v>0</v>
      </c>
      <c r="AB60" s="145">
        <f>SUMIFS(Table2[NewPointsAway],Table2[GameDate], "&lt;=" &amp; $A60, Table2[AwayTeam], AB$1)+SUMIFS(Table2[NewPointsHome],Table2[GameDate], "&lt;=" &amp; $A60, Table2[HomeTeam], AB$1)</f>
        <v>2</v>
      </c>
      <c r="AC60" s="145">
        <f>SUMIFS(Table2[NewPointsAway],Table2[GameDate], "&lt;=" &amp; $A60, Table2[AwayTeam], AC$1)+SUMIFS(Table2[NewPointsHome],Table2[GameDate], "&lt;=" &amp; $A60, Table2[HomeTeam], AC$1)</f>
        <v>0</v>
      </c>
      <c r="AD60" s="145">
        <f>SUMIFS(Table2[NewPointsAway],Table2[GameDate], "&lt;=" &amp; $A60, Table2[AwayTeam], AD$1)+SUMIFS(Table2[NewPointsHome],Table2[GameDate], "&lt;=" &amp; $A60, Table2[HomeTeam], AD$1)</f>
        <v>0</v>
      </c>
      <c r="AE60" s="145">
        <f>SUMIFS(Table2[NewPointsAway],Table2[GameDate], "&lt;=" &amp; $A60, Table2[AwayTeam], AE$1)+SUMIFS(Table2[NewPointsHome],Table2[GameDate], "&lt;=" &amp; $A60, Table2[HomeTeam], AE$1)</f>
        <v>1</v>
      </c>
      <c r="AF60" s="145">
        <f>SUMIFS(Table2[NewPointsAway],Table2[GameDate], "&lt;=" &amp; $A60, Table2[AwayTeam], AF$1)+SUMIFS(Table2[NewPointsHome],Table2[GameDate], "&lt;=" &amp; $A60, Table2[HomeTeam], AF$1)</f>
        <v>0</v>
      </c>
      <c r="AG60" s="145">
        <f>SUMIFS(Table2[NewPointsAway],Table2[GameDate], "&lt;=" &amp; $A60, Table2[AwayTeam], AG$1)+SUMIFS(Table2[NewPointsHome],Table2[GameDate], "&lt;=" &amp; $A60, Table2[HomeTeam], AG$1)</f>
        <v>0</v>
      </c>
    </row>
    <row r="61" spans="1:33" x14ac:dyDescent="0.25">
      <c r="A61" s="3">
        <v>45992</v>
      </c>
      <c r="B61" s="145">
        <f>SUMIFS(Table2[NewPointsAway],Table2[GameDate], "&lt;=" &amp; $A61, Table2[AwayTeam], B$1)+SUMIFS(Table2[NewPointsHome],Table2[GameDate], "&lt;=" &amp; $A61, Table2[HomeTeam], B$1)</f>
        <v>0</v>
      </c>
      <c r="C61" s="145">
        <f>SUMIFS(Table2[NewPointsAway],Table2[GameDate], "&lt;=" &amp; $A61, Table2[AwayTeam], C$1)+SUMIFS(Table2[NewPointsHome],Table2[GameDate], "&lt;=" &amp; $A61, Table2[HomeTeam], C$1)</f>
        <v>2</v>
      </c>
      <c r="D61" s="145">
        <f>SUMIFS(Table2[NewPointsAway],Table2[GameDate], "&lt;=" &amp; $A61, Table2[AwayTeam], D$1)+SUMIFS(Table2[NewPointsHome],Table2[GameDate], "&lt;=" &amp; $A61, Table2[HomeTeam], D$1)</f>
        <v>0</v>
      </c>
      <c r="E61" s="145">
        <f>SUMIFS(Table2[NewPointsAway],Table2[GameDate], "&lt;=" &amp; $A61, Table2[AwayTeam], E$1)+SUMIFS(Table2[NewPointsHome],Table2[GameDate], "&lt;=" &amp; $A61, Table2[HomeTeam], E$1)</f>
        <v>0</v>
      </c>
      <c r="F61" s="145">
        <f>SUMIFS(Table2[NewPointsAway],Table2[GameDate], "&lt;=" &amp; $A61, Table2[AwayTeam], F$1)+SUMIFS(Table2[NewPointsHome],Table2[GameDate], "&lt;=" &amp; $A61, Table2[HomeTeam], F$1)</f>
        <v>0</v>
      </c>
      <c r="G61" s="145">
        <f>SUMIFS(Table2[NewPointsAway],Table2[GameDate], "&lt;=" &amp; $A61, Table2[AwayTeam], G$1)+SUMIFS(Table2[NewPointsHome],Table2[GameDate], "&lt;=" &amp; $A61, Table2[HomeTeam], G$1)</f>
        <v>2</v>
      </c>
      <c r="H61" s="145">
        <f>SUMIFS(Table2[NewPointsAway],Table2[GameDate], "&lt;=" &amp; $A61, Table2[AwayTeam], H$1)+SUMIFS(Table2[NewPointsHome],Table2[GameDate], "&lt;=" &amp; $A61, Table2[HomeTeam], H$1)</f>
        <v>0</v>
      </c>
      <c r="I61" s="145">
        <f>SUMIFS(Table2[NewPointsAway],Table2[GameDate], "&lt;=" &amp; $A61, Table2[AwayTeam], I$1)+SUMIFS(Table2[NewPointsHome],Table2[GameDate], "&lt;=" &amp; $A61, Table2[HomeTeam], I$1)</f>
        <v>2</v>
      </c>
      <c r="J61" s="145">
        <f>SUMIFS(Table2[NewPointsAway],Table2[GameDate], "&lt;=" &amp; $A61, Table2[AwayTeam], J$1)+SUMIFS(Table2[NewPointsHome],Table2[GameDate], "&lt;=" &amp; $A61, Table2[HomeTeam], J$1)</f>
        <v>0</v>
      </c>
      <c r="K61" s="145">
        <f>SUMIFS(Table2[NewPointsAway],Table2[GameDate], "&lt;=" &amp; $A61, Table2[AwayTeam], K$1)+SUMIFS(Table2[NewPointsHome],Table2[GameDate], "&lt;=" &amp; $A61, Table2[HomeTeam], K$1)</f>
        <v>0</v>
      </c>
      <c r="L61" s="145">
        <f>SUMIFS(Table2[NewPointsAway],Table2[GameDate], "&lt;=" &amp; $A61, Table2[AwayTeam], L$1)+SUMIFS(Table2[NewPointsHome],Table2[GameDate], "&lt;=" &amp; $A61, Table2[HomeTeam], L$1)</f>
        <v>1</v>
      </c>
      <c r="M61" s="145">
        <f>SUMIFS(Table2[NewPointsAway],Table2[GameDate], "&lt;=" &amp; $A61, Table2[AwayTeam], M$1)+SUMIFS(Table2[NewPointsHome],Table2[GameDate], "&lt;=" &amp; $A61, Table2[HomeTeam], M$1)</f>
        <v>2</v>
      </c>
      <c r="N61" s="145">
        <f>SUMIFS(Table2[NewPointsAway],Table2[GameDate], "&lt;=" &amp; $A61, Table2[AwayTeam], N$1)+SUMIFS(Table2[NewPointsHome],Table2[GameDate], "&lt;=" &amp; $A61, Table2[HomeTeam], N$1)</f>
        <v>2</v>
      </c>
      <c r="O61" s="145">
        <f>SUMIFS(Table2[NewPointsAway],Table2[GameDate], "&lt;=" &amp; $A61, Table2[AwayTeam], O$1)+SUMIFS(Table2[NewPointsHome],Table2[GameDate], "&lt;=" &amp; $A61, Table2[HomeTeam], O$1)</f>
        <v>0</v>
      </c>
      <c r="P61" s="145">
        <f>SUMIFS(Table2[NewPointsAway],Table2[GameDate], "&lt;=" &amp; $A61, Table2[AwayTeam], P$1)+SUMIFS(Table2[NewPointsHome],Table2[GameDate], "&lt;=" &amp; $A61, Table2[HomeTeam], P$1)</f>
        <v>0</v>
      </c>
      <c r="Q61" s="145">
        <f>SUMIFS(Table2[NewPointsAway],Table2[GameDate], "&lt;=" &amp; $A61, Table2[AwayTeam], Q$1)+SUMIFS(Table2[NewPointsHome],Table2[GameDate], "&lt;=" &amp; $A61, Table2[HomeTeam], Q$1)</f>
        <v>0</v>
      </c>
      <c r="R61" s="145">
        <f>SUMIFS(Table2[NewPointsAway],Table2[GameDate], "&lt;=" &amp; $A61, Table2[AwayTeam], R$1)+SUMIFS(Table2[NewPointsHome],Table2[GameDate], "&lt;=" &amp; $A61, Table2[HomeTeam], R$1)</f>
        <v>0</v>
      </c>
      <c r="S61" s="145">
        <f>SUMIFS(Table2[NewPointsAway],Table2[GameDate], "&lt;=" &amp; $A61, Table2[AwayTeam], S$1)+SUMIFS(Table2[NewPointsHome],Table2[GameDate], "&lt;=" &amp; $A61, Table2[HomeTeam], S$1)</f>
        <v>0</v>
      </c>
      <c r="T61" s="145">
        <f>SUMIFS(Table2[NewPointsAway],Table2[GameDate], "&lt;=" &amp; $A61, Table2[AwayTeam], T$1)+SUMIFS(Table2[NewPointsHome],Table2[GameDate], "&lt;=" &amp; $A61, Table2[HomeTeam], T$1)</f>
        <v>0</v>
      </c>
      <c r="U61" s="145">
        <f>SUMIFS(Table2[NewPointsAway],Table2[GameDate], "&lt;=" &amp; $A61, Table2[AwayTeam], U$1)+SUMIFS(Table2[NewPointsHome],Table2[GameDate], "&lt;=" &amp; $A61, Table2[HomeTeam], U$1)</f>
        <v>0</v>
      </c>
      <c r="V61" s="145">
        <f>SUMIFS(Table2[NewPointsAway],Table2[GameDate], "&lt;=" &amp; $A61, Table2[AwayTeam], V$1)+SUMIFS(Table2[NewPointsHome],Table2[GameDate], "&lt;=" &amp; $A61, Table2[HomeTeam], V$1)</f>
        <v>0</v>
      </c>
      <c r="W61" s="145">
        <f>SUMIFS(Table2[NewPointsAway],Table2[GameDate], "&lt;=" &amp; $A61, Table2[AwayTeam], W$1)+SUMIFS(Table2[NewPointsHome],Table2[GameDate], "&lt;=" &amp; $A61, Table2[HomeTeam], W$1)</f>
        <v>2</v>
      </c>
      <c r="X61" s="145">
        <f>SUMIFS(Table2[NewPointsAway],Table2[GameDate], "&lt;=" &amp; $A61, Table2[AwayTeam], X$1)+SUMIFS(Table2[NewPointsHome],Table2[GameDate], "&lt;=" &amp; $A61, Table2[HomeTeam], X$1)</f>
        <v>0</v>
      </c>
      <c r="Y61" s="145">
        <f>SUMIFS(Table2[NewPointsAway],Table2[GameDate], "&lt;=" &amp; $A61, Table2[AwayTeam], Y$1)+SUMIFS(Table2[NewPointsHome],Table2[GameDate], "&lt;=" &amp; $A61, Table2[HomeTeam], Y$1)</f>
        <v>0</v>
      </c>
      <c r="Z61" s="145">
        <f>SUMIFS(Table2[NewPointsAway],Table2[GameDate], "&lt;=" &amp; $A61, Table2[AwayTeam], Z$1)+SUMIFS(Table2[NewPointsHome],Table2[GameDate], "&lt;=" &amp; $A61, Table2[HomeTeam], Z$1)</f>
        <v>0</v>
      </c>
      <c r="AA61" s="145">
        <f>SUMIFS(Table2[NewPointsAway],Table2[GameDate], "&lt;=" &amp; $A61, Table2[AwayTeam], AA$1)+SUMIFS(Table2[NewPointsHome],Table2[GameDate], "&lt;=" &amp; $A61, Table2[HomeTeam], AA$1)</f>
        <v>0</v>
      </c>
      <c r="AB61" s="145">
        <f>SUMIFS(Table2[NewPointsAway],Table2[GameDate], "&lt;=" &amp; $A61, Table2[AwayTeam], AB$1)+SUMIFS(Table2[NewPointsHome],Table2[GameDate], "&lt;=" &amp; $A61, Table2[HomeTeam], AB$1)</f>
        <v>2</v>
      </c>
      <c r="AC61" s="145">
        <f>SUMIFS(Table2[NewPointsAway],Table2[GameDate], "&lt;=" &amp; $A61, Table2[AwayTeam], AC$1)+SUMIFS(Table2[NewPointsHome],Table2[GameDate], "&lt;=" &amp; $A61, Table2[HomeTeam], AC$1)</f>
        <v>0</v>
      </c>
      <c r="AD61" s="145">
        <f>SUMIFS(Table2[NewPointsAway],Table2[GameDate], "&lt;=" &amp; $A61, Table2[AwayTeam], AD$1)+SUMIFS(Table2[NewPointsHome],Table2[GameDate], "&lt;=" &amp; $A61, Table2[HomeTeam], AD$1)</f>
        <v>0</v>
      </c>
      <c r="AE61" s="145">
        <f>SUMIFS(Table2[NewPointsAway],Table2[GameDate], "&lt;=" &amp; $A61, Table2[AwayTeam], AE$1)+SUMIFS(Table2[NewPointsHome],Table2[GameDate], "&lt;=" &amp; $A61, Table2[HomeTeam], AE$1)</f>
        <v>1</v>
      </c>
      <c r="AF61" s="145">
        <f>SUMIFS(Table2[NewPointsAway],Table2[GameDate], "&lt;=" &amp; $A61, Table2[AwayTeam], AF$1)+SUMIFS(Table2[NewPointsHome],Table2[GameDate], "&lt;=" &amp; $A61, Table2[HomeTeam], AF$1)</f>
        <v>0</v>
      </c>
      <c r="AG61" s="145">
        <f>SUMIFS(Table2[NewPointsAway],Table2[GameDate], "&lt;=" &amp; $A61, Table2[AwayTeam], AG$1)+SUMIFS(Table2[NewPointsHome],Table2[GameDate], "&lt;=" &amp; $A61, Table2[HomeTeam], AG$1)</f>
        <v>0</v>
      </c>
    </row>
    <row r="62" spans="1:33" x14ac:dyDescent="0.25">
      <c r="A62" s="3">
        <v>45993</v>
      </c>
      <c r="B62" s="145">
        <f>SUMIFS(Table2[NewPointsAway],Table2[GameDate], "&lt;=" &amp; $A62, Table2[AwayTeam], B$1)+SUMIFS(Table2[NewPointsHome],Table2[GameDate], "&lt;=" &amp; $A62, Table2[HomeTeam], B$1)</f>
        <v>0</v>
      </c>
      <c r="C62" s="145">
        <f>SUMIFS(Table2[NewPointsAway],Table2[GameDate], "&lt;=" &amp; $A62, Table2[AwayTeam], C$1)+SUMIFS(Table2[NewPointsHome],Table2[GameDate], "&lt;=" &amp; $A62, Table2[HomeTeam], C$1)</f>
        <v>2</v>
      </c>
      <c r="D62" s="145">
        <f>SUMIFS(Table2[NewPointsAway],Table2[GameDate], "&lt;=" &amp; $A62, Table2[AwayTeam], D$1)+SUMIFS(Table2[NewPointsHome],Table2[GameDate], "&lt;=" &amp; $A62, Table2[HomeTeam], D$1)</f>
        <v>0</v>
      </c>
      <c r="E62" s="145">
        <f>SUMIFS(Table2[NewPointsAway],Table2[GameDate], "&lt;=" &amp; $A62, Table2[AwayTeam], E$1)+SUMIFS(Table2[NewPointsHome],Table2[GameDate], "&lt;=" &amp; $A62, Table2[HomeTeam], E$1)</f>
        <v>0</v>
      </c>
      <c r="F62" s="145">
        <f>SUMIFS(Table2[NewPointsAway],Table2[GameDate], "&lt;=" &amp; $A62, Table2[AwayTeam], F$1)+SUMIFS(Table2[NewPointsHome],Table2[GameDate], "&lt;=" &amp; $A62, Table2[HomeTeam], F$1)</f>
        <v>0</v>
      </c>
      <c r="G62" s="145">
        <f>SUMIFS(Table2[NewPointsAway],Table2[GameDate], "&lt;=" &amp; $A62, Table2[AwayTeam], G$1)+SUMIFS(Table2[NewPointsHome],Table2[GameDate], "&lt;=" &amp; $A62, Table2[HomeTeam], G$1)</f>
        <v>2</v>
      </c>
      <c r="H62" s="145">
        <f>SUMIFS(Table2[NewPointsAway],Table2[GameDate], "&lt;=" &amp; $A62, Table2[AwayTeam], H$1)+SUMIFS(Table2[NewPointsHome],Table2[GameDate], "&lt;=" &amp; $A62, Table2[HomeTeam], H$1)</f>
        <v>0</v>
      </c>
      <c r="I62" s="145">
        <f>SUMIFS(Table2[NewPointsAway],Table2[GameDate], "&lt;=" &amp; $A62, Table2[AwayTeam], I$1)+SUMIFS(Table2[NewPointsHome],Table2[GameDate], "&lt;=" &amp; $A62, Table2[HomeTeam], I$1)</f>
        <v>2</v>
      </c>
      <c r="J62" s="145">
        <f>SUMIFS(Table2[NewPointsAway],Table2[GameDate], "&lt;=" &amp; $A62, Table2[AwayTeam], J$1)+SUMIFS(Table2[NewPointsHome],Table2[GameDate], "&lt;=" &amp; $A62, Table2[HomeTeam], J$1)</f>
        <v>0</v>
      </c>
      <c r="K62" s="145">
        <f>SUMIFS(Table2[NewPointsAway],Table2[GameDate], "&lt;=" &amp; $A62, Table2[AwayTeam], K$1)+SUMIFS(Table2[NewPointsHome],Table2[GameDate], "&lt;=" &amp; $A62, Table2[HomeTeam], K$1)</f>
        <v>0</v>
      </c>
      <c r="L62" s="145">
        <f>SUMIFS(Table2[NewPointsAway],Table2[GameDate], "&lt;=" &amp; $A62, Table2[AwayTeam], L$1)+SUMIFS(Table2[NewPointsHome],Table2[GameDate], "&lt;=" &amp; $A62, Table2[HomeTeam], L$1)</f>
        <v>1</v>
      </c>
      <c r="M62" s="145">
        <f>SUMIFS(Table2[NewPointsAway],Table2[GameDate], "&lt;=" &amp; $A62, Table2[AwayTeam], M$1)+SUMIFS(Table2[NewPointsHome],Table2[GameDate], "&lt;=" &amp; $A62, Table2[HomeTeam], M$1)</f>
        <v>2</v>
      </c>
      <c r="N62" s="145">
        <f>SUMIFS(Table2[NewPointsAway],Table2[GameDate], "&lt;=" &amp; $A62, Table2[AwayTeam], N$1)+SUMIFS(Table2[NewPointsHome],Table2[GameDate], "&lt;=" &amp; $A62, Table2[HomeTeam], N$1)</f>
        <v>2</v>
      </c>
      <c r="O62" s="145">
        <f>SUMIFS(Table2[NewPointsAway],Table2[GameDate], "&lt;=" &amp; $A62, Table2[AwayTeam], O$1)+SUMIFS(Table2[NewPointsHome],Table2[GameDate], "&lt;=" &amp; $A62, Table2[HomeTeam], O$1)</f>
        <v>0</v>
      </c>
      <c r="P62" s="145">
        <f>SUMIFS(Table2[NewPointsAway],Table2[GameDate], "&lt;=" &amp; $A62, Table2[AwayTeam], P$1)+SUMIFS(Table2[NewPointsHome],Table2[GameDate], "&lt;=" &amp; $A62, Table2[HomeTeam], P$1)</f>
        <v>0</v>
      </c>
      <c r="Q62" s="145">
        <f>SUMIFS(Table2[NewPointsAway],Table2[GameDate], "&lt;=" &amp; $A62, Table2[AwayTeam], Q$1)+SUMIFS(Table2[NewPointsHome],Table2[GameDate], "&lt;=" &amp; $A62, Table2[HomeTeam], Q$1)</f>
        <v>0</v>
      </c>
      <c r="R62" s="145">
        <f>SUMIFS(Table2[NewPointsAway],Table2[GameDate], "&lt;=" &amp; $A62, Table2[AwayTeam], R$1)+SUMIFS(Table2[NewPointsHome],Table2[GameDate], "&lt;=" &amp; $A62, Table2[HomeTeam], R$1)</f>
        <v>0</v>
      </c>
      <c r="S62" s="145">
        <f>SUMIFS(Table2[NewPointsAway],Table2[GameDate], "&lt;=" &amp; $A62, Table2[AwayTeam], S$1)+SUMIFS(Table2[NewPointsHome],Table2[GameDate], "&lt;=" &amp; $A62, Table2[HomeTeam], S$1)</f>
        <v>0</v>
      </c>
      <c r="T62" s="145">
        <f>SUMIFS(Table2[NewPointsAway],Table2[GameDate], "&lt;=" &amp; $A62, Table2[AwayTeam], T$1)+SUMIFS(Table2[NewPointsHome],Table2[GameDate], "&lt;=" &amp; $A62, Table2[HomeTeam], T$1)</f>
        <v>0</v>
      </c>
      <c r="U62" s="145">
        <f>SUMIFS(Table2[NewPointsAway],Table2[GameDate], "&lt;=" &amp; $A62, Table2[AwayTeam], U$1)+SUMIFS(Table2[NewPointsHome],Table2[GameDate], "&lt;=" &amp; $A62, Table2[HomeTeam], U$1)</f>
        <v>0</v>
      </c>
      <c r="V62" s="145">
        <f>SUMIFS(Table2[NewPointsAway],Table2[GameDate], "&lt;=" &amp; $A62, Table2[AwayTeam], V$1)+SUMIFS(Table2[NewPointsHome],Table2[GameDate], "&lt;=" &amp; $A62, Table2[HomeTeam], V$1)</f>
        <v>0</v>
      </c>
      <c r="W62" s="145">
        <f>SUMIFS(Table2[NewPointsAway],Table2[GameDate], "&lt;=" &amp; $A62, Table2[AwayTeam], W$1)+SUMIFS(Table2[NewPointsHome],Table2[GameDate], "&lt;=" &amp; $A62, Table2[HomeTeam], W$1)</f>
        <v>2</v>
      </c>
      <c r="X62" s="145">
        <f>SUMIFS(Table2[NewPointsAway],Table2[GameDate], "&lt;=" &amp; $A62, Table2[AwayTeam], X$1)+SUMIFS(Table2[NewPointsHome],Table2[GameDate], "&lt;=" &amp; $A62, Table2[HomeTeam], X$1)</f>
        <v>0</v>
      </c>
      <c r="Y62" s="145">
        <f>SUMIFS(Table2[NewPointsAway],Table2[GameDate], "&lt;=" &amp; $A62, Table2[AwayTeam], Y$1)+SUMIFS(Table2[NewPointsHome],Table2[GameDate], "&lt;=" &amp; $A62, Table2[HomeTeam], Y$1)</f>
        <v>0</v>
      </c>
      <c r="Z62" s="145">
        <f>SUMIFS(Table2[NewPointsAway],Table2[GameDate], "&lt;=" &amp; $A62, Table2[AwayTeam], Z$1)+SUMIFS(Table2[NewPointsHome],Table2[GameDate], "&lt;=" &amp; $A62, Table2[HomeTeam], Z$1)</f>
        <v>0</v>
      </c>
      <c r="AA62" s="145">
        <f>SUMIFS(Table2[NewPointsAway],Table2[GameDate], "&lt;=" &amp; $A62, Table2[AwayTeam], AA$1)+SUMIFS(Table2[NewPointsHome],Table2[GameDate], "&lt;=" &amp; $A62, Table2[HomeTeam], AA$1)</f>
        <v>0</v>
      </c>
      <c r="AB62" s="145">
        <f>SUMIFS(Table2[NewPointsAway],Table2[GameDate], "&lt;=" &amp; $A62, Table2[AwayTeam], AB$1)+SUMIFS(Table2[NewPointsHome],Table2[GameDate], "&lt;=" &amp; $A62, Table2[HomeTeam], AB$1)</f>
        <v>2</v>
      </c>
      <c r="AC62" s="145">
        <f>SUMIFS(Table2[NewPointsAway],Table2[GameDate], "&lt;=" &amp; $A62, Table2[AwayTeam], AC$1)+SUMIFS(Table2[NewPointsHome],Table2[GameDate], "&lt;=" &amp; $A62, Table2[HomeTeam], AC$1)</f>
        <v>0</v>
      </c>
      <c r="AD62" s="145">
        <f>SUMIFS(Table2[NewPointsAway],Table2[GameDate], "&lt;=" &amp; $A62, Table2[AwayTeam], AD$1)+SUMIFS(Table2[NewPointsHome],Table2[GameDate], "&lt;=" &amp; $A62, Table2[HomeTeam], AD$1)</f>
        <v>0</v>
      </c>
      <c r="AE62" s="145">
        <f>SUMIFS(Table2[NewPointsAway],Table2[GameDate], "&lt;=" &amp; $A62, Table2[AwayTeam], AE$1)+SUMIFS(Table2[NewPointsHome],Table2[GameDate], "&lt;=" &amp; $A62, Table2[HomeTeam], AE$1)</f>
        <v>1</v>
      </c>
      <c r="AF62" s="145">
        <f>SUMIFS(Table2[NewPointsAway],Table2[GameDate], "&lt;=" &amp; $A62, Table2[AwayTeam], AF$1)+SUMIFS(Table2[NewPointsHome],Table2[GameDate], "&lt;=" &amp; $A62, Table2[HomeTeam], AF$1)</f>
        <v>0</v>
      </c>
      <c r="AG62" s="145">
        <f>SUMIFS(Table2[NewPointsAway],Table2[GameDate], "&lt;=" &amp; $A62, Table2[AwayTeam], AG$1)+SUMIFS(Table2[NewPointsHome],Table2[GameDate], "&lt;=" &amp; $A62, Table2[HomeTeam], AG$1)</f>
        <v>0</v>
      </c>
    </row>
    <row r="63" spans="1:33" x14ac:dyDescent="0.25">
      <c r="A63" s="3">
        <v>45994</v>
      </c>
      <c r="B63" s="145">
        <f>SUMIFS(Table2[NewPointsAway],Table2[GameDate], "&lt;=" &amp; $A63, Table2[AwayTeam], B$1)+SUMIFS(Table2[NewPointsHome],Table2[GameDate], "&lt;=" &amp; $A63, Table2[HomeTeam], B$1)</f>
        <v>0</v>
      </c>
      <c r="C63" s="145">
        <f>SUMIFS(Table2[NewPointsAway],Table2[GameDate], "&lt;=" &amp; $A63, Table2[AwayTeam], C$1)+SUMIFS(Table2[NewPointsHome],Table2[GameDate], "&lt;=" &amp; $A63, Table2[HomeTeam], C$1)</f>
        <v>2</v>
      </c>
      <c r="D63" s="145">
        <f>SUMIFS(Table2[NewPointsAway],Table2[GameDate], "&lt;=" &amp; $A63, Table2[AwayTeam], D$1)+SUMIFS(Table2[NewPointsHome],Table2[GameDate], "&lt;=" &amp; $A63, Table2[HomeTeam], D$1)</f>
        <v>0</v>
      </c>
      <c r="E63" s="145">
        <f>SUMIFS(Table2[NewPointsAway],Table2[GameDate], "&lt;=" &amp; $A63, Table2[AwayTeam], E$1)+SUMIFS(Table2[NewPointsHome],Table2[GameDate], "&lt;=" &amp; $A63, Table2[HomeTeam], E$1)</f>
        <v>0</v>
      </c>
      <c r="F63" s="145">
        <f>SUMIFS(Table2[NewPointsAway],Table2[GameDate], "&lt;=" &amp; $A63, Table2[AwayTeam], F$1)+SUMIFS(Table2[NewPointsHome],Table2[GameDate], "&lt;=" &amp; $A63, Table2[HomeTeam], F$1)</f>
        <v>0</v>
      </c>
      <c r="G63" s="145">
        <f>SUMIFS(Table2[NewPointsAway],Table2[GameDate], "&lt;=" &amp; $A63, Table2[AwayTeam], G$1)+SUMIFS(Table2[NewPointsHome],Table2[GameDate], "&lt;=" &amp; $A63, Table2[HomeTeam], G$1)</f>
        <v>2</v>
      </c>
      <c r="H63" s="145">
        <f>SUMIFS(Table2[NewPointsAway],Table2[GameDate], "&lt;=" &amp; $A63, Table2[AwayTeam], H$1)+SUMIFS(Table2[NewPointsHome],Table2[GameDate], "&lt;=" &amp; $A63, Table2[HomeTeam], H$1)</f>
        <v>0</v>
      </c>
      <c r="I63" s="145">
        <f>SUMIFS(Table2[NewPointsAway],Table2[GameDate], "&lt;=" &amp; $A63, Table2[AwayTeam], I$1)+SUMIFS(Table2[NewPointsHome],Table2[GameDate], "&lt;=" &amp; $A63, Table2[HomeTeam], I$1)</f>
        <v>2</v>
      </c>
      <c r="J63" s="145">
        <f>SUMIFS(Table2[NewPointsAway],Table2[GameDate], "&lt;=" &amp; $A63, Table2[AwayTeam], J$1)+SUMIFS(Table2[NewPointsHome],Table2[GameDate], "&lt;=" &amp; $A63, Table2[HomeTeam], J$1)</f>
        <v>0</v>
      </c>
      <c r="K63" s="145">
        <f>SUMIFS(Table2[NewPointsAway],Table2[GameDate], "&lt;=" &amp; $A63, Table2[AwayTeam], K$1)+SUMIFS(Table2[NewPointsHome],Table2[GameDate], "&lt;=" &amp; $A63, Table2[HomeTeam], K$1)</f>
        <v>0</v>
      </c>
      <c r="L63" s="145">
        <f>SUMIFS(Table2[NewPointsAway],Table2[GameDate], "&lt;=" &amp; $A63, Table2[AwayTeam], L$1)+SUMIFS(Table2[NewPointsHome],Table2[GameDate], "&lt;=" &amp; $A63, Table2[HomeTeam], L$1)</f>
        <v>1</v>
      </c>
      <c r="M63" s="145">
        <f>SUMIFS(Table2[NewPointsAway],Table2[GameDate], "&lt;=" &amp; $A63, Table2[AwayTeam], M$1)+SUMIFS(Table2[NewPointsHome],Table2[GameDate], "&lt;=" &amp; $A63, Table2[HomeTeam], M$1)</f>
        <v>2</v>
      </c>
      <c r="N63" s="145">
        <f>SUMIFS(Table2[NewPointsAway],Table2[GameDate], "&lt;=" &amp; $A63, Table2[AwayTeam], N$1)+SUMIFS(Table2[NewPointsHome],Table2[GameDate], "&lt;=" &amp; $A63, Table2[HomeTeam], N$1)</f>
        <v>2</v>
      </c>
      <c r="O63" s="145">
        <f>SUMIFS(Table2[NewPointsAway],Table2[GameDate], "&lt;=" &amp; $A63, Table2[AwayTeam], O$1)+SUMIFS(Table2[NewPointsHome],Table2[GameDate], "&lt;=" &amp; $A63, Table2[HomeTeam], O$1)</f>
        <v>0</v>
      </c>
      <c r="P63" s="145">
        <f>SUMIFS(Table2[NewPointsAway],Table2[GameDate], "&lt;=" &amp; $A63, Table2[AwayTeam], P$1)+SUMIFS(Table2[NewPointsHome],Table2[GameDate], "&lt;=" &amp; $A63, Table2[HomeTeam], P$1)</f>
        <v>0</v>
      </c>
      <c r="Q63" s="145">
        <f>SUMIFS(Table2[NewPointsAway],Table2[GameDate], "&lt;=" &amp; $A63, Table2[AwayTeam], Q$1)+SUMIFS(Table2[NewPointsHome],Table2[GameDate], "&lt;=" &amp; $A63, Table2[HomeTeam], Q$1)</f>
        <v>0</v>
      </c>
      <c r="R63" s="145">
        <f>SUMIFS(Table2[NewPointsAway],Table2[GameDate], "&lt;=" &amp; $A63, Table2[AwayTeam], R$1)+SUMIFS(Table2[NewPointsHome],Table2[GameDate], "&lt;=" &amp; $A63, Table2[HomeTeam], R$1)</f>
        <v>0</v>
      </c>
      <c r="S63" s="145">
        <f>SUMIFS(Table2[NewPointsAway],Table2[GameDate], "&lt;=" &amp; $A63, Table2[AwayTeam], S$1)+SUMIFS(Table2[NewPointsHome],Table2[GameDate], "&lt;=" &amp; $A63, Table2[HomeTeam], S$1)</f>
        <v>0</v>
      </c>
      <c r="T63" s="145">
        <f>SUMIFS(Table2[NewPointsAway],Table2[GameDate], "&lt;=" &amp; $A63, Table2[AwayTeam], T$1)+SUMIFS(Table2[NewPointsHome],Table2[GameDate], "&lt;=" &amp; $A63, Table2[HomeTeam], T$1)</f>
        <v>0</v>
      </c>
      <c r="U63" s="145">
        <f>SUMIFS(Table2[NewPointsAway],Table2[GameDate], "&lt;=" &amp; $A63, Table2[AwayTeam], U$1)+SUMIFS(Table2[NewPointsHome],Table2[GameDate], "&lt;=" &amp; $A63, Table2[HomeTeam], U$1)</f>
        <v>0</v>
      </c>
      <c r="V63" s="145">
        <f>SUMIFS(Table2[NewPointsAway],Table2[GameDate], "&lt;=" &amp; $A63, Table2[AwayTeam], V$1)+SUMIFS(Table2[NewPointsHome],Table2[GameDate], "&lt;=" &amp; $A63, Table2[HomeTeam], V$1)</f>
        <v>0</v>
      </c>
      <c r="W63" s="145">
        <f>SUMIFS(Table2[NewPointsAway],Table2[GameDate], "&lt;=" &amp; $A63, Table2[AwayTeam], W$1)+SUMIFS(Table2[NewPointsHome],Table2[GameDate], "&lt;=" &amp; $A63, Table2[HomeTeam], W$1)</f>
        <v>2</v>
      </c>
      <c r="X63" s="145">
        <f>SUMIFS(Table2[NewPointsAway],Table2[GameDate], "&lt;=" &amp; $A63, Table2[AwayTeam], X$1)+SUMIFS(Table2[NewPointsHome],Table2[GameDate], "&lt;=" &amp; $A63, Table2[HomeTeam], X$1)</f>
        <v>0</v>
      </c>
      <c r="Y63" s="145">
        <f>SUMIFS(Table2[NewPointsAway],Table2[GameDate], "&lt;=" &amp; $A63, Table2[AwayTeam], Y$1)+SUMIFS(Table2[NewPointsHome],Table2[GameDate], "&lt;=" &amp; $A63, Table2[HomeTeam], Y$1)</f>
        <v>0</v>
      </c>
      <c r="Z63" s="145">
        <f>SUMIFS(Table2[NewPointsAway],Table2[GameDate], "&lt;=" &amp; $A63, Table2[AwayTeam], Z$1)+SUMIFS(Table2[NewPointsHome],Table2[GameDate], "&lt;=" &amp; $A63, Table2[HomeTeam], Z$1)</f>
        <v>0</v>
      </c>
      <c r="AA63" s="145">
        <f>SUMIFS(Table2[NewPointsAway],Table2[GameDate], "&lt;=" &amp; $A63, Table2[AwayTeam], AA$1)+SUMIFS(Table2[NewPointsHome],Table2[GameDate], "&lt;=" &amp; $A63, Table2[HomeTeam], AA$1)</f>
        <v>0</v>
      </c>
      <c r="AB63" s="145">
        <f>SUMIFS(Table2[NewPointsAway],Table2[GameDate], "&lt;=" &amp; $A63, Table2[AwayTeam], AB$1)+SUMIFS(Table2[NewPointsHome],Table2[GameDate], "&lt;=" &amp; $A63, Table2[HomeTeam], AB$1)</f>
        <v>2</v>
      </c>
      <c r="AC63" s="145">
        <f>SUMIFS(Table2[NewPointsAway],Table2[GameDate], "&lt;=" &amp; $A63, Table2[AwayTeam], AC$1)+SUMIFS(Table2[NewPointsHome],Table2[GameDate], "&lt;=" &amp; $A63, Table2[HomeTeam], AC$1)</f>
        <v>0</v>
      </c>
      <c r="AD63" s="145">
        <f>SUMIFS(Table2[NewPointsAway],Table2[GameDate], "&lt;=" &amp; $A63, Table2[AwayTeam], AD$1)+SUMIFS(Table2[NewPointsHome],Table2[GameDate], "&lt;=" &amp; $A63, Table2[HomeTeam], AD$1)</f>
        <v>0</v>
      </c>
      <c r="AE63" s="145">
        <f>SUMIFS(Table2[NewPointsAway],Table2[GameDate], "&lt;=" &amp; $A63, Table2[AwayTeam], AE$1)+SUMIFS(Table2[NewPointsHome],Table2[GameDate], "&lt;=" &amp; $A63, Table2[HomeTeam], AE$1)</f>
        <v>1</v>
      </c>
      <c r="AF63" s="145">
        <f>SUMIFS(Table2[NewPointsAway],Table2[GameDate], "&lt;=" &amp; $A63, Table2[AwayTeam], AF$1)+SUMIFS(Table2[NewPointsHome],Table2[GameDate], "&lt;=" &amp; $A63, Table2[HomeTeam], AF$1)</f>
        <v>0</v>
      </c>
      <c r="AG63" s="145">
        <f>SUMIFS(Table2[NewPointsAway],Table2[GameDate], "&lt;=" &amp; $A63, Table2[AwayTeam], AG$1)+SUMIFS(Table2[NewPointsHome],Table2[GameDate], "&lt;=" &amp; $A63, Table2[HomeTeam], AG$1)</f>
        <v>0</v>
      </c>
    </row>
    <row r="64" spans="1:33" x14ac:dyDescent="0.25">
      <c r="A64" s="3">
        <v>45995</v>
      </c>
      <c r="B64" s="145">
        <f>SUMIFS(Table2[NewPointsAway],Table2[GameDate], "&lt;=" &amp; $A64, Table2[AwayTeam], B$1)+SUMIFS(Table2[NewPointsHome],Table2[GameDate], "&lt;=" &amp; $A64, Table2[HomeTeam], B$1)</f>
        <v>0</v>
      </c>
      <c r="C64" s="145">
        <f>SUMIFS(Table2[NewPointsAway],Table2[GameDate], "&lt;=" &amp; $A64, Table2[AwayTeam], C$1)+SUMIFS(Table2[NewPointsHome],Table2[GameDate], "&lt;=" &amp; $A64, Table2[HomeTeam], C$1)</f>
        <v>2</v>
      </c>
      <c r="D64" s="145">
        <f>SUMIFS(Table2[NewPointsAway],Table2[GameDate], "&lt;=" &amp; $A64, Table2[AwayTeam], D$1)+SUMIFS(Table2[NewPointsHome],Table2[GameDate], "&lt;=" &amp; $A64, Table2[HomeTeam], D$1)</f>
        <v>0</v>
      </c>
      <c r="E64" s="145">
        <f>SUMIFS(Table2[NewPointsAway],Table2[GameDate], "&lt;=" &amp; $A64, Table2[AwayTeam], E$1)+SUMIFS(Table2[NewPointsHome],Table2[GameDate], "&lt;=" &amp; $A64, Table2[HomeTeam], E$1)</f>
        <v>0</v>
      </c>
      <c r="F64" s="145">
        <f>SUMIFS(Table2[NewPointsAway],Table2[GameDate], "&lt;=" &amp; $A64, Table2[AwayTeam], F$1)+SUMIFS(Table2[NewPointsHome],Table2[GameDate], "&lt;=" &amp; $A64, Table2[HomeTeam], F$1)</f>
        <v>0</v>
      </c>
      <c r="G64" s="145">
        <f>SUMIFS(Table2[NewPointsAway],Table2[GameDate], "&lt;=" &amp; $A64, Table2[AwayTeam], G$1)+SUMIFS(Table2[NewPointsHome],Table2[GameDate], "&lt;=" &amp; $A64, Table2[HomeTeam], G$1)</f>
        <v>2</v>
      </c>
      <c r="H64" s="145">
        <f>SUMIFS(Table2[NewPointsAway],Table2[GameDate], "&lt;=" &amp; $A64, Table2[AwayTeam], H$1)+SUMIFS(Table2[NewPointsHome],Table2[GameDate], "&lt;=" &amp; $A64, Table2[HomeTeam], H$1)</f>
        <v>0</v>
      </c>
      <c r="I64" s="145">
        <f>SUMIFS(Table2[NewPointsAway],Table2[GameDate], "&lt;=" &amp; $A64, Table2[AwayTeam], I$1)+SUMIFS(Table2[NewPointsHome],Table2[GameDate], "&lt;=" &amp; $A64, Table2[HomeTeam], I$1)</f>
        <v>2</v>
      </c>
      <c r="J64" s="145">
        <f>SUMIFS(Table2[NewPointsAway],Table2[GameDate], "&lt;=" &amp; $A64, Table2[AwayTeam], J$1)+SUMIFS(Table2[NewPointsHome],Table2[GameDate], "&lt;=" &amp; $A64, Table2[HomeTeam], J$1)</f>
        <v>0</v>
      </c>
      <c r="K64" s="145">
        <f>SUMIFS(Table2[NewPointsAway],Table2[GameDate], "&lt;=" &amp; $A64, Table2[AwayTeam], K$1)+SUMIFS(Table2[NewPointsHome],Table2[GameDate], "&lt;=" &amp; $A64, Table2[HomeTeam], K$1)</f>
        <v>0</v>
      </c>
      <c r="L64" s="145">
        <f>SUMIFS(Table2[NewPointsAway],Table2[GameDate], "&lt;=" &amp; $A64, Table2[AwayTeam], L$1)+SUMIFS(Table2[NewPointsHome],Table2[GameDate], "&lt;=" &amp; $A64, Table2[HomeTeam], L$1)</f>
        <v>1</v>
      </c>
      <c r="M64" s="145">
        <f>SUMIFS(Table2[NewPointsAway],Table2[GameDate], "&lt;=" &amp; $A64, Table2[AwayTeam], M$1)+SUMIFS(Table2[NewPointsHome],Table2[GameDate], "&lt;=" &amp; $A64, Table2[HomeTeam], M$1)</f>
        <v>2</v>
      </c>
      <c r="N64" s="145">
        <f>SUMIFS(Table2[NewPointsAway],Table2[GameDate], "&lt;=" &amp; $A64, Table2[AwayTeam], N$1)+SUMIFS(Table2[NewPointsHome],Table2[GameDate], "&lt;=" &amp; $A64, Table2[HomeTeam], N$1)</f>
        <v>2</v>
      </c>
      <c r="O64" s="145">
        <f>SUMIFS(Table2[NewPointsAway],Table2[GameDate], "&lt;=" &amp; $A64, Table2[AwayTeam], O$1)+SUMIFS(Table2[NewPointsHome],Table2[GameDate], "&lt;=" &amp; $A64, Table2[HomeTeam], O$1)</f>
        <v>0</v>
      </c>
      <c r="P64" s="145">
        <f>SUMIFS(Table2[NewPointsAway],Table2[GameDate], "&lt;=" &amp; $A64, Table2[AwayTeam], P$1)+SUMIFS(Table2[NewPointsHome],Table2[GameDate], "&lt;=" &amp; $A64, Table2[HomeTeam], P$1)</f>
        <v>0</v>
      </c>
      <c r="Q64" s="145">
        <f>SUMIFS(Table2[NewPointsAway],Table2[GameDate], "&lt;=" &amp; $A64, Table2[AwayTeam], Q$1)+SUMIFS(Table2[NewPointsHome],Table2[GameDate], "&lt;=" &amp; $A64, Table2[HomeTeam], Q$1)</f>
        <v>0</v>
      </c>
      <c r="R64" s="145">
        <f>SUMIFS(Table2[NewPointsAway],Table2[GameDate], "&lt;=" &amp; $A64, Table2[AwayTeam], R$1)+SUMIFS(Table2[NewPointsHome],Table2[GameDate], "&lt;=" &amp; $A64, Table2[HomeTeam], R$1)</f>
        <v>0</v>
      </c>
      <c r="S64" s="145">
        <f>SUMIFS(Table2[NewPointsAway],Table2[GameDate], "&lt;=" &amp; $A64, Table2[AwayTeam], S$1)+SUMIFS(Table2[NewPointsHome],Table2[GameDate], "&lt;=" &amp; $A64, Table2[HomeTeam], S$1)</f>
        <v>0</v>
      </c>
      <c r="T64" s="145">
        <f>SUMIFS(Table2[NewPointsAway],Table2[GameDate], "&lt;=" &amp; $A64, Table2[AwayTeam], T$1)+SUMIFS(Table2[NewPointsHome],Table2[GameDate], "&lt;=" &amp; $A64, Table2[HomeTeam], T$1)</f>
        <v>0</v>
      </c>
      <c r="U64" s="145">
        <f>SUMIFS(Table2[NewPointsAway],Table2[GameDate], "&lt;=" &amp; $A64, Table2[AwayTeam], U$1)+SUMIFS(Table2[NewPointsHome],Table2[GameDate], "&lt;=" &amp; $A64, Table2[HomeTeam], U$1)</f>
        <v>0</v>
      </c>
      <c r="V64" s="145">
        <f>SUMIFS(Table2[NewPointsAway],Table2[GameDate], "&lt;=" &amp; $A64, Table2[AwayTeam], V$1)+SUMIFS(Table2[NewPointsHome],Table2[GameDate], "&lt;=" &amp; $A64, Table2[HomeTeam], V$1)</f>
        <v>0</v>
      </c>
      <c r="W64" s="145">
        <f>SUMIFS(Table2[NewPointsAway],Table2[GameDate], "&lt;=" &amp; $A64, Table2[AwayTeam], W$1)+SUMIFS(Table2[NewPointsHome],Table2[GameDate], "&lt;=" &amp; $A64, Table2[HomeTeam], W$1)</f>
        <v>2</v>
      </c>
      <c r="X64" s="145">
        <f>SUMIFS(Table2[NewPointsAway],Table2[GameDate], "&lt;=" &amp; $A64, Table2[AwayTeam], X$1)+SUMIFS(Table2[NewPointsHome],Table2[GameDate], "&lt;=" &amp; $A64, Table2[HomeTeam], X$1)</f>
        <v>0</v>
      </c>
      <c r="Y64" s="145">
        <f>SUMIFS(Table2[NewPointsAway],Table2[GameDate], "&lt;=" &amp; $A64, Table2[AwayTeam], Y$1)+SUMIFS(Table2[NewPointsHome],Table2[GameDate], "&lt;=" &amp; $A64, Table2[HomeTeam], Y$1)</f>
        <v>0</v>
      </c>
      <c r="Z64" s="145">
        <f>SUMIFS(Table2[NewPointsAway],Table2[GameDate], "&lt;=" &amp; $A64, Table2[AwayTeam], Z$1)+SUMIFS(Table2[NewPointsHome],Table2[GameDate], "&lt;=" &amp; $A64, Table2[HomeTeam], Z$1)</f>
        <v>0</v>
      </c>
      <c r="AA64" s="145">
        <f>SUMIFS(Table2[NewPointsAway],Table2[GameDate], "&lt;=" &amp; $A64, Table2[AwayTeam], AA$1)+SUMIFS(Table2[NewPointsHome],Table2[GameDate], "&lt;=" &amp; $A64, Table2[HomeTeam], AA$1)</f>
        <v>0</v>
      </c>
      <c r="AB64" s="145">
        <f>SUMIFS(Table2[NewPointsAway],Table2[GameDate], "&lt;=" &amp; $A64, Table2[AwayTeam], AB$1)+SUMIFS(Table2[NewPointsHome],Table2[GameDate], "&lt;=" &amp; $A64, Table2[HomeTeam], AB$1)</f>
        <v>2</v>
      </c>
      <c r="AC64" s="145">
        <f>SUMIFS(Table2[NewPointsAway],Table2[GameDate], "&lt;=" &amp; $A64, Table2[AwayTeam], AC$1)+SUMIFS(Table2[NewPointsHome],Table2[GameDate], "&lt;=" &amp; $A64, Table2[HomeTeam], AC$1)</f>
        <v>0</v>
      </c>
      <c r="AD64" s="145">
        <f>SUMIFS(Table2[NewPointsAway],Table2[GameDate], "&lt;=" &amp; $A64, Table2[AwayTeam], AD$1)+SUMIFS(Table2[NewPointsHome],Table2[GameDate], "&lt;=" &amp; $A64, Table2[HomeTeam], AD$1)</f>
        <v>0</v>
      </c>
      <c r="AE64" s="145">
        <f>SUMIFS(Table2[NewPointsAway],Table2[GameDate], "&lt;=" &amp; $A64, Table2[AwayTeam], AE$1)+SUMIFS(Table2[NewPointsHome],Table2[GameDate], "&lt;=" &amp; $A64, Table2[HomeTeam], AE$1)</f>
        <v>1</v>
      </c>
      <c r="AF64" s="145">
        <f>SUMIFS(Table2[NewPointsAway],Table2[GameDate], "&lt;=" &amp; $A64, Table2[AwayTeam], AF$1)+SUMIFS(Table2[NewPointsHome],Table2[GameDate], "&lt;=" &amp; $A64, Table2[HomeTeam], AF$1)</f>
        <v>0</v>
      </c>
      <c r="AG64" s="145">
        <f>SUMIFS(Table2[NewPointsAway],Table2[GameDate], "&lt;=" &amp; $A64, Table2[AwayTeam], AG$1)+SUMIFS(Table2[NewPointsHome],Table2[GameDate], "&lt;=" &amp; $A64, Table2[HomeTeam], AG$1)</f>
        <v>0</v>
      </c>
    </row>
    <row r="65" spans="1:33" x14ac:dyDescent="0.25">
      <c r="A65" s="3">
        <v>45996</v>
      </c>
      <c r="B65" s="145">
        <f>SUMIFS(Table2[NewPointsAway],Table2[GameDate], "&lt;=" &amp; $A65, Table2[AwayTeam], B$1)+SUMIFS(Table2[NewPointsHome],Table2[GameDate], "&lt;=" &amp; $A65, Table2[HomeTeam], B$1)</f>
        <v>0</v>
      </c>
      <c r="C65" s="145">
        <f>SUMIFS(Table2[NewPointsAway],Table2[GameDate], "&lt;=" &amp; $A65, Table2[AwayTeam], C$1)+SUMIFS(Table2[NewPointsHome],Table2[GameDate], "&lt;=" &amp; $A65, Table2[HomeTeam], C$1)</f>
        <v>2</v>
      </c>
      <c r="D65" s="145">
        <f>SUMIFS(Table2[NewPointsAway],Table2[GameDate], "&lt;=" &amp; $A65, Table2[AwayTeam], D$1)+SUMIFS(Table2[NewPointsHome],Table2[GameDate], "&lt;=" &amp; $A65, Table2[HomeTeam], D$1)</f>
        <v>0</v>
      </c>
      <c r="E65" s="145">
        <f>SUMIFS(Table2[NewPointsAway],Table2[GameDate], "&lt;=" &amp; $A65, Table2[AwayTeam], E$1)+SUMIFS(Table2[NewPointsHome],Table2[GameDate], "&lt;=" &amp; $A65, Table2[HomeTeam], E$1)</f>
        <v>0</v>
      </c>
      <c r="F65" s="145">
        <f>SUMIFS(Table2[NewPointsAway],Table2[GameDate], "&lt;=" &amp; $A65, Table2[AwayTeam], F$1)+SUMIFS(Table2[NewPointsHome],Table2[GameDate], "&lt;=" &amp; $A65, Table2[HomeTeam], F$1)</f>
        <v>0</v>
      </c>
      <c r="G65" s="145">
        <f>SUMIFS(Table2[NewPointsAway],Table2[GameDate], "&lt;=" &amp; $A65, Table2[AwayTeam], G$1)+SUMIFS(Table2[NewPointsHome],Table2[GameDate], "&lt;=" &amp; $A65, Table2[HomeTeam], G$1)</f>
        <v>2</v>
      </c>
      <c r="H65" s="145">
        <f>SUMIFS(Table2[NewPointsAway],Table2[GameDate], "&lt;=" &amp; $A65, Table2[AwayTeam], H$1)+SUMIFS(Table2[NewPointsHome],Table2[GameDate], "&lt;=" &amp; $A65, Table2[HomeTeam], H$1)</f>
        <v>0</v>
      </c>
      <c r="I65" s="145">
        <f>SUMIFS(Table2[NewPointsAway],Table2[GameDate], "&lt;=" &amp; $A65, Table2[AwayTeam], I$1)+SUMIFS(Table2[NewPointsHome],Table2[GameDate], "&lt;=" &amp; $A65, Table2[HomeTeam], I$1)</f>
        <v>2</v>
      </c>
      <c r="J65" s="145">
        <f>SUMIFS(Table2[NewPointsAway],Table2[GameDate], "&lt;=" &amp; $A65, Table2[AwayTeam], J$1)+SUMIFS(Table2[NewPointsHome],Table2[GameDate], "&lt;=" &amp; $A65, Table2[HomeTeam], J$1)</f>
        <v>0</v>
      </c>
      <c r="K65" s="145">
        <f>SUMIFS(Table2[NewPointsAway],Table2[GameDate], "&lt;=" &amp; $A65, Table2[AwayTeam], K$1)+SUMIFS(Table2[NewPointsHome],Table2[GameDate], "&lt;=" &amp; $A65, Table2[HomeTeam], K$1)</f>
        <v>0</v>
      </c>
      <c r="L65" s="145">
        <f>SUMIFS(Table2[NewPointsAway],Table2[GameDate], "&lt;=" &amp; $A65, Table2[AwayTeam], L$1)+SUMIFS(Table2[NewPointsHome],Table2[GameDate], "&lt;=" &amp; $A65, Table2[HomeTeam], L$1)</f>
        <v>1</v>
      </c>
      <c r="M65" s="145">
        <f>SUMIFS(Table2[NewPointsAway],Table2[GameDate], "&lt;=" &amp; $A65, Table2[AwayTeam], M$1)+SUMIFS(Table2[NewPointsHome],Table2[GameDate], "&lt;=" &amp; $A65, Table2[HomeTeam], M$1)</f>
        <v>2</v>
      </c>
      <c r="N65" s="145">
        <f>SUMIFS(Table2[NewPointsAway],Table2[GameDate], "&lt;=" &amp; $A65, Table2[AwayTeam], N$1)+SUMIFS(Table2[NewPointsHome],Table2[GameDate], "&lt;=" &amp; $A65, Table2[HomeTeam], N$1)</f>
        <v>2</v>
      </c>
      <c r="O65" s="145">
        <f>SUMIFS(Table2[NewPointsAway],Table2[GameDate], "&lt;=" &amp; $A65, Table2[AwayTeam], O$1)+SUMIFS(Table2[NewPointsHome],Table2[GameDate], "&lt;=" &amp; $A65, Table2[HomeTeam], O$1)</f>
        <v>0</v>
      </c>
      <c r="P65" s="145">
        <f>SUMIFS(Table2[NewPointsAway],Table2[GameDate], "&lt;=" &amp; $A65, Table2[AwayTeam], P$1)+SUMIFS(Table2[NewPointsHome],Table2[GameDate], "&lt;=" &amp; $A65, Table2[HomeTeam], P$1)</f>
        <v>0</v>
      </c>
      <c r="Q65" s="145">
        <f>SUMIFS(Table2[NewPointsAway],Table2[GameDate], "&lt;=" &amp; $A65, Table2[AwayTeam], Q$1)+SUMIFS(Table2[NewPointsHome],Table2[GameDate], "&lt;=" &amp; $A65, Table2[HomeTeam], Q$1)</f>
        <v>0</v>
      </c>
      <c r="R65" s="145">
        <f>SUMIFS(Table2[NewPointsAway],Table2[GameDate], "&lt;=" &amp; $A65, Table2[AwayTeam], R$1)+SUMIFS(Table2[NewPointsHome],Table2[GameDate], "&lt;=" &amp; $A65, Table2[HomeTeam], R$1)</f>
        <v>0</v>
      </c>
      <c r="S65" s="145">
        <f>SUMIFS(Table2[NewPointsAway],Table2[GameDate], "&lt;=" &amp; $A65, Table2[AwayTeam], S$1)+SUMIFS(Table2[NewPointsHome],Table2[GameDate], "&lt;=" &amp; $A65, Table2[HomeTeam], S$1)</f>
        <v>0</v>
      </c>
      <c r="T65" s="145">
        <f>SUMIFS(Table2[NewPointsAway],Table2[GameDate], "&lt;=" &amp; $A65, Table2[AwayTeam], T$1)+SUMIFS(Table2[NewPointsHome],Table2[GameDate], "&lt;=" &amp; $A65, Table2[HomeTeam], T$1)</f>
        <v>0</v>
      </c>
      <c r="U65" s="145">
        <f>SUMIFS(Table2[NewPointsAway],Table2[GameDate], "&lt;=" &amp; $A65, Table2[AwayTeam], U$1)+SUMIFS(Table2[NewPointsHome],Table2[GameDate], "&lt;=" &amp; $A65, Table2[HomeTeam], U$1)</f>
        <v>0</v>
      </c>
      <c r="V65" s="145">
        <f>SUMIFS(Table2[NewPointsAway],Table2[GameDate], "&lt;=" &amp; $A65, Table2[AwayTeam], V$1)+SUMIFS(Table2[NewPointsHome],Table2[GameDate], "&lt;=" &amp; $A65, Table2[HomeTeam], V$1)</f>
        <v>0</v>
      </c>
      <c r="W65" s="145">
        <f>SUMIFS(Table2[NewPointsAway],Table2[GameDate], "&lt;=" &amp; $A65, Table2[AwayTeam], W$1)+SUMIFS(Table2[NewPointsHome],Table2[GameDate], "&lt;=" &amp; $A65, Table2[HomeTeam], W$1)</f>
        <v>2</v>
      </c>
      <c r="X65" s="145">
        <f>SUMIFS(Table2[NewPointsAway],Table2[GameDate], "&lt;=" &amp; $A65, Table2[AwayTeam], X$1)+SUMIFS(Table2[NewPointsHome],Table2[GameDate], "&lt;=" &amp; $A65, Table2[HomeTeam], X$1)</f>
        <v>0</v>
      </c>
      <c r="Y65" s="145">
        <f>SUMIFS(Table2[NewPointsAway],Table2[GameDate], "&lt;=" &amp; $A65, Table2[AwayTeam], Y$1)+SUMIFS(Table2[NewPointsHome],Table2[GameDate], "&lt;=" &amp; $A65, Table2[HomeTeam], Y$1)</f>
        <v>0</v>
      </c>
      <c r="Z65" s="145">
        <f>SUMIFS(Table2[NewPointsAway],Table2[GameDate], "&lt;=" &amp; $A65, Table2[AwayTeam], Z$1)+SUMIFS(Table2[NewPointsHome],Table2[GameDate], "&lt;=" &amp; $A65, Table2[HomeTeam], Z$1)</f>
        <v>0</v>
      </c>
      <c r="AA65" s="145">
        <f>SUMIFS(Table2[NewPointsAway],Table2[GameDate], "&lt;=" &amp; $A65, Table2[AwayTeam], AA$1)+SUMIFS(Table2[NewPointsHome],Table2[GameDate], "&lt;=" &amp; $A65, Table2[HomeTeam], AA$1)</f>
        <v>0</v>
      </c>
      <c r="AB65" s="145">
        <f>SUMIFS(Table2[NewPointsAway],Table2[GameDate], "&lt;=" &amp; $A65, Table2[AwayTeam], AB$1)+SUMIFS(Table2[NewPointsHome],Table2[GameDate], "&lt;=" &amp; $A65, Table2[HomeTeam], AB$1)</f>
        <v>2</v>
      </c>
      <c r="AC65" s="145">
        <f>SUMIFS(Table2[NewPointsAway],Table2[GameDate], "&lt;=" &amp; $A65, Table2[AwayTeam], AC$1)+SUMIFS(Table2[NewPointsHome],Table2[GameDate], "&lt;=" &amp; $A65, Table2[HomeTeam], AC$1)</f>
        <v>0</v>
      </c>
      <c r="AD65" s="145">
        <f>SUMIFS(Table2[NewPointsAway],Table2[GameDate], "&lt;=" &amp; $A65, Table2[AwayTeam], AD$1)+SUMIFS(Table2[NewPointsHome],Table2[GameDate], "&lt;=" &amp; $A65, Table2[HomeTeam], AD$1)</f>
        <v>0</v>
      </c>
      <c r="AE65" s="145">
        <f>SUMIFS(Table2[NewPointsAway],Table2[GameDate], "&lt;=" &amp; $A65, Table2[AwayTeam], AE$1)+SUMIFS(Table2[NewPointsHome],Table2[GameDate], "&lt;=" &amp; $A65, Table2[HomeTeam], AE$1)</f>
        <v>1</v>
      </c>
      <c r="AF65" s="145">
        <f>SUMIFS(Table2[NewPointsAway],Table2[GameDate], "&lt;=" &amp; $A65, Table2[AwayTeam], AF$1)+SUMIFS(Table2[NewPointsHome],Table2[GameDate], "&lt;=" &amp; $A65, Table2[HomeTeam], AF$1)</f>
        <v>0</v>
      </c>
      <c r="AG65" s="145">
        <f>SUMIFS(Table2[NewPointsAway],Table2[GameDate], "&lt;=" &amp; $A65, Table2[AwayTeam], AG$1)+SUMIFS(Table2[NewPointsHome],Table2[GameDate], "&lt;=" &amp; $A65, Table2[HomeTeam], AG$1)</f>
        <v>0</v>
      </c>
    </row>
    <row r="66" spans="1:33" x14ac:dyDescent="0.25">
      <c r="A66" s="3">
        <v>45997</v>
      </c>
      <c r="B66" s="145">
        <f>SUMIFS(Table2[NewPointsAway],Table2[GameDate], "&lt;=" &amp; $A66, Table2[AwayTeam], B$1)+SUMIFS(Table2[NewPointsHome],Table2[GameDate], "&lt;=" &amp; $A66, Table2[HomeTeam], B$1)</f>
        <v>0</v>
      </c>
      <c r="C66" s="145">
        <f>SUMIFS(Table2[NewPointsAway],Table2[GameDate], "&lt;=" &amp; $A66, Table2[AwayTeam], C$1)+SUMIFS(Table2[NewPointsHome],Table2[GameDate], "&lt;=" &amp; $A66, Table2[HomeTeam], C$1)</f>
        <v>2</v>
      </c>
      <c r="D66" s="145">
        <f>SUMIFS(Table2[NewPointsAway],Table2[GameDate], "&lt;=" &amp; $A66, Table2[AwayTeam], D$1)+SUMIFS(Table2[NewPointsHome],Table2[GameDate], "&lt;=" &amp; $A66, Table2[HomeTeam], D$1)</f>
        <v>0</v>
      </c>
      <c r="E66" s="145">
        <f>SUMIFS(Table2[NewPointsAway],Table2[GameDate], "&lt;=" &amp; $A66, Table2[AwayTeam], E$1)+SUMIFS(Table2[NewPointsHome],Table2[GameDate], "&lt;=" &amp; $A66, Table2[HomeTeam], E$1)</f>
        <v>0</v>
      </c>
      <c r="F66" s="145">
        <f>SUMIFS(Table2[NewPointsAway],Table2[GameDate], "&lt;=" &amp; $A66, Table2[AwayTeam], F$1)+SUMIFS(Table2[NewPointsHome],Table2[GameDate], "&lt;=" &amp; $A66, Table2[HomeTeam], F$1)</f>
        <v>0</v>
      </c>
      <c r="G66" s="145">
        <f>SUMIFS(Table2[NewPointsAway],Table2[GameDate], "&lt;=" &amp; $A66, Table2[AwayTeam], G$1)+SUMIFS(Table2[NewPointsHome],Table2[GameDate], "&lt;=" &amp; $A66, Table2[HomeTeam], G$1)</f>
        <v>2</v>
      </c>
      <c r="H66" s="145">
        <f>SUMIFS(Table2[NewPointsAway],Table2[GameDate], "&lt;=" &amp; $A66, Table2[AwayTeam], H$1)+SUMIFS(Table2[NewPointsHome],Table2[GameDate], "&lt;=" &amp; $A66, Table2[HomeTeam], H$1)</f>
        <v>0</v>
      </c>
      <c r="I66" s="145">
        <f>SUMIFS(Table2[NewPointsAway],Table2[GameDate], "&lt;=" &amp; $A66, Table2[AwayTeam], I$1)+SUMIFS(Table2[NewPointsHome],Table2[GameDate], "&lt;=" &amp; $A66, Table2[HomeTeam], I$1)</f>
        <v>2</v>
      </c>
      <c r="J66" s="145">
        <f>SUMIFS(Table2[NewPointsAway],Table2[GameDate], "&lt;=" &amp; $A66, Table2[AwayTeam], J$1)+SUMIFS(Table2[NewPointsHome],Table2[GameDate], "&lt;=" &amp; $A66, Table2[HomeTeam], J$1)</f>
        <v>0</v>
      </c>
      <c r="K66" s="145">
        <f>SUMIFS(Table2[NewPointsAway],Table2[GameDate], "&lt;=" &amp; $A66, Table2[AwayTeam], K$1)+SUMIFS(Table2[NewPointsHome],Table2[GameDate], "&lt;=" &amp; $A66, Table2[HomeTeam], K$1)</f>
        <v>0</v>
      </c>
      <c r="L66" s="145">
        <f>SUMIFS(Table2[NewPointsAway],Table2[GameDate], "&lt;=" &amp; $A66, Table2[AwayTeam], L$1)+SUMIFS(Table2[NewPointsHome],Table2[GameDate], "&lt;=" &amp; $A66, Table2[HomeTeam], L$1)</f>
        <v>1</v>
      </c>
      <c r="M66" s="145">
        <f>SUMIFS(Table2[NewPointsAway],Table2[GameDate], "&lt;=" &amp; $A66, Table2[AwayTeam], M$1)+SUMIFS(Table2[NewPointsHome],Table2[GameDate], "&lt;=" &amp; $A66, Table2[HomeTeam], M$1)</f>
        <v>2</v>
      </c>
      <c r="N66" s="145">
        <f>SUMIFS(Table2[NewPointsAway],Table2[GameDate], "&lt;=" &amp; $A66, Table2[AwayTeam], N$1)+SUMIFS(Table2[NewPointsHome],Table2[GameDate], "&lt;=" &amp; $A66, Table2[HomeTeam], N$1)</f>
        <v>2</v>
      </c>
      <c r="O66" s="145">
        <f>SUMIFS(Table2[NewPointsAway],Table2[GameDate], "&lt;=" &amp; $A66, Table2[AwayTeam], O$1)+SUMIFS(Table2[NewPointsHome],Table2[GameDate], "&lt;=" &amp; $A66, Table2[HomeTeam], O$1)</f>
        <v>0</v>
      </c>
      <c r="P66" s="145">
        <f>SUMIFS(Table2[NewPointsAway],Table2[GameDate], "&lt;=" &amp; $A66, Table2[AwayTeam], P$1)+SUMIFS(Table2[NewPointsHome],Table2[GameDate], "&lt;=" &amp; $A66, Table2[HomeTeam], P$1)</f>
        <v>0</v>
      </c>
      <c r="Q66" s="145">
        <f>SUMIFS(Table2[NewPointsAway],Table2[GameDate], "&lt;=" &amp; $A66, Table2[AwayTeam], Q$1)+SUMIFS(Table2[NewPointsHome],Table2[GameDate], "&lt;=" &amp; $A66, Table2[HomeTeam], Q$1)</f>
        <v>0</v>
      </c>
      <c r="R66" s="145">
        <f>SUMIFS(Table2[NewPointsAway],Table2[GameDate], "&lt;=" &amp; $A66, Table2[AwayTeam], R$1)+SUMIFS(Table2[NewPointsHome],Table2[GameDate], "&lt;=" &amp; $A66, Table2[HomeTeam], R$1)</f>
        <v>0</v>
      </c>
      <c r="S66" s="145">
        <f>SUMIFS(Table2[NewPointsAway],Table2[GameDate], "&lt;=" &amp; $A66, Table2[AwayTeam], S$1)+SUMIFS(Table2[NewPointsHome],Table2[GameDate], "&lt;=" &amp; $A66, Table2[HomeTeam], S$1)</f>
        <v>0</v>
      </c>
      <c r="T66" s="145">
        <f>SUMIFS(Table2[NewPointsAway],Table2[GameDate], "&lt;=" &amp; $A66, Table2[AwayTeam], T$1)+SUMIFS(Table2[NewPointsHome],Table2[GameDate], "&lt;=" &amp; $A66, Table2[HomeTeam], T$1)</f>
        <v>0</v>
      </c>
      <c r="U66" s="145">
        <f>SUMIFS(Table2[NewPointsAway],Table2[GameDate], "&lt;=" &amp; $A66, Table2[AwayTeam], U$1)+SUMIFS(Table2[NewPointsHome],Table2[GameDate], "&lt;=" &amp; $A66, Table2[HomeTeam], U$1)</f>
        <v>0</v>
      </c>
      <c r="V66" s="145">
        <f>SUMIFS(Table2[NewPointsAway],Table2[GameDate], "&lt;=" &amp; $A66, Table2[AwayTeam], V$1)+SUMIFS(Table2[NewPointsHome],Table2[GameDate], "&lt;=" &amp; $A66, Table2[HomeTeam], V$1)</f>
        <v>0</v>
      </c>
      <c r="W66" s="145">
        <f>SUMIFS(Table2[NewPointsAway],Table2[GameDate], "&lt;=" &amp; $A66, Table2[AwayTeam], W$1)+SUMIFS(Table2[NewPointsHome],Table2[GameDate], "&lt;=" &amp; $A66, Table2[HomeTeam], W$1)</f>
        <v>2</v>
      </c>
      <c r="X66" s="145">
        <f>SUMIFS(Table2[NewPointsAway],Table2[GameDate], "&lt;=" &amp; $A66, Table2[AwayTeam], X$1)+SUMIFS(Table2[NewPointsHome],Table2[GameDate], "&lt;=" &amp; $A66, Table2[HomeTeam], X$1)</f>
        <v>0</v>
      </c>
      <c r="Y66" s="145">
        <f>SUMIFS(Table2[NewPointsAway],Table2[GameDate], "&lt;=" &amp; $A66, Table2[AwayTeam], Y$1)+SUMIFS(Table2[NewPointsHome],Table2[GameDate], "&lt;=" &amp; $A66, Table2[HomeTeam], Y$1)</f>
        <v>0</v>
      </c>
      <c r="Z66" s="145">
        <f>SUMIFS(Table2[NewPointsAway],Table2[GameDate], "&lt;=" &amp; $A66, Table2[AwayTeam], Z$1)+SUMIFS(Table2[NewPointsHome],Table2[GameDate], "&lt;=" &amp; $A66, Table2[HomeTeam], Z$1)</f>
        <v>0</v>
      </c>
      <c r="AA66" s="145">
        <f>SUMIFS(Table2[NewPointsAway],Table2[GameDate], "&lt;=" &amp; $A66, Table2[AwayTeam], AA$1)+SUMIFS(Table2[NewPointsHome],Table2[GameDate], "&lt;=" &amp; $A66, Table2[HomeTeam], AA$1)</f>
        <v>0</v>
      </c>
      <c r="AB66" s="145">
        <f>SUMIFS(Table2[NewPointsAway],Table2[GameDate], "&lt;=" &amp; $A66, Table2[AwayTeam], AB$1)+SUMIFS(Table2[NewPointsHome],Table2[GameDate], "&lt;=" &amp; $A66, Table2[HomeTeam], AB$1)</f>
        <v>2</v>
      </c>
      <c r="AC66" s="145">
        <f>SUMIFS(Table2[NewPointsAway],Table2[GameDate], "&lt;=" &amp; $A66, Table2[AwayTeam], AC$1)+SUMIFS(Table2[NewPointsHome],Table2[GameDate], "&lt;=" &amp; $A66, Table2[HomeTeam], AC$1)</f>
        <v>0</v>
      </c>
      <c r="AD66" s="145">
        <f>SUMIFS(Table2[NewPointsAway],Table2[GameDate], "&lt;=" &amp; $A66, Table2[AwayTeam], AD$1)+SUMIFS(Table2[NewPointsHome],Table2[GameDate], "&lt;=" &amp; $A66, Table2[HomeTeam], AD$1)</f>
        <v>0</v>
      </c>
      <c r="AE66" s="145">
        <f>SUMIFS(Table2[NewPointsAway],Table2[GameDate], "&lt;=" &amp; $A66, Table2[AwayTeam], AE$1)+SUMIFS(Table2[NewPointsHome],Table2[GameDate], "&lt;=" &amp; $A66, Table2[HomeTeam], AE$1)</f>
        <v>1</v>
      </c>
      <c r="AF66" s="145">
        <f>SUMIFS(Table2[NewPointsAway],Table2[GameDate], "&lt;=" &amp; $A66, Table2[AwayTeam], AF$1)+SUMIFS(Table2[NewPointsHome],Table2[GameDate], "&lt;=" &amp; $A66, Table2[HomeTeam], AF$1)</f>
        <v>0</v>
      </c>
      <c r="AG66" s="145">
        <f>SUMIFS(Table2[NewPointsAway],Table2[GameDate], "&lt;=" &amp; $A66, Table2[AwayTeam], AG$1)+SUMIFS(Table2[NewPointsHome],Table2[GameDate], "&lt;=" &amp; $A66, Table2[HomeTeam], AG$1)</f>
        <v>0</v>
      </c>
    </row>
    <row r="67" spans="1:33" x14ac:dyDescent="0.25">
      <c r="A67" s="3">
        <v>45998</v>
      </c>
      <c r="B67" s="145">
        <f>SUMIFS(Table2[NewPointsAway],Table2[GameDate], "&lt;=" &amp; $A67, Table2[AwayTeam], B$1)+SUMIFS(Table2[NewPointsHome],Table2[GameDate], "&lt;=" &amp; $A67, Table2[HomeTeam], B$1)</f>
        <v>0</v>
      </c>
      <c r="C67" s="145">
        <f>SUMIFS(Table2[NewPointsAway],Table2[GameDate], "&lt;=" &amp; $A67, Table2[AwayTeam], C$1)+SUMIFS(Table2[NewPointsHome],Table2[GameDate], "&lt;=" &amp; $A67, Table2[HomeTeam], C$1)</f>
        <v>2</v>
      </c>
      <c r="D67" s="145">
        <f>SUMIFS(Table2[NewPointsAway],Table2[GameDate], "&lt;=" &amp; $A67, Table2[AwayTeam], D$1)+SUMIFS(Table2[NewPointsHome],Table2[GameDate], "&lt;=" &amp; $A67, Table2[HomeTeam], D$1)</f>
        <v>0</v>
      </c>
      <c r="E67" s="145">
        <f>SUMIFS(Table2[NewPointsAway],Table2[GameDate], "&lt;=" &amp; $A67, Table2[AwayTeam], E$1)+SUMIFS(Table2[NewPointsHome],Table2[GameDate], "&lt;=" &amp; $A67, Table2[HomeTeam], E$1)</f>
        <v>0</v>
      </c>
      <c r="F67" s="145">
        <f>SUMIFS(Table2[NewPointsAway],Table2[GameDate], "&lt;=" &amp; $A67, Table2[AwayTeam], F$1)+SUMIFS(Table2[NewPointsHome],Table2[GameDate], "&lt;=" &amp; $A67, Table2[HomeTeam], F$1)</f>
        <v>0</v>
      </c>
      <c r="G67" s="145">
        <f>SUMIFS(Table2[NewPointsAway],Table2[GameDate], "&lt;=" &amp; $A67, Table2[AwayTeam], G$1)+SUMIFS(Table2[NewPointsHome],Table2[GameDate], "&lt;=" &amp; $A67, Table2[HomeTeam], G$1)</f>
        <v>2</v>
      </c>
      <c r="H67" s="145">
        <f>SUMIFS(Table2[NewPointsAway],Table2[GameDate], "&lt;=" &amp; $A67, Table2[AwayTeam], H$1)+SUMIFS(Table2[NewPointsHome],Table2[GameDate], "&lt;=" &amp; $A67, Table2[HomeTeam], H$1)</f>
        <v>0</v>
      </c>
      <c r="I67" s="145">
        <f>SUMIFS(Table2[NewPointsAway],Table2[GameDate], "&lt;=" &amp; $A67, Table2[AwayTeam], I$1)+SUMIFS(Table2[NewPointsHome],Table2[GameDate], "&lt;=" &amp; $A67, Table2[HomeTeam], I$1)</f>
        <v>2</v>
      </c>
      <c r="J67" s="145">
        <f>SUMIFS(Table2[NewPointsAway],Table2[GameDate], "&lt;=" &amp; $A67, Table2[AwayTeam], J$1)+SUMIFS(Table2[NewPointsHome],Table2[GameDate], "&lt;=" &amp; $A67, Table2[HomeTeam], J$1)</f>
        <v>0</v>
      </c>
      <c r="K67" s="145">
        <f>SUMIFS(Table2[NewPointsAway],Table2[GameDate], "&lt;=" &amp; $A67, Table2[AwayTeam], K$1)+SUMIFS(Table2[NewPointsHome],Table2[GameDate], "&lt;=" &amp; $A67, Table2[HomeTeam], K$1)</f>
        <v>0</v>
      </c>
      <c r="L67" s="145">
        <f>SUMIFS(Table2[NewPointsAway],Table2[GameDate], "&lt;=" &amp; $A67, Table2[AwayTeam], L$1)+SUMIFS(Table2[NewPointsHome],Table2[GameDate], "&lt;=" &amp; $A67, Table2[HomeTeam], L$1)</f>
        <v>1</v>
      </c>
      <c r="M67" s="145">
        <f>SUMIFS(Table2[NewPointsAway],Table2[GameDate], "&lt;=" &amp; $A67, Table2[AwayTeam], M$1)+SUMIFS(Table2[NewPointsHome],Table2[GameDate], "&lt;=" &amp; $A67, Table2[HomeTeam], M$1)</f>
        <v>2</v>
      </c>
      <c r="N67" s="145">
        <f>SUMIFS(Table2[NewPointsAway],Table2[GameDate], "&lt;=" &amp; $A67, Table2[AwayTeam], N$1)+SUMIFS(Table2[NewPointsHome],Table2[GameDate], "&lt;=" &amp; $A67, Table2[HomeTeam], N$1)</f>
        <v>2</v>
      </c>
      <c r="O67" s="145">
        <f>SUMIFS(Table2[NewPointsAway],Table2[GameDate], "&lt;=" &amp; $A67, Table2[AwayTeam], O$1)+SUMIFS(Table2[NewPointsHome],Table2[GameDate], "&lt;=" &amp; $A67, Table2[HomeTeam], O$1)</f>
        <v>0</v>
      </c>
      <c r="P67" s="145">
        <f>SUMIFS(Table2[NewPointsAway],Table2[GameDate], "&lt;=" &amp; $A67, Table2[AwayTeam], P$1)+SUMIFS(Table2[NewPointsHome],Table2[GameDate], "&lt;=" &amp; $A67, Table2[HomeTeam], P$1)</f>
        <v>0</v>
      </c>
      <c r="Q67" s="145">
        <f>SUMIFS(Table2[NewPointsAway],Table2[GameDate], "&lt;=" &amp; $A67, Table2[AwayTeam], Q$1)+SUMIFS(Table2[NewPointsHome],Table2[GameDate], "&lt;=" &amp; $A67, Table2[HomeTeam], Q$1)</f>
        <v>0</v>
      </c>
      <c r="R67" s="145">
        <f>SUMIFS(Table2[NewPointsAway],Table2[GameDate], "&lt;=" &amp; $A67, Table2[AwayTeam], R$1)+SUMIFS(Table2[NewPointsHome],Table2[GameDate], "&lt;=" &amp; $A67, Table2[HomeTeam], R$1)</f>
        <v>0</v>
      </c>
      <c r="S67" s="145">
        <f>SUMIFS(Table2[NewPointsAway],Table2[GameDate], "&lt;=" &amp; $A67, Table2[AwayTeam], S$1)+SUMIFS(Table2[NewPointsHome],Table2[GameDate], "&lt;=" &amp; $A67, Table2[HomeTeam], S$1)</f>
        <v>0</v>
      </c>
      <c r="T67" s="145">
        <f>SUMIFS(Table2[NewPointsAway],Table2[GameDate], "&lt;=" &amp; $A67, Table2[AwayTeam], T$1)+SUMIFS(Table2[NewPointsHome],Table2[GameDate], "&lt;=" &amp; $A67, Table2[HomeTeam], T$1)</f>
        <v>0</v>
      </c>
      <c r="U67" s="145">
        <f>SUMIFS(Table2[NewPointsAway],Table2[GameDate], "&lt;=" &amp; $A67, Table2[AwayTeam], U$1)+SUMIFS(Table2[NewPointsHome],Table2[GameDate], "&lt;=" &amp; $A67, Table2[HomeTeam], U$1)</f>
        <v>0</v>
      </c>
      <c r="V67" s="145">
        <f>SUMIFS(Table2[NewPointsAway],Table2[GameDate], "&lt;=" &amp; $A67, Table2[AwayTeam], V$1)+SUMIFS(Table2[NewPointsHome],Table2[GameDate], "&lt;=" &amp; $A67, Table2[HomeTeam], V$1)</f>
        <v>0</v>
      </c>
      <c r="W67" s="145">
        <f>SUMIFS(Table2[NewPointsAway],Table2[GameDate], "&lt;=" &amp; $A67, Table2[AwayTeam], W$1)+SUMIFS(Table2[NewPointsHome],Table2[GameDate], "&lt;=" &amp; $A67, Table2[HomeTeam], W$1)</f>
        <v>2</v>
      </c>
      <c r="X67" s="145">
        <f>SUMIFS(Table2[NewPointsAway],Table2[GameDate], "&lt;=" &amp; $A67, Table2[AwayTeam], X$1)+SUMIFS(Table2[NewPointsHome],Table2[GameDate], "&lt;=" &amp; $A67, Table2[HomeTeam], X$1)</f>
        <v>0</v>
      </c>
      <c r="Y67" s="145">
        <f>SUMIFS(Table2[NewPointsAway],Table2[GameDate], "&lt;=" &amp; $A67, Table2[AwayTeam], Y$1)+SUMIFS(Table2[NewPointsHome],Table2[GameDate], "&lt;=" &amp; $A67, Table2[HomeTeam], Y$1)</f>
        <v>0</v>
      </c>
      <c r="Z67" s="145">
        <f>SUMIFS(Table2[NewPointsAway],Table2[GameDate], "&lt;=" &amp; $A67, Table2[AwayTeam], Z$1)+SUMIFS(Table2[NewPointsHome],Table2[GameDate], "&lt;=" &amp; $A67, Table2[HomeTeam], Z$1)</f>
        <v>0</v>
      </c>
      <c r="AA67" s="145">
        <f>SUMIFS(Table2[NewPointsAway],Table2[GameDate], "&lt;=" &amp; $A67, Table2[AwayTeam], AA$1)+SUMIFS(Table2[NewPointsHome],Table2[GameDate], "&lt;=" &amp; $A67, Table2[HomeTeam], AA$1)</f>
        <v>0</v>
      </c>
      <c r="AB67" s="145">
        <f>SUMIFS(Table2[NewPointsAway],Table2[GameDate], "&lt;=" &amp; $A67, Table2[AwayTeam], AB$1)+SUMIFS(Table2[NewPointsHome],Table2[GameDate], "&lt;=" &amp; $A67, Table2[HomeTeam], AB$1)</f>
        <v>2</v>
      </c>
      <c r="AC67" s="145">
        <f>SUMIFS(Table2[NewPointsAway],Table2[GameDate], "&lt;=" &amp; $A67, Table2[AwayTeam], AC$1)+SUMIFS(Table2[NewPointsHome],Table2[GameDate], "&lt;=" &amp; $A67, Table2[HomeTeam], AC$1)</f>
        <v>0</v>
      </c>
      <c r="AD67" s="145">
        <f>SUMIFS(Table2[NewPointsAway],Table2[GameDate], "&lt;=" &amp; $A67, Table2[AwayTeam], AD$1)+SUMIFS(Table2[NewPointsHome],Table2[GameDate], "&lt;=" &amp; $A67, Table2[HomeTeam], AD$1)</f>
        <v>0</v>
      </c>
      <c r="AE67" s="145">
        <f>SUMIFS(Table2[NewPointsAway],Table2[GameDate], "&lt;=" &amp; $A67, Table2[AwayTeam], AE$1)+SUMIFS(Table2[NewPointsHome],Table2[GameDate], "&lt;=" &amp; $A67, Table2[HomeTeam], AE$1)</f>
        <v>1</v>
      </c>
      <c r="AF67" s="145">
        <f>SUMIFS(Table2[NewPointsAway],Table2[GameDate], "&lt;=" &amp; $A67, Table2[AwayTeam], AF$1)+SUMIFS(Table2[NewPointsHome],Table2[GameDate], "&lt;=" &amp; $A67, Table2[HomeTeam], AF$1)</f>
        <v>0</v>
      </c>
      <c r="AG67" s="145">
        <f>SUMIFS(Table2[NewPointsAway],Table2[GameDate], "&lt;=" &amp; $A67, Table2[AwayTeam], AG$1)+SUMIFS(Table2[NewPointsHome],Table2[GameDate], "&lt;=" &amp; $A67, Table2[HomeTeam], AG$1)</f>
        <v>0</v>
      </c>
    </row>
    <row r="68" spans="1:33" x14ac:dyDescent="0.25">
      <c r="A68" s="3">
        <v>45999</v>
      </c>
      <c r="B68" s="145">
        <f>SUMIFS(Table2[NewPointsAway],Table2[GameDate], "&lt;=" &amp; $A68, Table2[AwayTeam], B$1)+SUMIFS(Table2[NewPointsHome],Table2[GameDate], "&lt;=" &amp; $A68, Table2[HomeTeam], B$1)</f>
        <v>0</v>
      </c>
      <c r="C68" s="145">
        <f>SUMIFS(Table2[NewPointsAway],Table2[GameDate], "&lt;=" &amp; $A68, Table2[AwayTeam], C$1)+SUMIFS(Table2[NewPointsHome],Table2[GameDate], "&lt;=" &amp; $A68, Table2[HomeTeam], C$1)</f>
        <v>2</v>
      </c>
      <c r="D68" s="145">
        <f>SUMIFS(Table2[NewPointsAway],Table2[GameDate], "&lt;=" &amp; $A68, Table2[AwayTeam], D$1)+SUMIFS(Table2[NewPointsHome],Table2[GameDate], "&lt;=" &amp; $A68, Table2[HomeTeam], D$1)</f>
        <v>0</v>
      </c>
      <c r="E68" s="145">
        <f>SUMIFS(Table2[NewPointsAway],Table2[GameDate], "&lt;=" &amp; $A68, Table2[AwayTeam], E$1)+SUMIFS(Table2[NewPointsHome],Table2[GameDate], "&lt;=" &amp; $A68, Table2[HomeTeam], E$1)</f>
        <v>0</v>
      </c>
      <c r="F68" s="145">
        <f>SUMIFS(Table2[NewPointsAway],Table2[GameDate], "&lt;=" &amp; $A68, Table2[AwayTeam], F$1)+SUMIFS(Table2[NewPointsHome],Table2[GameDate], "&lt;=" &amp; $A68, Table2[HomeTeam], F$1)</f>
        <v>0</v>
      </c>
      <c r="G68" s="145">
        <f>SUMIFS(Table2[NewPointsAway],Table2[GameDate], "&lt;=" &amp; $A68, Table2[AwayTeam], G$1)+SUMIFS(Table2[NewPointsHome],Table2[GameDate], "&lt;=" &amp; $A68, Table2[HomeTeam], G$1)</f>
        <v>2</v>
      </c>
      <c r="H68" s="145">
        <f>SUMIFS(Table2[NewPointsAway],Table2[GameDate], "&lt;=" &amp; $A68, Table2[AwayTeam], H$1)+SUMIFS(Table2[NewPointsHome],Table2[GameDate], "&lt;=" &amp; $A68, Table2[HomeTeam], H$1)</f>
        <v>0</v>
      </c>
      <c r="I68" s="145">
        <f>SUMIFS(Table2[NewPointsAway],Table2[GameDate], "&lt;=" &amp; $A68, Table2[AwayTeam], I$1)+SUMIFS(Table2[NewPointsHome],Table2[GameDate], "&lt;=" &amp; $A68, Table2[HomeTeam], I$1)</f>
        <v>2</v>
      </c>
      <c r="J68" s="145">
        <f>SUMIFS(Table2[NewPointsAway],Table2[GameDate], "&lt;=" &amp; $A68, Table2[AwayTeam], J$1)+SUMIFS(Table2[NewPointsHome],Table2[GameDate], "&lt;=" &amp; $A68, Table2[HomeTeam], J$1)</f>
        <v>0</v>
      </c>
      <c r="K68" s="145">
        <f>SUMIFS(Table2[NewPointsAway],Table2[GameDate], "&lt;=" &amp; $A68, Table2[AwayTeam], K$1)+SUMIFS(Table2[NewPointsHome],Table2[GameDate], "&lt;=" &amp; $A68, Table2[HomeTeam], K$1)</f>
        <v>0</v>
      </c>
      <c r="L68" s="145">
        <f>SUMIFS(Table2[NewPointsAway],Table2[GameDate], "&lt;=" &amp; $A68, Table2[AwayTeam], L$1)+SUMIFS(Table2[NewPointsHome],Table2[GameDate], "&lt;=" &amp; $A68, Table2[HomeTeam], L$1)</f>
        <v>1</v>
      </c>
      <c r="M68" s="145">
        <f>SUMIFS(Table2[NewPointsAway],Table2[GameDate], "&lt;=" &amp; $A68, Table2[AwayTeam], M$1)+SUMIFS(Table2[NewPointsHome],Table2[GameDate], "&lt;=" &amp; $A68, Table2[HomeTeam], M$1)</f>
        <v>2</v>
      </c>
      <c r="N68" s="145">
        <f>SUMIFS(Table2[NewPointsAway],Table2[GameDate], "&lt;=" &amp; $A68, Table2[AwayTeam], N$1)+SUMIFS(Table2[NewPointsHome],Table2[GameDate], "&lt;=" &amp; $A68, Table2[HomeTeam], N$1)</f>
        <v>2</v>
      </c>
      <c r="O68" s="145">
        <f>SUMIFS(Table2[NewPointsAway],Table2[GameDate], "&lt;=" &amp; $A68, Table2[AwayTeam], O$1)+SUMIFS(Table2[NewPointsHome],Table2[GameDate], "&lt;=" &amp; $A68, Table2[HomeTeam], O$1)</f>
        <v>0</v>
      </c>
      <c r="P68" s="145">
        <f>SUMIFS(Table2[NewPointsAway],Table2[GameDate], "&lt;=" &amp; $A68, Table2[AwayTeam], P$1)+SUMIFS(Table2[NewPointsHome],Table2[GameDate], "&lt;=" &amp; $A68, Table2[HomeTeam], P$1)</f>
        <v>0</v>
      </c>
      <c r="Q68" s="145">
        <f>SUMIFS(Table2[NewPointsAway],Table2[GameDate], "&lt;=" &amp; $A68, Table2[AwayTeam], Q$1)+SUMIFS(Table2[NewPointsHome],Table2[GameDate], "&lt;=" &amp; $A68, Table2[HomeTeam], Q$1)</f>
        <v>0</v>
      </c>
      <c r="R68" s="145">
        <f>SUMIFS(Table2[NewPointsAway],Table2[GameDate], "&lt;=" &amp; $A68, Table2[AwayTeam], R$1)+SUMIFS(Table2[NewPointsHome],Table2[GameDate], "&lt;=" &amp; $A68, Table2[HomeTeam], R$1)</f>
        <v>0</v>
      </c>
      <c r="S68" s="145">
        <f>SUMIFS(Table2[NewPointsAway],Table2[GameDate], "&lt;=" &amp; $A68, Table2[AwayTeam], S$1)+SUMIFS(Table2[NewPointsHome],Table2[GameDate], "&lt;=" &amp; $A68, Table2[HomeTeam], S$1)</f>
        <v>0</v>
      </c>
      <c r="T68" s="145">
        <f>SUMIFS(Table2[NewPointsAway],Table2[GameDate], "&lt;=" &amp; $A68, Table2[AwayTeam], T$1)+SUMIFS(Table2[NewPointsHome],Table2[GameDate], "&lt;=" &amp; $A68, Table2[HomeTeam], T$1)</f>
        <v>0</v>
      </c>
      <c r="U68" s="145">
        <f>SUMIFS(Table2[NewPointsAway],Table2[GameDate], "&lt;=" &amp; $A68, Table2[AwayTeam], U$1)+SUMIFS(Table2[NewPointsHome],Table2[GameDate], "&lt;=" &amp; $A68, Table2[HomeTeam], U$1)</f>
        <v>0</v>
      </c>
      <c r="V68" s="145">
        <f>SUMIFS(Table2[NewPointsAway],Table2[GameDate], "&lt;=" &amp; $A68, Table2[AwayTeam], V$1)+SUMIFS(Table2[NewPointsHome],Table2[GameDate], "&lt;=" &amp; $A68, Table2[HomeTeam], V$1)</f>
        <v>0</v>
      </c>
      <c r="W68" s="145">
        <f>SUMIFS(Table2[NewPointsAway],Table2[GameDate], "&lt;=" &amp; $A68, Table2[AwayTeam], W$1)+SUMIFS(Table2[NewPointsHome],Table2[GameDate], "&lt;=" &amp; $A68, Table2[HomeTeam], W$1)</f>
        <v>2</v>
      </c>
      <c r="X68" s="145">
        <f>SUMIFS(Table2[NewPointsAway],Table2[GameDate], "&lt;=" &amp; $A68, Table2[AwayTeam], X$1)+SUMIFS(Table2[NewPointsHome],Table2[GameDate], "&lt;=" &amp; $A68, Table2[HomeTeam], X$1)</f>
        <v>0</v>
      </c>
      <c r="Y68" s="145">
        <f>SUMIFS(Table2[NewPointsAway],Table2[GameDate], "&lt;=" &amp; $A68, Table2[AwayTeam], Y$1)+SUMIFS(Table2[NewPointsHome],Table2[GameDate], "&lt;=" &amp; $A68, Table2[HomeTeam], Y$1)</f>
        <v>0</v>
      </c>
      <c r="Z68" s="145">
        <f>SUMIFS(Table2[NewPointsAway],Table2[GameDate], "&lt;=" &amp; $A68, Table2[AwayTeam], Z$1)+SUMIFS(Table2[NewPointsHome],Table2[GameDate], "&lt;=" &amp; $A68, Table2[HomeTeam], Z$1)</f>
        <v>0</v>
      </c>
      <c r="AA68" s="145">
        <f>SUMIFS(Table2[NewPointsAway],Table2[GameDate], "&lt;=" &amp; $A68, Table2[AwayTeam], AA$1)+SUMIFS(Table2[NewPointsHome],Table2[GameDate], "&lt;=" &amp; $A68, Table2[HomeTeam], AA$1)</f>
        <v>0</v>
      </c>
      <c r="AB68" s="145">
        <f>SUMIFS(Table2[NewPointsAway],Table2[GameDate], "&lt;=" &amp; $A68, Table2[AwayTeam], AB$1)+SUMIFS(Table2[NewPointsHome],Table2[GameDate], "&lt;=" &amp; $A68, Table2[HomeTeam], AB$1)</f>
        <v>2</v>
      </c>
      <c r="AC68" s="145">
        <f>SUMIFS(Table2[NewPointsAway],Table2[GameDate], "&lt;=" &amp; $A68, Table2[AwayTeam], AC$1)+SUMIFS(Table2[NewPointsHome],Table2[GameDate], "&lt;=" &amp; $A68, Table2[HomeTeam], AC$1)</f>
        <v>0</v>
      </c>
      <c r="AD68" s="145">
        <f>SUMIFS(Table2[NewPointsAway],Table2[GameDate], "&lt;=" &amp; $A68, Table2[AwayTeam], AD$1)+SUMIFS(Table2[NewPointsHome],Table2[GameDate], "&lt;=" &amp; $A68, Table2[HomeTeam], AD$1)</f>
        <v>0</v>
      </c>
      <c r="AE68" s="145">
        <f>SUMIFS(Table2[NewPointsAway],Table2[GameDate], "&lt;=" &amp; $A68, Table2[AwayTeam], AE$1)+SUMIFS(Table2[NewPointsHome],Table2[GameDate], "&lt;=" &amp; $A68, Table2[HomeTeam], AE$1)</f>
        <v>1</v>
      </c>
      <c r="AF68" s="145">
        <f>SUMIFS(Table2[NewPointsAway],Table2[GameDate], "&lt;=" &amp; $A68, Table2[AwayTeam], AF$1)+SUMIFS(Table2[NewPointsHome],Table2[GameDate], "&lt;=" &amp; $A68, Table2[HomeTeam], AF$1)</f>
        <v>0</v>
      </c>
      <c r="AG68" s="145">
        <f>SUMIFS(Table2[NewPointsAway],Table2[GameDate], "&lt;=" &amp; $A68, Table2[AwayTeam], AG$1)+SUMIFS(Table2[NewPointsHome],Table2[GameDate], "&lt;=" &amp; $A68, Table2[HomeTeam], AG$1)</f>
        <v>0</v>
      </c>
    </row>
    <row r="69" spans="1:33" x14ac:dyDescent="0.25">
      <c r="A69" s="3">
        <v>46000</v>
      </c>
      <c r="B69" s="145">
        <f>SUMIFS(Table2[NewPointsAway],Table2[GameDate], "&lt;=" &amp; $A69, Table2[AwayTeam], B$1)+SUMIFS(Table2[NewPointsHome],Table2[GameDate], "&lt;=" &amp; $A69, Table2[HomeTeam], B$1)</f>
        <v>0</v>
      </c>
      <c r="C69" s="145">
        <f>SUMIFS(Table2[NewPointsAway],Table2[GameDate], "&lt;=" &amp; $A69, Table2[AwayTeam], C$1)+SUMIFS(Table2[NewPointsHome],Table2[GameDate], "&lt;=" &amp; $A69, Table2[HomeTeam], C$1)</f>
        <v>2</v>
      </c>
      <c r="D69" s="145">
        <f>SUMIFS(Table2[NewPointsAway],Table2[GameDate], "&lt;=" &amp; $A69, Table2[AwayTeam], D$1)+SUMIFS(Table2[NewPointsHome],Table2[GameDate], "&lt;=" &amp; $A69, Table2[HomeTeam], D$1)</f>
        <v>0</v>
      </c>
      <c r="E69" s="145">
        <f>SUMIFS(Table2[NewPointsAway],Table2[GameDate], "&lt;=" &amp; $A69, Table2[AwayTeam], E$1)+SUMIFS(Table2[NewPointsHome],Table2[GameDate], "&lt;=" &amp; $A69, Table2[HomeTeam], E$1)</f>
        <v>0</v>
      </c>
      <c r="F69" s="145">
        <f>SUMIFS(Table2[NewPointsAway],Table2[GameDate], "&lt;=" &amp; $A69, Table2[AwayTeam], F$1)+SUMIFS(Table2[NewPointsHome],Table2[GameDate], "&lt;=" &amp; $A69, Table2[HomeTeam], F$1)</f>
        <v>0</v>
      </c>
      <c r="G69" s="145">
        <f>SUMIFS(Table2[NewPointsAway],Table2[GameDate], "&lt;=" &amp; $A69, Table2[AwayTeam], G$1)+SUMIFS(Table2[NewPointsHome],Table2[GameDate], "&lt;=" &amp; $A69, Table2[HomeTeam], G$1)</f>
        <v>2</v>
      </c>
      <c r="H69" s="145">
        <f>SUMIFS(Table2[NewPointsAway],Table2[GameDate], "&lt;=" &amp; $A69, Table2[AwayTeam], H$1)+SUMIFS(Table2[NewPointsHome],Table2[GameDate], "&lt;=" &amp; $A69, Table2[HomeTeam], H$1)</f>
        <v>0</v>
      </c>
      <c r="I69" s="145">
        <f>SUMIFS(Table2[NewPointsAway],Table2[GameDate], "&lt;=" &amp; $A69, Table2[AwayTeam], I$1)+SUMIFS(Table2[NewPointsHome],Table2[GameDate], "&lt;=" &amp; $A69, Table2[HomeTeam], I$1)</f>
        <v>2</v>
      </c>
      <c r="J69" s="145">
        <f>SUMIFS(Table2[NewPointsAway],Table2[GameDate], "&lt;=" &amp; $A69, Table2[AwayTeam], J$1)+SUMIFS(Table2[NewPointsHome],Table2[GameDate], "&lt;=" &amp; $A69, Table2[HomeTeam], J$1)</f>
        <v>0</v>
      </c>
      <c r="K69" s="145">
        <f>SUMIFS(Table2[NewPointsAway],Table2[GameDate], "&lt;=" &amp; $A69, Table2[AwayTeam], K$1)+SUMIFS(Table2[NewPointsHome],Table2[GameDate], "&lt;=" &amp; $A69, Table2[HomeTeam], K$1)</f>
        <v>0</v>
      </c>
      <c r="L69" s="145">
        <f>SUMIFS(Table2[NewPointsAway],Table2[GameDate], "&lt;=" &amp; $A69, Table2[AwayTeam], L$1)+SUMIFS(Table2[NewPointsHome],Table2[GameDate], "&lt;=" &amp; $A69, Table2[HomeTeam], L$1)</f>
        <v>1</v>
      </c>
      <c r="M69" s="145">
        <f>SUMIFS(Table2[NewPointsAway],Table2[GameDate], "&lt;=" &amp; $A69, Table2[AwayTeam], M$1)+SUMIFS(Table2[NewPointsHome],Table2[GameDate], "&lt;=" &amp; $A69, Table2[HomeTeam], M$1)</f>
        <v>2</v>
      </c>
      <c r="N69" s="145">
        <f>SUMIFS(Table2[NewPointsAway],Table2[GameDate], "&lt;=" &amp; $A69, Table2[AwayTeam], N$1)+SUMIFS(Table2[NewPointsHome],Table2[GameDate], "&lt;=" &amp; $A69, Table2[HomeTeam], N$1)</f>
        <v>2</v>
      </c>
      <c r="O69" s="145">
        <f>SUMIFS(Table2[NewPointsAway],Table2[GameDate], "&lt;=" &amp; $A69, Table2[AwayTeam], O$1)+SUMIFS(Table2[NewPointsHome],Table2[GameDate], "&lt;=" &amp; $A69, Table2[HomeTeam], O$1)</f>
        <v>0</v>
      </c>
      <c r="P69" s="145">
        <f>SUMIFS(Table2[NewPointsAway],Table2[GameDate], "&lt;=" &amp; $A69, Table2[AwayTeam], P$1)+SUMIFS(Table2[NewPointsHome],Table2[GameDate], "&lt;=" &amp; $A69, Table2[HomeTeam], P$1)</f>
        <v>0</v>
      </c>
      <c r="Q69" s="145">
        <f>SUMIFS(Table2[NewPointsAway],Table2[GameDate], "&lt;=" &amp; $A69, Table2[AwayTeam], Q$1)+SUMIFS(Table2[NewPointsHome],Table2[GameDate], "&lt;=" &amp; $A69, Table2[HomeTeam], Q$1)</f>
        <v>0</v>
      </c>
      <c r="R69" s="145">
        <f>SUMIFS(Table2[NewPointsAway],Table2[GameDate], "&lt;=" &amp; $A69, Table2[AwayTeam], R$1)+SUMIFS(Table2[NewPointsHome],Table2[GameDate], "&lt;=" &amp; $A69, Table2[HomeTeam], R$1)</f>
        <v>0</v>
      </c>
      <c r="S69" s="145">
        <f>SUMIFS(Table2[NewPointsAway],Table2[GameDate], "&lt;=" &amp; $A69, Table2[AwayTeam], S$1)+SUMIFS(Table2[NewPointsHome],Table2[GameDate], "&lt;=" &amp; $A69, Table2[HomeTeam], S$1)</f>
        <v>0</v>
      </c>
      <c r="T69" s="145">
        <f>SUMIFS(Table2[NewPointsAway],Table2[GameDate], "&lt;=" &amp; $A69, Table2[AwayTeam], T$1)+SUMIFS(Table2[NewPointsHome],Table2[GameDate], "&lt;=" &amp; $A69, Table2[HomeTeam], T$1)</f>
        <v>0</v>
      </c>
      <c r="U69" s="145">
        <f>SUMIFS(Table2[NewPointsAway],Table2[GameDate], "&lt;=" &amp; $A69, Table2[AwayTeam], U$1)+SUMIFS(Table2[NewPointsHome],Table2[GameDate], "&lt;=" &amp; $A69, Table2[HomeTeam], U$1)</f>
        <v>0</v>
      </c>
      <c r="V69" s="145">
        <f>SUMIFS(Table2[NewPointsAway],Table2[GameDate], "&lt;=" &amp; $A69, Table2[AwayTeam], V$1)+SUMIFS(Table2[NewPointsHome],Table2[GameDate], "&lt;=" &amp; $A69, Table2[HomeTeam], V$1)</f>
        <v>0</v>
      </c>
      <c r="W69" s="145">
        <f>SUMIFS(Table2[NewPointsAway],Table2[GameDate], "&lt;=" &amp; $A69, Table2[AwayTeam], W$1)+SUMIFS(Table2[NewPointsHome],Table2[GameDate], "&lt;=" &amp; $A69, Table2[HomeTeam], W$1)</f>
        <v>2</v>
      </c>
      <c r="X69" s="145">
        <f>SUMIFS(Table2[NewPointsAway],Table2[GameDate], "&lt;=" &amp; $A69, Table2[AwayTeam], X$1)+SUMIFS(Table2[NewPointsHome],Table2[GameDate], "&lt;=" &amp; $A69, Table2[HomeTeam], X$1)</f>
        <v>0</v>
      </c>
      <c r="Y69" s="145">
        <f>SUMIFS(Table2[NewPointsAway],Table2[GameDate], "&lt;=" &amp; $A69, Table2[AwayTeam], Y$1)+SUMIFS(Table2[NewPointsHome],Table2[GameDate], "&lt;=" &amp; $A69, Table2[HomeTeam], Y$1)</f>
        <v>0</v>
      </c>
      <c r="Z69" s="145">
        <f>SUMIFS(Table2[NewPointsAway],Table2[GameDate], "&lt;=" &amp; $A69, Table2[AwayTeam], Z$1)+SUMIFS(Table2[NewPointsHome],Table2[GameDate], "&lt;=" &amp; $A69, Table2[HomeTeam], Z$1)</f>
        <v>0</v>
      </c>
      <c r="AA69" s="145">
        <f>SUMIFS(Table2[NewPointsAway],Table2[GameDate], "&lt;=" &amp; $A69, Table2[AwayTeam], AA$1)+SUMIFS(Table2[NewPointsHome],Table2[GameDate], "&lt;=" &amp; $A69, Table2[HomeTeam], AA$1)</f>
        <v>0</v>
      </c>
      <c r="AB69" s="145">
        <f>SUMIFS(Table2[NewPointsAway],Table2[GameDate], "&lt;=" &amp; $A69, Table2[AwayTeam], AB$1)+SUMIFS(Table2[NewPointsHome],Table2[GameDate], "&lt;=" &amp; $A69, Table2[HomeTeam], AB$1)</f>
        <v>2</v>
      </c>
      <c r="AC69" s="145">
        <f>SUMIFS(Table2[NewPointsAway],Table2[GameDate], "&lt;=" &amp; $A69, Table2[AwayTeam], AC$1)+SUMIFS(Table2[NewPointsHome],Table2[GameDate], "&lt;=" &amp; $A69, Table2[HomeTeam], AC$1)</f>
        <v>0</v>
      </c>
      <c r="AD69" s="145">
        <f>SUMIFS(Table2[NewPointsAway],Table2[GameDate], "&lt;=" &amp; $A69, Table2[AwayTeam], AD$1)+SUMIFS(Table2[NewPointsHome],Table2[GameDate], "&lt;=" &amp; $A69, Table2[HomeTeam], AD$1)</f>
        <v>0</v>
      </c>
      <c r="AE69" s="145">
        <f>SUMIFS(Table2[NewPointsAway],Table2[GameDate], "&lt;=" &amp; $A69, Table2[AwayTeam], AE$1)+SUMIFS(Table2[NewPointsHome],Table2[GameDate], "&lt;=" &amp; $A69, Table2[HomeTeam], AE$1)</f>
        <v>1</v>
      </c>
      <c r="AF69" s="145">
        <f>SUMIFS(Table2[NewPointsAway],Table2[GameDate], "&lt;=" &amp; $A69, Table2[AwayTeam], AF$1)+SUMIFS(Table2[NewPointsHome],Table2[GameDate], "&lt;=" &amp; $A69, Table2[HomeTeam], AF$1)</f>
        <v>0</v>
      </c>
      <c r="AG69" s="145">
        <f>SUMIFS(Table2[NewPointsAway],Table2[GameDate], "&lt;=" &amp; $A69, Table2[AwayTeam], AG$1)+SUMIFS(Table2[NewPointsHome],Table2[GameDate], "&lt;=" &amp; $A69, Table2[HomeTeam], AG$1)</f>
        <v>0</v>
      </c>
    </row>
    <row r="70" spans="1:33" x14ac:dyDescent="0.25">
      <c r="A70" s="3">
        <v>46001</v>
      </c>
      <c r="B70" s="145">
        <f>SUMIFS(Table2[NewPointsAway],Table2[GameDate], "&lt;=" &amp; $A70, Table2[AwayTeam], B$1)+SUMIFS(Table2[NewPointsHome],Table2[GameDate], "&lt;=" &amp; $A70, Table2[HomeTeam], B$1)</f>
        <v>0</v>
      </c>
      <c r="C70" s="145">
        <f>SUMIFS(Table2[NewPointsAway],Table2[GameDate], "&lt;=" &amp; $A70, Table2[AwayTeam], C$1)+SUMIFS(Table2[NewPointsHome],Table2[GameDate], "&lt;=" &amp; $A70, Table2[HomeTeam], C$1)</f>
        <v>2</v>
      </c>
      <c r="D70" s="145">
        <f>SUMIFS(Table2[NewPointsAway],Table2[GameDate], "&lt;=" &amp; $A70, Table2[AwayTeam], D$1)+SUMIFS(Table2[NewPointsHome],Table2[GameDate], "&lt;=" &amp; $A70, Table2[HomeTeam], D$1)</f>
        <v>0</v>
      </c>
      <c r="E70" s="145">
        <f>SUMIFS(Table2[NewPointsAway],Table2[GameDate], "&lt;=" &amp; $A70, Table2[AwayTeam], E$1)+SUMIFS(Table2[NewPointsHome],Table2[GameDate], "&lt;=" &amp; $A70, Table2[HomeTeam], E$1)</f>
        <v>0</v>
      </c>
      <c r="F70" s="145">
        <f>SUMIFS(Table2[NewPointsAway],Table2[GameDate], "&lt;=" &amp; $A70, Table2[AwayTeam], F$1)+SUMIFS(Table2[NewPointsHome],Table2[GameDate], "&lt;=" &amp; $A70, Table2[HomeTeam], F$1)</f>
        <v>0</v>
      </c>
      <c r="G70" s="145">
        <f>SUMIFS(Table2[NewPointsAway],Table2[GameDate], "&lt;=" &amp; $A70, Table2[AwayTeam], G$1)+SUMIFS(Table2[NewPointsHome],Table2[GameDate], "&lt;=" &amp; $A70, Table2[HomeTeam], G$1)</f>
        <v>2</v>
      </c>
      <c r="H70" s="145">
        <f>SUMIFS(Table2[NewPointsAway],Table2[GameDate], "&lt;=" &amp; $A70, Table2[AwayTeam], H$1)+SUMIFS(Table2[NewPointsHome],Table2[GameDate], "&lt;=" &amp; $A70, Table2[HomeTeam], H$1)</f>
        <v>0</v>
      </c>
      <c r="I70" s="145">
        <f>SUMIFS(Table2[NewPointsAway],Table2[GameDate], "&lt;=" &amp; $A70, Table2[AwayTeam], I$1)+SUMIFS(Table2[NewPointsHome],Table2[GameDate], "&lt;=" &amp; $A70, Table2[HomeTeam], I$1)</f>
        <v>2</v>
      </c>
      <c r="J70" s="145">
        <f>SUMIFS(Table2[NewPointsAway],Table2[GameDate], "&lt;=" &amp; $A70, Table2[AwayTeam], J$1)+SUMIFS(Table2[NewPointsHome],Table2[GameDate], "&lt;=" &amp; $A70, Table2[HomeTeam], J$1)</f>
        <v>0</v>
      </c>
      <c r="K70" s="145">
        <f>SUMIFS(Table2[NewPointsAway],Table2[GameDate], "&lt;=" &amp; $A70, Table2[AwayTeam], K$1)+SUMIFS(Table2[NewPointsHome],Table2[GameDate], "&lt;=" &amp; $A70, Table2[HomeTeam], K$1)</f>
        <v>0</v>
      </c>
      <c r="L70" s="145">
        <f>SUMIFS(Table2[NewPointsAway],Table2[GameDate], "&lt;=" &amp; $A70, Table2[AwayTeam], L$1)+SUMIFS(Table2[NewPointsHome],Table2[GameDate], "&lt;=" &amp; $A70, Table2[HomeTeam], L$1)</f>
        <v>1</v>
      </c>
      <c r="M70" s="145">
        <f>SUMIFS(Table2[NewPointsAway],Table2[GameDate], "&lt;=" &amp; $A70, Table2[AwayTeam], M$1)+SUMIFS(Table2[NewPointsHome],Table2[GameDate], "&lt;=" &amp; $A70, Table2[HomeTeam], M$1)</f>
        <v>2</v>
      </c>
      <c r="N70" s="145">
        <f>SUMIFS(Table2[NewPointsAway],Table2[GameDate], "&lt;=" &amp; $A70, Table2[AwayTeam], N$1)+SUMIFS(Table2[NewPointsHome],Table2[GameDate], "&lt;=" &amp; $A70, Table2[HomeTeam], N$1)</f>
        <v>2</v>
      </c>
      <c r="O70" s="145">
        <f>SUMIFS(Table2[NewPointsAway],Table2[GameDate], "&lt;=" &amp; $A70, Table2[AwayTeam], O$1)+SUMIFS(Table2[NewPointsHome],Table2[GameDate], "&lt;=" &amp; $A70, Table2[HomeTeam], O$1)</f>
        <v>0</v>
      </c>
      <c r="P70" s="145">
        <f>SUMIFS(Table2[NewPointsAway],Table2[GameDate], "&lt;=" &amp; $A70, Table2[AwayTeam], P$1)+SUMIFS(Table2[NewPointsHome],Table2[GameDate], "&lt;=" &amp; $A70, Table2[HomeTeam], P$1)</f>
        <v>0</v>
      </c>
      <c r="Q70" s="145">
        <f>SUMIFS(Table2[NewPointsAway],Table2[GameDate], "&lt;=" &amp; $A70, Table2[AwayTeam], Q$1)+SUMIFS(Table2[NewPointsHome],Table2[GameDate], "&lt;=" &amp; $A70, Table2[HomeTeam], Q$1)</f>
        <v>0</v>
      </c>
      <c r="R70" s="145">
        <f>SUMIFS(Table2[NewPointsAway],Table2[GameDate], "&lt;=" &amp; $A70, Table2[AwayTeam], R$1)+SUMIFS(Table2[NewPointsHome],Table2[GameDate], "&lt;=" &amp; $A70, Table2[HomeTeam], R$1)</f>
        <v>0</v>
      </c>
      <c r="S70" s="145">
        <f>SUMIFS(Table2[NewPointsAway],Table2[GameDate], "&lt;=" &amp; $A70, Table2[AwayTeam], S$1)+SUMIFS(Table2[NewPointsHome],Table2[GameDate], "&lt;=" &amp; $A70, Table2[HomeTeam], S$1)</f>
        <v>0</v>
      </c>
      <c r="T70" s="145">
        <f>SUMIFS(Table2[NewPointsAway],Table2[GameDate], "&lt;=" &amp; $A70, Table2[AwayTeam], T$1)+SUMIFS(Table2[NewPointsHome],Table2[GameDate], "&lt;=" &amp; $A70, Table2[HomeTeam], T$1)</f>
        <v>0</v>
      </c>
      <c r="U70" s="145">
        <f>SUMIFS(Table2[NewPointsAway],Table2[GameDate], "&lt;=" &amp; $A70, Table2[AwayTeam], U$1)+SUMIFS(Table2[NewPointsHome],Table2[GameDate], "&lt;=" &amp; $A70, Table2[HomeTeam], U$1)</f>
        <v>0</v>
      </c>
      <c r="V70" s="145">
        <f>SUMIFS(Table2[NewPointsAway],Table2[GameDate], "&lt;=" &amp; $A70, Table2[AwayTeam], V$1)+SUMIFS(Table2[NewPointsHome],Table2[GameDate], "&lt;=" &amp; $A70, Table2[HomeTeam], V$1)</f>
        <v>0</v>
      </c>
      <c r="W70" s="145">
        <f>SUMIFS(Table2[NewPointsAway],Table2[GameDate], "&lt;=" &amp; $A70, Table2[AwayTeam], W$1)+SUMIFS(Table2[NewPointsHome],Table2[GameDate], "&lt;=" &amp; $A70, Table2[HomeTeam], W$1)</f>
        <v>2</v>
      </c>
      <c r="X70" s="145">
        <f>SUMIFS(Table2[NewPointsAway],Table2[GameDate], "&lt;=" &amp; $A70, Table2[AwayTeam], X$1)+SUMIFS(Table2[NewPointsHome],Table2[GameDate], "&lt;=" &amp; $A70, Table2[HomeTeam], X$1)</f>
        <v>0</v>
      </c>
      <c r="Y70" s="145">
        <f>SUMIFS(Table2[NewPointsAway],Table2[GameDate], "&lt;=" &amp; $A70, Table2[AwayTeam], Y$1)+SUMIFS(Table2[NewPointsHome],Table2[GameDate], "&lt;=" &amp; $A70, Table2[HomeTeam], Y$1)</f>
        <v>0</v>
      </c>
      <c r="Z70" s="145">
        <f>SUMIFS(Table2[NewPointsAway],Table2[GameDate], "&lt;=" &amp; $A70, Table2[AwayTeam], Z$1)+SUMIFS(Table2[NewPointsHome],Table2[GameDate], "&lt;=" &amp; $A70, Table2[HomeTeam], Z$1)</f>
        <v>0</v>
      </c>
      <c r="AA70" s="145">
        <f>SUMIFS(Table2[NewPointsAway],Table2[GameDate], "&lt;=" &amp; $A70, Table2[AwayTeam], AA$1)+SUMIFS(Table2[NewPointsHome],Table2[GameDate], "&lt;=" &amp; $A70, Table2[HomeTeam], AA$1)</f>
        <v>0</v>
      </c>
      <c r="AB70" s="145">
        <f>SUMIFS(Table2[NewPointsAway],Table2[GameDate], "&lt;=" &amp; $A70, Table2[AwayTeam], AB$1)+SUMIFS(Table2[NewPointsHome],Table2[GameDate], "&lt;=" &amp; $A70, Table2[HomeTeam], AB$1)</f>
        <v>2</v>
      </c>
      <c r="AC70" s="145">
        <f>SUMIFS(Table2[NewPointsAway],Table2[GameDate], "&lt;=" &amp; $A70, Table2[AwayTeam], AC$1)+SUMIFS(Table2[NewPointsHome],Table2[GameDate], "&lt;=" &amp; $A70, Table2[HomeTeam], AC$1)</f>
        <v>0</v>
      </c>
      <c r="AD70" s="145">
        <f>SUMIFS(Table2[NewPointsAway],Table2[GameDate], "&lt;=" &amp; $A70, Table2[AwayTeam], AD$1)+SUMIFS(Table2[NewPointsHome],Table2[GameDate], "&lt;=" &amp; $A70, Table2[HomeTeam], AD$1)</f>
        <v>0</v>
      </c>
      <c r="AE70" s="145">
        <f>SUMIFS(Table2[NewPointsAway],Table2[GameDate], "&lt;=" &amp; $A70, Table2[AwayTeam], AE$1)+SUMIFS(Table2[NewPointsHome],Table2[GameDate], "&lt;=" &amp; $A70, Table2[HomeTeam], AE$1)</f>
        <v>1</v>
      </c>
      <c r="AF70" s="145">
        <f>SUMIFS(Table2[NewPointsAway],Table2[GameDate], "&lt;=" &amp; $A70, Table2[AwayTeam], AF$1)+SUMIFS(Table2[NewPointsHome],Table2[GameDate], "&lt;=" &amp; $A70, Table2[HomeTeam], AF$1)</f>
        <v>0</v>
      </c>
      <c r="AG70" s="145">
        <f>SUMIFS(Table2[NewPointsAway],Table2[GameDate], "&lt;=" &amp; $A70, Table2[AwayTeam], AG$1)+SUMIFS(Table2[NewPointsHome],Table2[GameDate], "&lt;=" &amp; $A70, Table2[HomeTeam], AG$1)</f>
        <v>0</v>
      </c>
    </row>
    <row r="71" spans="1:33" x14ac:dyDescent="0.25">
      <c r="A71" s="3">
        <v>46002</v>
      </c>
      <c r="B71" s="145">
        <f>SUMIFS(Table2[NewPointsAway],Table2[GameDate], "&lt;=" &amp; $A71, Table2[AwayTeam], B$1)+SUMIFS(Table2[NewPointsHome],Table2[GameDate], "&lt;=" &amp; $A71, Table2[HomeTeam], B$1)</f>
        <v>0</v>
      </c>
      <c r="C71" s="145">
        <f>SUMIFS(Table2[NewPointsAway],Table2[GameDate], "&lt;=" &amp; $A71, Table2[AwayTeam], C$1)+SUMIFS(Table2[NewPointsHome],Table2[GameDate], "&lt;=" &amp; $A71, Table2[HomeTeam], C$1)</f>
        <v>2</v>
      </c>
      <c r="D71" s="145">
        <f>SUMIFS(Table2[NewPointsAway],Table2[GameDate], "&lt;=" &amp; $A71, Table2[AwayTeam], D$1)+SUMIFS(Table2[NewPointsHome],Table2[GameDate], "&lt;=" &amp; $A71, Table2[HomeTeam], D$1)</f>
        <v>0</v>
      </c>
      <c r="E71" s="145">
        <f>SUMIFS(Table2[NewPointsAway],Table2[GameDate], "&lt;=" &amp; $A71, Table2[AwayTeam], E$1)+SUMIFS(Table2[NewPointsHome],Table2[GameDate], "&lt;=" &amp; $A71, Table2[HomeTeam], E$1)</f>
        <v>0</v>
      </c>
      <c r="F71" s="145">
        <f>SUMIFS(Table2[NewPointsAway],Table2[GameDate], "&lt;=" &amp; $A71, Table2[AwayTeam], F$1)+SUMIFS(Table2[NewPointsHome],Table2[GameDate], "&lt;=" &amp; $A71, Table2[HomeTeam], F$1)</f>
        <v>0</v>
      </c>
      <c r="G71" s="145">
        <f>SUMIFS(Table2[NewPointsAway],Table2[GameDate], "&lt;=" &amp; $A71, Table2[AwayTeam], G$1)+SUMIFS(Table2[NewPointsHome],Table2[GameDate], "&lt;=" &amp; $A71, Table2[HomeTeam], G$1)</f>
        <v>2</v>
      </c>
      <c r="H71" s="145">
        <f>SUMIFS(Table2[NewPointsAway],Table2[GameDate], "&lt;=" &amp; $A71, Table2[AwayTeam], H$1)+SUMIFS(Table2[NewPointsHome],Table2[GameDate], "&lt;=" &amp; $A71, Table2[HomeTeam], H$1)</f>
        <v>0</v>
      </c>
      <c r="I71" s="145">
        <f>SUMIFS(Table2[NewPointsAway],Table2[GameDate], "&lt;=" &amp; $A71, Table2[AwayTeam], I$1)+SUMIFS(Table2[NewPointsHome],Table2[GameDate], "&lt;=" &amp; $A71, Table2[HomeTeam], I$1)</f>
        <v>2</v>
      </c>
      <c r="J71" s="145">
        <f>SUMIFS(Table2[NewPointsAway],Table2[GameDate], "&lt;=" &amp; $A71, Table2[AwayTeam], J$1)+SUMIFS(Table2[NewPointsHome],Table2[GameDate], "&lt;=" &amp; $A71, Table2[HomeTeam], J$1)</f>
        <v>0</v>
      </c>
      <c r="K71" s="145">
        <f>SUMIFS(Table2[NewPointsAway],Table2[GameDate], "&lt;=" &amp; $A71, Table2[AwayTeam], K$1)+SUMIFS(Table2[NewPointsHome],Table2[GameDate], "&lt;=" &amp; $A71, Table2[HomeTeam], K$1)</f>
        <v>0</v>
      </c>
      <c r="L71" s="145">
        <f>SUMIFS(Table2[NewPointsAway],Table2[GameDate], "&lt;=" &amp; $A71, Table2[AwayTeam], L$1)+SUMIFS(Table2[NewPointsHome],Table2[GameDate], "&lt;=" &amp; $A71, Table2[HomeTeam], L$1)</f>
        <v>1</v>
      </c>
      <c r="M71" s="145">
        <f>SUMIFS(Table2[NewPointsAway],Table2[GameDate], "&lt;=" &amp; $A71, Table2[AwayTeam], M$1)+SUMIFS(Table2[NewPointsHome],Table2[GameDate], "&lt;=" &amp; $A71, Table2[HomeTeam], M$1)</f>
        <v>2</v>
      </c>
      <c r="N71" s="145">
        <f>SUMIFS(Table2[NewPointsAway],Table2[GameDate], "&lt;=" &amp; $A71, Table2[AwayTeam], N$1)+SUMIFS(Table2[NewPointsHome],Table2[GameDate], "&lt;=" &amp; $A71, Table2[HomeTeam], N$1)</f>
        <v>2</v>
      </c>
      <c r="O71" s="145">
        <f>SUMIFS(Table2[NewPointsAway],Table2[GameDate], "&lt;=" &amp; $A71, Table2[AwayTeam], O$1)+SUMIFS(Table2[NewPointsHome],Table2[GameDate], "&lt;=" &amp; $A71, Table2[HomeTeam], O$1)</f>
        <v>0</v>
      </c>
      <c r="P71" s="145">
        <f>SUMIFS(Table2[NewPointsAway],Table2[GameDate], "&lt;=" &amp; $A71, Table2[AwayTeam], P$1)+SUMIFS(Table2[NewPointsHome],Table2[GameDate], "&lt;=" &amp; $A71, Table2[HomeTeam], P$1)</f>
        <v>0</v>
      </c>
      <c r="Q71" s="145">
        <f>SUMIFS(Table2[NewPointsAway],Table2[GameDate], "&lt;=" &amp; $A71, Table2[AwayTeam], Q$1)+SUMIFS(Table2[NewPointsHome],Table2[GameDate], "&lt;=" &amp; $A71, Table2[HomeTeam], Q$1)</f>
        <v>0</v>
      </c>
      <c r="R71" s="145">
        <f>SUMIFS(Table2[NewPointsAway],Table2[GameDate], "&lt;=" &amp; $A71, Table2[AwayTeam], R$1)+SUMIFS(Table2[NewPointsHome],Table2[GameDate], "&lt;=" &amp; $A71, Table2[HomeTeam], R$1)</f>
        <v>0</v>
      </c>
      <c r="S71" s="145">
        <f>SUMIFS(Table2[NewPointsAway],Table2[GameDate], "&lt;=" &amp; $A71, Table2[AwayTeam], S$1)+SUMIFS(Table2[NewPointsHome],Table2[GameDate], "&lt;=" &amp; $A71, Table2[HomeTeam], S$1)</f>
        <v>0</v>
      </c>
      <c r="T71" s="145">
        <f>SUMIFS(Table2[NewPointsAway],Table2[GameDate], "&lt;=" &amp; $A71, Table2[AwayTeam], T$1)+SUMIFS(Table2[NewPointsHome],Table2[GameDate], "&lt;=" &amp; $A71, Table2[HomeTeam], T$1)</f>
        <v>0</v>
      </c>
      <c r="U71" s="145">
        <f>SUMIFS(Table2[NewPointsAway],Table2[GameDate], "&lt;=" &amp; $A71, Table2[AwayTeam], U$1)+SUMIFS(Table2[NewPointsHome],Table2[GameDate], "&lt;=" &amp; $A71, Table2[HomeTeam], U$1)</f>
        <v>0</v>
      </c>
      <c r="V71" s="145">
        <f>SUMIFS(Table2[NewPointsAway],Table2[GameDate], "&lt;=" &amp; $A71, Table2[AwayTeam], V$1)+SUMIFS(Table2[NewPointsHome],Table2[GameDate], "&lt;=" &amp; $A71, Table2[HomeTeam], V$1)</f>
        <v>0</v>
      </c>
      <c r="W71" s="145">
        <f>SUMIFS(Table2[NewPointsAway],Table2[GameDate], "&lt;=" &amp; $A71, Table2[AwayTeam], W$1)+SUMIFS(Table2[NewPointsHome],Table2[GameDate], "&lt;=" &amp; $A71, Table2[HomeTeam], W$1)</f>
        <v>2</v>
      </c>
      <c r="X71" s="145">
        <f>SUMIFS(Table2[NewPointsAway],Table2[GameDate], "&lt;=" &amp; $A71, Table2[AwayTeam], X$1)+SUMIFS(Table2[NewPointsHome],Table2[GameDate], "&lt;=" &amp; $A71, Table2[HomeTeam], X$1)</f>
        <v>0</v>
      </c>
      <c r="Y71" s="145">
        <f>SUMIFS(Table2[NewPointsAway],Table2[GameDate], "&lt;=" &amp; $A71, Table2[AwayTeam], Y$1)+SUMIFS(Table2[NewPointsHome],Table2[GameDate], "&lt;=" &amp; $A71, Table2[HomeTeam], Y$1)</f>
        <v>0</v>
      </c>
      <c r="Z71" s="145">
        <f>SUMIFS(Table2[NewPointsAway],Table2[GameDate], "&lt;=" &amp; $A71, Table2[AwayTeam], Z$1)+SUMIFS(Table2[NewPointsHome],Table2[GameDate], "&lt;=" &amp; $A71, Table2[HomeTeam], Z$1)</f>
        <v>0</v>
      </c>
      <c r="AA71" s="145">
        <f>SUMIFS(Table2[NewPointsAway],Table2[GameDate], "&lt;=" &amp; $A71, Table2[AwayTeam], AA$1)+SUMIFS(Table2[NewPointsHome],Table2[GameDate], "&lt;=" &amp; $A71, Table2[HomeTeam], AA$1)</f>
        <v>0</v>
      </c>
      <c r="AB71" s="145">
        <f>SUMIFS(Table2[NewPointsAway],Table2[GameDate], "&lt;=" &amp; $A71, Table2[AwayTeam], AB$1)+SUMIFS(Table2[NewPointsHome],Table2[GameDate], "&lt;=" &amp; $A71, Table2[HomeTeam], AB$1)</f>
        <v>2</v>
      </c>
      <c r="AC71" s="145">
        <f>SUMIFS(Table2[NewPointsAway],Table2[GameDate], "&lt;=" &amp; $A71, Table2[AwayTeam], AC$1)+SUMIFS(Table2[NewPointsHome],Table2[GameDate], "&lt;=" &amp; $A71, Table2[HomeTeam], AC$1)</f>
        <v>0</v>
      </c>
      <c r="AD71" s="145">
        <f>SUMIFS(Table2[NewPointsAway],Table2[GameDate], "&lt;=" &amp; $A71, Table2[AwayTeam], AD$1)+SUMIFS(Table2[NewPointsHome],Table2[GameDate], "&lt;=" &amp; $A71, Table2[HomeTeam], AD$1)</f>
        <v>0</v>
      </c>
      <c r="AE71" s="145">
        <f>SUMIFS(Table2[NewPointsAway],Table2[GameDate], "&lt;=" &amp; $A71, Table2[AwayTeam], AE$1)+SUMIFS(Table2[NewPointsHome],Table2[GameDate], "&lt;=" &amp; $A71, Table2[HomeTeam], AE$1)</f>
        <v>1</v>
      </c>
      <c r="AF71" s="145">
        <f>SUMIFS(Table2[NewPointsAway],Table2[GameDate], "&lt;=" &amp; $A71, Table2[AwayTeam], AF$1)+SUMIFS(Table2[NewPointsHome],Table2[GameDate], "&lt;=" &amp; $A71, Table2[HomeTeam], AF$1)</f>
        <v>0</v>
      </c>
      <c r="AG71" s="145">
        <f>SUMIFS(Table2[NewPointsAway],Table2[GameDate], "&lt;=" &amp; $A71, Table2[AwayTeam], AG$1)+SUMIFS(Table2[NewPointsHome],Table2[GameDate], "&lt;=" &amp; $A71, Table2[HomeTeam], AG$1)</f>
        <v>0</v>
      </c>
    </row>
    <row r="72" spans="1:33" x14ac:dyDescent="0.25">
      <c r="A72" s="3">
        <v>46003</v>
      </c>
      <c r="B72" s="145">
        <f>SUMIFS(Table2[NewPointsAway],Table2[GameDate], "&lt;=" &amp; $A72, Table2[AwayTeam], B$1)+SUMIFS(Table2[NewPointsHome],Table2[GameDate], "&lt;=" &amp; $A72, Table2[HomeTeam], B$1)</f>
        <v>0</v>
      </c>
      <c r="C72" s="145">
        <f>SUMIFS(Table2[NewPointsAway],Table2[GameDate], "&lt;=" &amp; $A72, Table2[AwayTeam], C$1)+SUMIFS(Table2[NewPointsHome],Table2[GameDate], "&lt;=" &amp; $A72, Table2[HomeTeam], C$1)</f>
        <v>2</v>
      </c>
      <c r="D72" s="145">
        <f>SUMIFS(Table2[NewPointsAway],Table2[GameDate], "&lt;=" &amp; $A72, Table2[AwayTeam], D$1)+SUMIFS(Table2[NewPointsHome],Table2[GameDate], "&lt;=" &amp; $A72, Table2[HomeTeam], D$1)</f>
        <v>0</v>
      </c>
      <c r="E72" s="145">
        <f>SUMIFS(Table2[NewPointsAway],Table2[GameDate], "&lt;=" &amp; $A72, Table2[AwayTeam], E$1)+SUMIFS(Table2[NewPointsHome],Table2[GameDate], "&lt;=" &amp; $A72, Table2[HomeTeam], E$1)</f>
        <v>0</v>
      </c>
      <c r="F72" s="145">
        <f>SUMIFS(Table2[NewPointsAway],Table2[GameDate], "&lt;=" &amp; $A72, Table2[AwayTeam], F$1)+SUMIFS(Table2[NewPointsHome],Table2[GameDate], "&lt;=" &amp; $A72, Table2[HomeTeam], F$1)</f>
        <v>0</v>
      </c>
      <c r="G72" s="145">
        <f>SUMIFS(Table2[NewPointsAway],Table2[GameDate], "&lt;=" &amp; $A72, Table2[AwayTeam], G$1)+SUMIFS(Table2[NewPointsHome],Table2[GameDate], "&lt;=" &amp; $A72, Table2[HomeTeam], G$1)</f>
        <v>2</v>
      </c>
      <c r="H72" s="145">
        <f>SUMIFS(Table2[NewPointsAway],Table2[GameDate], "&lt;=" &amp; $A72, Table2[AwayTeam], H$1)+SUMIFS(Table2[NewPointsHome],Table2[GameDate], "&lt;=" &amp; $A72, Table2[HomeTeam], H$1)</f>
        <v>0</v>
      </c>
      <c r="I72" s="145">
        <f>SUMIFS(Table2[NewPointsAway],Table2[GameDate], "&lt;=" &amp; $A72, Table2[AwayTeam], I$1)+SUMIFS(Table2[NewPointsHome],Table2[GameDate], "&lt;=" &amp; $A72, Table2[HomeTeam], I$1)</f>
        <v>2</v>
      </c>
      <c r="J72" s="145">
        <f>SUMIFS(Table2[NewPointsAway],Table2[GameDate], "&lt;=" &amp; $A72, Table2[AwayTeam], J$1)+SUMIFS(Table2[NewPointsHome],Table2[GameDate], "&lt;=" &amp; $A72, Table2[HomeTeam], J$1)</f>
        <v>0</v>
      </c>
      <c r="K72" s="145">
        <f>SUMIFS(Table2[NewPointsAway],Table2[GameDate], "&lt;=" &amp; $A72, Table2[AwayTeam], K$1)+SUMIFS(Table2[NewPointsHome],Table2[GameDate], "&lt;=" &amp; $A72, Table2[HomeTeam], K$1)</f>
        <v>0</v>
      </c>
      <c r="L72" s="145">
        <f>SUMIFS(Table2[NewPointsAway],Table2[GameDate], "&lt;=" &amp; $A72, Table2[AwayTeam], L$1)+SUMIFS(Table2[NewPointsHome],Table2[GameDate], "&lt;=" &amp; $A72, Table2[HomeTeam], L$1)</f>
        <v>1</v>
      </c>
      <c r="M72" s="145">
        <f>SUMIFS(Table2[NewPointsAway],Table2[GameDate], "&lt;=" &amp; $A72, Table2[AwayTeam], M$1)+SUMIFS(Table2[NewPointsHome],Table2[GameDate], "&lt;=" &amp; $A72, Table2[HomeTeam], M$1)</f>
        <v>2</v>
      </c>
      <c r="N72" s="145">
        <f>SUMIFS(Table2[NewPointsAway],Table2[GameDate], "&lt;=" &amp; $A72, Table2[AwayTeam], N$1)+SUMIFS(Table2[NewPointsHome],Table2[GameDate], "&lt;=" &amp; $A72, Table2[HomeTeam], N$1)</f>
        <v>2</v>
      </c>
      <c r="O72" s="145">
        <f>SUMIFS(Table2[NewPointsAway],Table2[GameDate], "&lt;=" &amp; $A72, Table2[AwayTeam], O$1)+SUMIFS(Table2[NewPointsHome],Table2[GameDate], "&lt;=" &amp; $A72, Table2[HomeTeam], O$1)</f>
        <v>0</v>
      </c>
      <c r="P72" s="145">
        <f>SUMIFS(Table2[NewPointsAway],Table2[GameDate], "&lt;=" &amp; $A72, Table2[AwayTeam], P$1)+SUMIFS(Table2[NewPointsHome],Table2[GameDate], "&lt;=" &amp; $A72, Table2[HomeTeam], P$1)</f>
        <v>0</v>
      </c>
      <c r="Q72" s="145">
        <f>SUMIFS(Table2[NewPointsAway],Table2[GameDate], "&lt;=" &amp; $A72, Table2[AwayTeam], Q$1)+SUMIFS(Table2[NewPointsHome],Table2[GameDate], "&lt;=" &amp; $A72, Table2[HomeTeam], Q$1)</f>
        <v>0</v>
      </c>
      <c r="R72" s="145">
        <f>SUMIFS(Table2[NewPointsAway],Table2[GameDate], "&lt;=" &amp; $A72, Table2[AwayTeam], R$1)+SUMIFS(Table2[NewPointsHome],Table2[GameDate], "&lt;=" &amp; $A72, Table2[HomeTeam], R$1)</f>
        <v>0</v>
      </c>
      <c r="S72" s="145">
        <f>SUMIFS(Table2[NewPointsAway],Table2[GameDate], "&lt;=" &amp; $A72, Table2[AwayTeam], S$1)+SUMIFS(Table2[NewPointsHome],Table2[GameDate], "&lt;=" &amp; $A72, Table2[HomeTeam], S$1)</f>
        <v>0</v>
      </c>
      <c r="T72" s="145">
        <f>SUMIFS(Table2[NewPointsAway],Table2[GameDate], "&lt;=" &amp; $A72, Table2[AwayTeam], T$1)+SUMIFS(Table2[NewPointsHome],Table2[GameDate], "&lt;=" &amp; $A72, Table2[HomeTeam], T$1)</f>
        <v>0</v>
      </c>
      <c r="U72" s="145">
        <f>SUMIFS(Table2[NewPointsAway],Table2[GameDate], "&lt;=" &amp; $A72, Table2[AwayTeam], U$1)+SUMIFS(Table2[NewPointsHome],Table2[GameDate], "&lt;=" &amp; $A72, Table2[HomeTeam], U$1)</f>
        <v>0</v>
      </c>
      <c r="V72" s="145">
        <f>SUMIFS(Table2[NewPointsAway],Table2[GameDate], "&lt;=" &amp; $A72, Table2[AwayTeam], V$1)+SUMIFS(Table2[NewPointsHome],Table2[GameDate], "&lt;=" &amp; $A72, Table2[HomeTeam], V$1)</f>
        <v>0</v>
      </c>
      <c r="W72" s="145">
        <f>SUMIFS(Table2[NewPointsAway],Table2[GameDate], "&lt;=" &amp; $A72, Table2[AwayTeam], W$1)+SUMIFS(Table2[NewPointsHome],Table2[GameDate], "&lt;=" &amp; $A72, Table2[HomeTeam], W$1)</f>
        <v>2</v>
      </c>
      <c r="X72" s="145">
        <f>SUMIFS(Table2[NewPointsAway],Table2[GameDate], "&lt;=" &amp; $A72, Table2[AwayTeam], X$1)+SUMIFS(Table2[NewPointsHome],Table2[GameDate], "&lt;=" &amp; $A72, Table2[HomeTeam], X$1)</f>
        <v>0</v>
      </c>
      <c r="Y72" s="145">
        <f>SUMIFS(Table2[NewPointsAway],Table2[GameDate], "&lt;=" &amp; $A72, Table2[AwayTeam], Y$1)+SUMIFS(Table2[NewPointsHome],Table2[GameDate], "&lt;=" &amp; $A72, Table2[HomeTeam], Y$1)</f>
        <v>0</v>
      </c>
      <c r="Z72" s="145">
        <f>SUMIFS(Table2[NewPointsAway],Table2[GameDate], "&lt;=" &amp; $A72, Table2[AwayTeam], Z$1)+SUMIFS(Table2[NewPointsHome],Table2[GameDate], "&lt;=" &amp; $A72, Table2[HomeTeam], Z$1)</f>
        <v>0</v>
      </c>
      <c r="AA72" s="145">
        <f>SUMIFS(Table2[NewPointsAway],Table2[GameDate], "&lt;=" &amp; $A72, Table2[AwayTeam], AA$1)+SUMIFS(Table2[NewPointsHome],Table2[GameDate], "&lt;=" &amp; $A72, Table2[HomeTeam], AA$1)</f>
        <v>0</v>
      </c>
      <c r="AB72" s="145">
        <f>SUMIFS(Table2[NewPointsAway],Table2[GameDate], "&lt;=" &amp; $A72, Table2[AwayTeam], AB$1)+SUMIFS(Table2[NewPointsHome],Table2[GameDate], "&lt;=" &amp; $A72, Table2[HomeTeam], AB$1)</f>
        <v>2</v>
      </c>
      <c r="AC72" s="145">
        <f>SUMIFS(Table2[NewPointsAway],Table2[GameDate], "&lt;=" &amp; $A72, Table2[AwayTeam], AC$1)+SUMIFS(Table2[NewPointsHome],Table2[GameDate], "&lt;=" &amp; $A72, Table2[HomeTeam], AC$1)</f>
        <v>0</v>
      </c>
      <c r="AD72" s="145">
        <f>SUMIFS(Table2[NewPointsAway],Table2[GameDate], "&lt;=" &amp; $A72, Table2[AwayTeam], AD$1)+SUMIFS(Table2[NewPointsHome],Table2[GameDate], "&lt;=" &amp; $A72, Table2[HomeTeam], AD$1)</f>
        <v>0</v>
      </c>
      <c r="AE72" s="145">
        <f>SUMIFS(Table2[NewPointsAway],Table2[GameDate], "&lt;=" &amp; $A72, Table2[AwayTeam], AE$1)+SUMIFS(Table2[NewPointsHome],Table2[GameDate], "&lt;=" &amp; $A72, Table2[HomeTeam], AE$1)</f>
        <v>1</v>
      </c>
      <c r="AF72" s="145">
        <f>SUMIFS(Table2[NewPointsAway],Table2[GameDate], "&lt;=" &amp; $A72, Table2[AwayTeam], AF$1)+SUMIFS(Table2[NewPointsHome],Table2[GameDate], "&lt;=" &amp; $A72, Table2[HomeTeam], AF$1)</f>
        <v>0</v>
      </c>
      <c r="AG72" s="145">
        <f>SUMIFS(Table2[NewPointsAway],Table2[GameDate], "&lt;=" &amp; $A72, Table2[AwayTeam], AG$1)+SUMIFS(Table2[NewPointsHome],Table2[GameDate], "&lt;=" &amp; $A72, Table2[HomeTeam], AG$1)</f>
        <v>0</v>
      </c>
    </row>
    <row r="73" spans="1:33" x14ac:dyDescent="0.25">
      <c r="A73" s="3">
        <v>46004</v>
      </c>
      <c r="B73" s="145">
        <f>SUMIFS(Table2[NewPointsAway],Table2[GameDate], "&lt;=" &amp; $A73, Table2[AwayTeam], B$1)+SUMIFS(Table2[NewPointsHome],Table2[GameDate], "&lt;=" &amp; $A73, Table2[HomeTeam], B$1)</f>
        <v>0</v>
      </c>
      <c r="C73" s="145">
        <f>SUMIFS(Table2[NewPointsAway],Table2[GameDate], "&lt;=" &amp; $A73, Table2[AwayTeam], C$1)+SUMIFS(Table2[NewPointsHome],Table2[GameDate], "&lt;=" &amp; $A73, Table2[HomeTeam], C$1)</f>
        <v>2</v>
      </c>
      <c r="D73" s="145">
        <f>SUMIFS(Table2[NewPointsAway],Table2[GameDate], "&lt;=" &amp; $A73, Table2[AwayTeam], D$1)+SUMIFS(Table2[NewPointsHome],Table2[GameDate], "&lt;=" &amp; $A73, Table2[HomeTeam], D$1)</f>
        <v>0</v>
      </c>
      <c r="E73" s="145">
        <f>SUMIFS(Table2[NewPointsAway],Table2[GameDate], "&lt;=" &amp; $A73, Table2[AwayTeam], E$1)+SUMIFS(Table2[NewPointsHome],Table2[GameDate], "&lt;=" &amp; $A73, Table2[HomeTeam], E$1)</f>
        <v>0</v>
      </c>
      <c r="F73" s="145">
        <f>SUMIFS(Table2[NewPointsAway],Table2[GameDate], "&lt;=" &amp; $A73, Table2[AwayTeam], F$1)+SUMIFS(Table2[NewPointsHome],Table2[GameDate], "&lt;=" &amp; $A73, Table2[HomeTeam], F$1)</f>
        <v>0</v>
      </c>
      <c r="G73" s="145">
        <f>SUMIFS(Table2[NewPointsAway],Table2[GameDate], "&lt;=" &amp; $A73, Table2[AwayTeam], G$1)+SUMIFS(Table2[NewPointsHome],Table2[GameDate], "&lt;=" &amp; $A73, Table2[HomeTeam], G$1)</f>
        <v>2</v>
      </c>
      <c r="H73" s="145">
        <f>SUMIFS(Table2[NewPointsAway],Table2[GameDate], "&lt;=" &amp; $A73, Table2[AwayTeam], H$1)+SUMIFS(Table2[NewPointsHome],Table2[GameDate], "&lt;=" &amp; $A73, Table2[HomeTeam], H$1)</f>
        <v>0</v>
      </c>
      <c r="I73" s="145">
        <f>SUMIFS(Table2[NewPointsAway],Table2[GameDate], "&lt;=" &amp; $A73, Table2[AwayTeam], I$1)+SUMIFS(Table2[NewPointsHome],Table2[GameDate], "&lt;=" &amp; $A73, Table2[HomeTeam], I$1)</f>
        <v>2</v>
      </c>
      <c r="J73" s="145">
        <f>SUMIFS(Table2[NewPointsAway],Table2[GameDate], "&lt;=" &amp; $A73, Table2[AwayTeam], J$1)+SUMIFS(Table2[NewPointsHome],Table2[GameDate], "&lt;=" &amp; $A73, Table2[HomeTeam], J$1)</f>
        <v>0</v>
      </c>
      <c r="K73" s="145">
        <f>SUMIFS(Table2[NewPointsAway],Table2[GameDate], "&lt;=" &amp; $A73, Table2[AwayTeam], K$1)+SUMIFS(Table2[NewPointsHome],Table2[GameDate], "&lt;=" &amp; $A73, Table2[HomeTeam], K$1)</f>
        <v>0</v>
      </c>
      <c r="L73" s="145">
        <f>SUMIFS(Table2[NewPointsAway],Table2[GameDate], "&lt;=" &amp; $A73, Table2[AwayTeam], L$1)+SUMIFS(Table2[NewPointsHome],Table2[GameDate], "&lt;=" &amp; $A73, Table2[HomeTeam], L$1)</f>
        <v>1</v>
      </c>
      <c r="M73" s="145">
        <f>SUMIFS(Table2[NewPointsAway],Table2[GameDate], "&lt;=" &amp; $A73, Table2[AwayTeam], M$1)+SUMIFS(Table2[NewPointsHome],Table2[GameDate], "&lt;=" &amp; $A73, Table2[HomeTeam], M$1)</f>
        <v>2</v>
      </c>
      <c r="N73" s="145">
        <f>SUMIFS(Table2[NewPointsAway],Table2[GameDate], "&lt;=" &amp; $A73, Table2[AwayTeam], N$1)+SUMIFS(Table2[NewPointsHome],Table2[GameDate], "&lt;=" &amp; $A73, Table2[HomeTeam], N$1)</f>
        <v>2</v>
      </c>
      <c r="O73" s="145">
        <f>SUMIFS(Table2[NewPointsAway],Table2[GameDate], "&lt;=" &amp; $A73, Table2[AwayTeam], O$1)+SUMIFS(Table2[NewPointsHome],Table2[GameDate], "&lt;=" &amp; $A73, Table2[HomeTeam], O$1)</f>
        <v>0</v>
      </c>
      <c r="P73" s="145">
        <f>SUMIFS(Table2[NewPointsAway],Table2[GameDate], "&lt;=" &amp; $A73, Table2[AwayTeam], P$1)+SUMIFS(Table2[NewPointsHome],Table2[GameDate], "&lt;=" &amp; $A73, Table2[HomeTeam], P$1)</f>
        <v>0</v>
      </c>
      <c r="Q73" s="145">
        <f>SUMIFS(Table2[NewPointsAway],Table2[GameDate], "&lt;=" &amp; $A73, Table2[AwayTeam], Q$1)+SUMIFS(Table2[NewPointsHome],Table2[GameDate], "&lt;=" &amp; $A73, Table2[HomeTeam], Q$1)</f>
        <v>0</v>
      </c>
      <c r="R73" s="145">
        <f>SUMIFS(Table2[NewPointsAway],Table2[GameDate], "&lt;=" &amp; $A73, Table2[AwayTeam], R$1)+SUMIFS(Table2[NewPointsHome],Table2[GameDate], "&lt;=" &amp; $A73, Table2[HomeTeam], R$1)</f>
        <v>0</v>
      </c>
      <c r="S73" s="145">
        <f>SUMIFS(Table2[NewPointsAway],Table2[GameDate], "&lt;=" &amp; $A73, Table2[AwayTeam], S$1)+SUMIFS(Table2[NewPointsHome],Table2[GameDate], "&lt;=" &amp; $A73, Table2[HomeTeam], S$1)</f>
        <v>0</v>
      </c>
      <c r="T73" s="145">
        <f>SUMIFS(Table2[NewPointsAway],Table2[GameDate], "&lt;=" &amp; $A73, Table2[AwayTeam], T$1)+SUMIFS(Table2[NewPointsHome],Table2[GameDate], "&lt;=" &amp; $A73, Table2[HomeTeam], T$1)</f>
        <v>0</v>
      </c>
      <c r="U73" s="145">
        <f>SUMIFS(Table2[NewPointsAway],Table2[GameDate], "&lt;=" &amp; $A73, Table2[AwayTeam], U$1)+SUMIFS(Table2[NewPointsHome],Table2[GameDate], "&lt;=" &amp; $A73, Table2[HomeTeam], U$1)</f>
        <v>0</v>
      </c>
      <c r="V73" s="145">
        <f>SUMIFS(Table2[NewPointsAway],Table2[GameDate], "&lt;=" &amp; $A73, Table2[AwayTeam], V$1)+SUMIFS(Table2[NewPointsHome],Table2[GameDate], "&lt;=" &amp; $A73, Table2[HomeTeam], V$1)</f>
        <v>0</v>
      </c>
      <c r="W73" s="145">
        <f>SUMIFS(Table2[NewPointsAway],Table2[GameDate], "&lt;=" &amp; $A73, Table2[AwayTeam], W$1)+SUMIFS(Table2[NewPointsHome],Table2[GameDate], "&lt;=" &amp; $A73, Table2[HomeTeam], W$1)</f>
        <v>2</v>
      </c>
      <c r="X73" s="145">
        <f>SUMIFS(Table2[NewPointsAway],Table2[GameDate], "&lt;=" &amp; $A73, Table2[AwayTeam], X$1)+SUMIFS(Table2[NewPointsHome],Table2[GameDate], "&lt;=" &amp; $A73, Table2[HomeTeam], X$1)</f>
        <v>0</v>
      </c>
      <c r="Y73" s="145">
        <f>SUMIFS(Table2[NewPointsAway],Table2[GameDate], "&lt;=" &amp; $A73, Table2[AwayTeam], Y$1)+SUMIFS(Table2[NewPointsHome],Table2[GameDate], "&lt;=" &amp; $A73, Table2[HomeTeam], Y$1)</f>
        <v>0</v>
      </c>
      <c r="Z73" s="145">
        <f>SUMIFS(Table2[NewPointsAway],Table2[GameDate], "&lt;=" &amp; $A73, Table2[AwayTeam], Z$1)+SUMIFS(Table2[NewPointsHome],Table2[GameDate], "&lt;=" &amp; $A73, Table2[HomeTeam], Z$1)</f>
        <v>0</v>
      </c>
      <c r="AA73" s="145">
        <f>SUMIFS(Table2[NewPointsAway],Table2[GameDate], "&lt;=" &amp; $A73, Table2[AwayTeam], AA$1)+SUMIFS(Table2[NewPointsHome],Table2[GameDate], "&lt;=" &amp; $A73, Table2[HomeTeam], AA$1)</f>
        <v>0</v>
      </c>
      <c r="AB73" s="145">
        <f>SUMIFS(Table2[NewPointsAway],Table2[GameDate], "&lt;=" &amp; $A73, Table2[AwayTeam], AB$1)+SUMIFS(Table2[NewPointsHome],Table2[GameDate], "&lt;=" &amp; $A73, Table2[HomeTeam], AB$1)</f>
        <v>2</v>
      </c>
      <c r="AC73" s="145">
        <f>SUMIFS(Table2[NewPointsAway],Table2[GameDate], "&lt;=" &amp; $A73, Table2[AwayTeam], AC$1)+SUMIFS(Table2[NewPointsHome],Table2[GameDate], "&lt;=" &amp; $A73, Table2[HomeTeam], AC$1)</f>
        <v>0</v>
      </c>
      <c r="AD73" s="145">
        <f>SUMIFS(Table2[NewPointsAway],Table2[GameDate], "&lt;=" &amp; $A73, Table2[AwayTeam], AD$1)+SUMIFS(Table2[NewPointsHome],Table2[GameDate], "&lt;=" &amp; $A73, Table2[HomeTeam], AD$1)</f>
        <v>0</v>
      </c>
      <c r="AE73" s="145">
        <f>SUMIFS(Table2[NewPointsAway],Table2[GameDate], "&lt;=" &amp; $A73, Table2[AwayTeam], AE$1)+SUMIFS(Table2[NewPointsHome],Table2[GameDate], "&lt;=" &amp; $A73, Table2[HomeTeam], AE$1)</f>
        <v>1</v>
      </c>
      <c r="AF73" s="145">
        <f>SUMIFS(Table2[NewPointsAway],Table2[GameDate], "&lt;=" &amp; $A73, Table2[AwayTeam], AF$1)+SUMIFS(Table2[NewPointsHome],Table2[GameDate], "&lt;=" &amp; $A73, Table2[HomeTeam], AF$1)</f>
        <v>0</v>
      </c>
      <c r="AG73" s="145">
        <f>SUMIFS(Table2[NewPointsAway],Table2[GameDate], "&lt;=" &amp; $A73, Table2[AwayTeam], AG$1)+SUMIFS(Table2[NewPointsHome],Table2[GameDate], "&lt;=" &amp; $A73, Table2[HomeTeam], AG$1)</f>
        <v>0</v>
      </c>
    </row>
    <row r="74" spans="1:33" x14ac:dyDescent="0.25">
      <c r="A74" s="3">
        <v>46005</v>
      </c>
      <c r="B74" s="145">
        <f>SUMIFS(Table2[NewPointsAway],Table2[GameDate], "&lt;=" &amp; $A74, Table2[AwayTeam], B$1)+SUMIFS(Table2[NewPointsHome],Table2[GameDate], "&lt;=" &amp; $A74, Table2[HomeTeam], B$1)</f>
        <v>0</v>
      </c>
      <c r="C74" s="145">
        <f>SUMIFS(Table2[NewPointsAway],Table2[GameDate], "&lt;=" &amp; $A74, Table2[AwayTeam], C$1)+SUMIFS(Table2[NewPointsHome],Table2[GameDate], "&lt;=" &amp; $A74, Table2[HomeTeam], C$1)</f>
        <v>2</v>
      </c>
      <c r="D74" s="145">
        <f>SUMIFS(Table2[NewPointsAway],Table2[GameDate], "&lt;=" &amp; $A74, Table2[AwayTeam], D$1)+SUMIFS(Table2[NewPointsHome],Table2[GameDate], "&lt;=" &amp; $A74, Table2[HomeTeam], D$1)</f>
        <v>0</v>
      </c>
      <c r="E74" s="145">
        <f>SUMIFS(Table2[NewPointsAway],Table2[GameDate], "&lt;=" &amp; $A74, Table2[AwayTeam], E$1)+SUMIFS(Table2[NewPointsHome],Table2[GameDate], "&lt;=" &amp; $A74, Table2[HomeTeam], E$1)</f>
        <v>0</v>
      </c>
      <c r="F74" s="145">
        <f>SUMIFS(Table2[NewPointsAway],Table2[GameDate], "&lt;=" &amp; $A74, Table2[AwayTeam], F$1)+SUMIFS(Table2[NewPointsHome],Table2[GameDate], "&lt;=" &amp; $A74, Table2[HomeTeam], F$1)</f>
        <v>0</v>
      </c>
      <c r="G74" s="145">
        <f>SUMIFS(Table2[NewPointsAway],Table2[GameDate], "&lt;=" &amp; $A74, Table2[AwayTeam], G$1)+SUMIFS(Table2[NewPointsHome],Table2[GameDate], "&lt;=" &amp; $A74, Table2[HomeTeam], G$1)</f>
        <v>2</v>
      </c>
      <c r="H74" s="145">
        <f>SUMIFS(Table2[NewPointsAway],Table2[GameDate], "&lt;=" &amp; $A74, Table2[AwayTeam], H$1)+SUMIFS(Table2[NewPointsHome],Table2[GameDate], "&lt;=" &amp; $A74, Table2[HomeTeam], H$1)</f>
        <v>0</v>
      </c>
      <c r="I74" s="145">
        <f>SUMIFS(Table2[NewPointsAway],Table2[GameDate], "&lt;=" &amp; $A74, Table2[AwayTeam], I$1)+SUMIFS(Table2[NewPointsHome],Table2[GameDate], "&lt;=" &amp; $A74, Table2[HomeTeam], I$1)</f>
        <v>2</v>
      </c>
      <c r="J74" s="145">
        <f>SUMIFS(Table2[NewPointsAway],Table2[GameDate], "&lt;=" &amp; $A74, Table2[AwayTeam], J$1)+SUMIFS(Table2[NewPointsHome],Table2[GameDate], "&lt;=" &amp; $A74, Table2[HomeTeam], J$1)</f>
        <v>0</v>
      </c>
      <c r="K74" s="145">
        <f>SUMIFS(Table2[NewPointsAway],Table2[GameDate], "&lt;=" &amp; $A74, Table2[AwayTeam], K$1)+SUMIFS(Table2[NewPointsHome],Table2[GameDate], "&lt;=" &amp; $A74, Table2[HomeTeam], K$1)</f>
        <v>0</v>
      </c>
      <c r="L74" s="145">
        <f>SUMIFS(Table2[NewPointsAway],Table2[GameDate], "&lt;=" &amp; $A74, Table2[AwayTeam], L$1)+SUMIFS(Table2[NewPointsHome],Table2[GameDate], "&lt;=" &amp; $A74, Table2[HomeTeam], L$1)</f>
        <v>1</v>
      </c>
      <c r="M74" s="145">
        <f>SUMIFS(Table2[NewPointsAway],Table2[GameDate], "&lt;=" &amp; $A74, Table2[AwayTeam], M$1)+SUMIFS(Table2[NewPointsHome],Table2[GameDate], "&lt;=" &amp; $A74, Table2[HomeTeam], M$1)</f>
        <v>2</v>
      </c>
      <c r="N74" s="145">
        <f>SUMIFS(Table2[NewPointsAway],Table2[GameDate], "&lt;=" &amp; $A74, Table2[AwayTeam], N$1)+SUMIFS(Table2[NewPointsHome],Table2[GameDate], "&lt;=" &amp; $A74, Table2[HomeTeam], N$1)</f>
        <v>2</v>
      </c>
      <c r="O74" s="145">
        <f>SUMIFS(Table2[NewPointsAway],Table2[GameDate], "&lt;=" &amp; $A74, Table2[AwayTeam], O$1)+SUMIFS(Table2[NewPointsHome],Table2[GameDate], "&lt;=" &amp; $A74, Table2[HomeTeam], O$1)</f>
        <v>0</v>
      </c>
      <c r="P74" s="145">
        <f>SUMIFS(Table2[NewPointsAway],Table2[GameDate], "&lt;=" &amp; $A74, Table2[AwayTeam], P$1)+SUMIFS(Table2[NewPointsHome],Table2[GameDate], "&lt;=" &amp; $A74, Table2[HomeTeam], P$1)</f>
        <v>0</v>
      </c>
      <c r="Q74" s="145">
        <f>SUMIFS(Table2[NewPointsAway],Table2[GameDate], "&lt;=" &amp; $A74, Table2[AwayTeam], Q$1)+SUMIFS(Table2[NewPointsHome],Table2[GameDate], "&lt;=" &amp; $A74, Table2[HomeTeam], Q$1)</f>
        <v>0</v>
      </c>
      <c r="R74" s="145">
        <f>SUMIFS(Table2[NewPointsAway],Table2[GameDate], "&lt;=" &amp; $A74, Table2[AwayTeam], R$1)+SUMIFS(Table2[NewPointsHome],Table2[GameDate], "&lt;=" &amp; $A74, Table2[HomeTeam], R$1)</f>
        <v>0</v>
      </c>
      <c r="S74" s="145">
        <f>SUMIFS(Table2[NewPointsAway],Table2[GameDate], "&lt;=" &amp; $A74, Table2[AwayTeam], S$1)+SUMIFS(Table2[NewPointsHome],Table2[GameDate], "&lt;=" &amp; $A74, Table2[HomeTeam], S$1)</f>
        <v>0</v>
      </c>
      <c r="T74" s="145">
        <f>SUMIFS(Table2[NewPointsAway],Table2[GameDate], "&lt;=" &amp; $A74, Table2[AwayTeam], T$1)+SUMIFS(Table2[NewPointsHome],Table2[GameDate], "&lt;=" &amp; $A74, Table2[HomeTeam], T$1)</f>
        <v>0</v>
      </c>
      <c r="U74" s="145">
        <f>SUMIFS(Table2[NewPointsAway],Table2[GameDate], "&lt;=" &amp; $A74, Table2[AwayTeam], U$1)+SUMIFS(Table2[NewPointsHome],Table2[GameDate], "&lt;=" &amp; $A74, Table2[HomeTeam], U$1)</f>
        <v>0</v>
      </c>
      <c r="V74" s="145">
        <f>SUMIFS(Table2[NewPointsAway],Table2[GameDate], "&lt;=" &amp; $A74, Table2[AwayTeam], V$1)+SUMIFS(Table2[NewPointsHome],Table2[GameDate], "&lt;=" &amp; $A74, Table2[HomeTeam], V$1)</f>
        <v>0</v>
      </c>
      <c r="W74" s="145">
        <f>SUMIFS(Table2[NewPointsAway],Table2[GameDate], "&lt;=" &amp; $A74, Table2[AwayTeam], W$1)+SUMIFS(Table2[NewPointsHome],Table2[GameDate], "&lt;=" &amp; $A74, Table2[HomeTeam], W$1)</f>
        <v>2</v>
      </c>
      <c r="X74" s="145">
        <f>SUMIFS(Table2[NewPointsAway],Table2[GameDate], "&lt;=" &amp; $A74, Table2[AwayTeam], X$1)+SUMIFS(Table2[NewPointsHome],Table2[GameDate], "&lt;=" &amp; $A74, Table2[HomeTeam], X$1)</f>
        <v>0</v>
      </c>
      <c r="Y74" s="145">
        <f>SUMIFS(Table2[NewPointsAway],Table2[GameDate], "&lt;=" &amp; $A74, Table2[AwayTeam], Y$1)+SUMIFS(Table2[NewPointsHome],Table2[GameDate], "&lt;=" &amp; $A74, Table2[HomeTeam], Y$1)</f>
        <v>0</v>
      </c>
      <c r="Z74" s="145">
        <f>SUMIFS(Table2[NewPointsAway],Table2[GameDate], "&lt;=" &amp; $A74, Table2[AwayTeam], Z$1)+SUMIFS(Table2[NewPointsHome],Table2[GameDate], "&lt;=" &amp; $A74, Table2[HomeTeam], Z$1)</f>
        <v>0</v>
      </c>
      <c r="AA74" s="145">
        <f>SUMIFS(Table2[NewPointsAway],Table2[GameDate], "&lt;=" &amp; $A74, Table2[AwayTeam], AA$1)+SUMIFS(Table2[NewPointsHome],Table2[GameDate], "&lt;=" &amp; $A74, Table2[HomeTeam], AA$1)</f>
        <v>0</v>
      </c>
      <c r="AB74" s="145">
        <f>SUMIFS(Table2[NewPointsAway],Table2[GameDate], "&lt;=" &amp; $A74, Table2[AwayTeam], AB$1)+SUMIFS(Table2[NewPointsHome],Table2[GameDate], "&lt;=" &amp; $A74, Table2[HomeTeam], AB$1)</f>
        <v>2</v>
      </c>
      <c r="AC74" s="145">
        <f>SUMIFS(Table2[NewPointsAway],Table2[GameDate], "&lt;=" &amp; $A74, Table2[AwayTeam], AC$1)+SUMIFS(Table2[NewPointsHome],Table2[GameDate], "&lt;=" &amp; $A74, Table2[HomeTeam], AC$1)</f>
        <v>0</v>
      </c>
      <c r="AD74" s="145">
        <f>SUMIFS(Table2[NewPointsAway],Table2[GameDate], "&lt;=" &amp; $A74, Table2[AwayTeam], AD$1)+SUMIFS(Table2[NewPointsHome],Table2[GameDate], "&lt;=" &amp; $A74, Table2[HomeTeam], AD$1)</f>
        <v>0</v>
      </c>
      <c r="AE74" s="145">
        <f>SUMIFS(Table2[NewPointsAway],Table2[GameDate], "&lt;=" &amp; $A74, Table2[AwayTeam], AE$1)+SUMIFS(Table2[NewPointsHome],Table2[GameDate], "&lt;=" &amp; $A74, Table2[HomeTeam], AE$1)</f>
        <v>1</v>
      </c>
      <c r="AF74" s="145">
        <f>SUMIFS(Table2[NewPointsAway],Table2[GameDate], "&lt;=" &amp; $A74, Table2[AwayTeam], AF$1)+SUMIFS(Table2[NewPointsHome],Table2[GameDate], "&lt;=" &amp; $A74, Table2[HomeTeam], AF$1)</f>
        <v>0</v>
      </c>
      <c r="AG74" s="145">
        <f>SUMIFS(Table2[NewPointsAway],Table2[GameDate], "&lt;=" &amp; $A74, Table2[AwayTeam], AG$1)+SUMIFS(Table2[NewPointsHome],Table2[GameDate], "&lt;=" &amp; $A74, Table2[HomeTeam], AG$1)</f>
        <v>0</v>
      </c>
    </row>
    <row r="75" spans="1:33" x14ac:dyDescent="0.25">
      <c r="A75" s="3">
        <v>46006</v>
      </c>
      <c r="B75" s="145">
        <f>SUMIFS(Table2[NewPointsAway],Table2[GameDate], "&lt;=" &amp; $A75, Table2[AwayTeam], B$1)+SUMIFS(Table2[NewPointsHome],Table2[GameDate], "&lt;=" &amp; $A75, Table2[HomeTeam], B$1)</f>
        <v>0</v>
      </c>
      <c r="C75" s="145">
        <f>SUMIFS(Table2[NewPointsAway],Table2[GameDate], "&lt;=" &amp; $A75, Table2[AwayTeam], C$1)+SUMIFS(Table2[NewPointsHome],Table2[GameDate], "&lt;=" &amp; $A75, Table2[HomeTeam], C$1)</f>
        <v>2</v>
      </c>
      <c r="D75" s="145">
        <f>SUMIFS(Table2[NewPointsAway],Table2[GameDate], "&lt;=" &amp; $A75, Table2[AwayTeam], D$1)+SUMIFS(Table2[NewPointsHome],Table2[GameDate], "&lt;=" &amp; $A75, Table2[HomeTeam], D$1)</f>
        <v>0</v>
      </c>
      <c r="E75" s="145">
        <f>SUMIFS(Table2[NewPointsAway],Table2[GameDate], "&lt;=" &amp; $A75, Table2[AwayTeam], E$1)+SUMIFS(Table2[NewPointsHome],Table2[GameDate], "&lt;=" &amp; $A75, Table2[HomeTeam], E$1)</f>
        <v>0</v>
      </c>
      <c r="F75" s="145">
        <f>SUMIFS(Table2[NewPointsAway],Table2[GameDate], "&lt;=" &amp; $A75, Table2[AwayTeam], F$1)+SUMIFS(Table2[NewPointsHome],Table2[GameDate], "&lt;=" &amp; $A75, Table2[HomeTeam], F$1)</f>
        <v>0</v>
      </c>
      <c r="G75" s="145">
        <f>SUMIFS(Table2[NewPointsAway],Table2[GameDate], "&lt;=" &amp; $A75, Table2[AwayTeam], G$1)+SUMIFS(Table2[NewPointsHome],Table2[GameDate], "&lt;=" &amp; $A75, Table2[HomeTeam], G$1)</f>
        <v>2</v>
      </c>
      <c r="H75" s="145">
        <f>SUMIFS(Table2[NewPointsAway],Table2[GameDate], "&lt;=" &amp; $A75, Table2[AwayTeam], H$1)+SUMIFS(Table2[NewPointsHome],Table2[GameDate], "&lt;=" &amp; $A75, Table2[HomeTeam], H$1)</f>
        <v>0</v>
      </c>
      <c r="I75" s="145">
        <f>SUMIFS(Table2[NewPointsAway],Table2[GameDate], "&lt;=" &amp; $A75, Table2[AwayTeam], I$1)+SUMIFS(Table2[NewPointsHome],Table2[GameDate], "&lt;=" &amp; $A75, Table2[HomeTeam], I$1)</f>
        <v>2</v>
      </c>
      <c r="J75" s="145">
        <f>SUMIFS(Table2[NewPointsAway],Table2[GameDate], "&lt;=" &amp; $A75, Table2[AwayTeam], J$1)+SUMIFS(Table2[NewPointsHome],Table2[GameDate], "&lt;=" &amp; $A75, Table2[HomeTeam], J$1)</f>
        <v>0</v>
      </c>
      <c r="K75" s="145">
        <f>SUMIFS(Table2[NewPointsAway],Table2[GameDate], "&lt;=" &amp; $A75, Table2[AwayTeam], K$1)+SUMIFS(Table2[NewPointsHome],Table2[GameDate], "&lt;=" &amp; $A75, Table2[HomeTeam], K$1)</f>
        <v>0</v>
      </c>
      <c r="L75" s="145">
        <f>SUMIFS(Table2[NewPointsAway],Table2[GameDate], "&lt;=" &amp; $A75, Table2[AwayTeam], L$1)+SUMIFS(Table2[NewPointsHome],Table2[GameDate], "&lt;=" &amp; $A75, Table2[HomeTeam], L$1)</f>
        <v>1</v>
      </c>
      <c r="M75" s="145">
        <f>SUMIFS(Table2[NewPointsAway],Table2[GameDate], "&lt;=" &amp; $A75, Table2[AwayTeam], M$1)+SUMIFS(Table2[NewPointsHome],Table2[GameDate], "&lt;=" &amp; $A75, Table2[HomeTeam], M$1)</f>
        <v>2</v>
      </c>
      <c r="N75" s="145">
        <f>SUMIFS(Table2[NewPointsAway],Table2[GameDate], "&lt;=" &amp; $A75, Table2[AwayTeam], N$1)+SUMIFS(Table2[NewPointsHome],Table2[GameDate], "&lt;=" &amp; $A75, Table2[HomeTeam], N$1)</f>
        <v>2</v>
      </c>
      <c r="O75" s="145">
        <f>SUMIFS(Table2[NewPointsAway],Table2[GameDate], "&lt;=" &amp; $A75, Table2[AwayTeam], O$1)+SUMIFS(Table2[NewPointsHome],Table2[GameDate], "&lt;=" &amp; $A75, Table2[HomeTeam], O$1)</f>
        <v>0</v>
      </c>
      <c r="P75" s="145">
        <f>SUMIFS(Table2[NewPointsAway],Table2[GameDate], "&lt;=" &amp; $A75, Table2[AwayTeam], P$1)+SUMIFS(Table2[NewPointsHome],Table2[GameDate], "&lt;=" &amp; $A75, Table2[HomeTeam], P$1)</f>
        <v>0</v>
      </c>
      <c r="Q75" s="145">
        <f>SUMIFS(Table2[NewPointsAway],Table2[GameDate], "&lt;=" &amp; $A75, Table2[AwayTeam], Q$1)+SUMIFS(Table2[NewPointsHome],Table2[GameDate], "&lt;=" &amp; $A75, Table2[HomeTeam], Q$1)</f>
        <v>0</v>
      </c>
      <c r="R75" s="145">
        <f>SUMIFS(Table2[NewPointsAway],Table2[GameDate], "&lt;=" &amp; $A75, Table2[AwayTeam], R$1)+SUMIFS(Table2[NewPointsHome],Table2[GameDate], "&lt;=" &amp; $A75, Table2[HomeTeam], R$1)</f>
        <v>0</v>
      </c>
      <c r="S75" s="145">
        <f>SUMIFS(Table2[NewPointsAway],Table2[GameDate], "&lt;=" &amp; $A75, Table2[AwayTeam], S$1)+SUMIFS(Table2[NewPointsHome],Table2[GameDate], "&lt;=" &amp; $A75, Table2[HomeTeam], S$1)</f>
        <v>0</v>
      </c>
      <c r="T75" s="145">
        <f>SUMIFS(Table2[NewPointsAway],Table2[GameDate], "&lt;=" &amp; $A75, Table2[AwayTeam], T$1)+SUMIFS(Table2[NewPointsHome],Table2[GameDate], "&lt;=" &amp; $A75, Table2[HomeTeam], T$1)</f>
        <v>0</v>
      </c>
      <c r="U75" s="145">
        <f>SUMIFS(Table2[NewPointsAway],Table2[GameDate], "&lt;=" &amp; $A75, Table2[AwayTeam], U$1)+SUMIFS(Table2[NewPointsHome],Table2[GameDate], "&lt;=" &amp; $A75, Table2[HomeTeam], U$1)</f>
        <v>0</v>
      </c>
      <c r="V75" s="145">
        <f>SUMIFS(Table2[NewPointsAway],Table2[GameDate], "&lt;=" &amp; $A75, Table2[AwayTeam], V$1)+SUMIFS(Table2[NewPointsHome],Table2[GameDate], "&lt;=" &amp; $A75, Table2[HomeTeam], V$1)</f>
        <v>0</v>
      </c>
      <c r="W75" s="145">
        <f>SUMIFS(Table2[NewPointsAway],Table2[GameDate], "&lt;=" &amp; $A75, Table2[AwayTeam], W$1)+SUMIFS(Table2[NewPointsHome],Table2[GameDate], "&lt;=" &amp; $A75, Table2[HomeTeam], W$1)</f>
        <v>2</v>
      </c>
      <c r="X75" s="145">
        <f>SUMIFS(Table2[NewPointsAway],Table2[GameDate], "&lt;=" &amp; $A75, Table2[AwayTeam], X$1)+SUMIFS(Table2[NewPointsHome],Table2[GameDate], "&lt;=" &amp; $A75, Table2[HomeTeam], X$1)</f>
        <v>0</v>
      </c>
      <c r="Y75" s="145">
        <f>SUMIFS(Table2[NewPointsAway],Table2[GameDate], "&lt;=" &amp; $A75, Table2[AwayTeam], Y$1)+SUMIFS(Table2[NewPointsHome],Table2[GameDate], "&lt;=" &amp; $A75, Table2[HomeTeam], Y$1)</f>
        <v>0</v>
      </c>
      <c r="Z75" s="145">
        <f>SUMIFS(Table2[NewPointsAway],Table2[GameDate], "&lt;=" &amp; $A75, Table2[AwayTeam], Z$1)+SUMIFS(Table2[NewPointsHome],Table2[GameDate], "&lt;=" &amp; $A75, Table2[HomeTeam], Z$1)</f>
        <v>0</v>
      </c>
      <c r="AA75" s="145">
        <f>SUMIFS(Table2[NewPointsAway],Table2[GameDate], "&lt;=" &amp; $A75, Table2[AwayTeam], AA$1)+SUMIFS(Table2[NewPointsHome],Table2[GameDate], "&lt;=" &amp; $A75, Table2[HomeTeam], AA$1)</f>
        <v>0</v>
      </c>
      <c r="AB75" s="145">
        <f>SUMIFS(Table2[NewPointsAway],Table2[GameDate], "&lt;=" &amp; $A75, Table2[AwayTeam], AB$1)+SUMIFS(Table2[NewPointsHome],Table2[GameDate], "&lt;=" &amp; $A75, Table2[HomeTeam], AB$1)</f>
        <v>2</v>
      </c>
      <c r="AC75" s="145">
        <f>SUMIFS(Table2[NewPointsAway],Table2[GameDate], "&lt;=" &amp; $A75, Table2[AwayTeam], AC$1)+SUMIFS(Table2[NewPointsHome],Table2[GameDate], "&lt;=" &amp; $A75, Table2[HomeTeam], AC$1)</f>
        <v>0</v>
      </c>
      <c r="AD75" s="145">
        <f>SUMIFS(Table2[NewPointsAway],Table2[GameDate], "&lt;=" &amp; $A75, Table2[AwayTeam], AD$1)+SUMIFS(Table2[NewPointsHome],Table2[GameDate], "&lt;=" &amp; $A75, Table2[HomeTeam], AD$1)</f>
        <v>0</v>
      </c>
      <c r="AE75" s="145">
        <f>SUMIFS(Table2[NewPointsAway],Table2[GameDate], "&lt;=" &amp; $A75, Table2[AwayTeam], AE$1)+SUMIFS(Table2[NewPointsHome],Table2[GameDate], "&lt;=" &amp; $A75, Table2[HomeTeam], AE$1)</f>
        <v>1</v>
      </c>
      <c r="AF75" s="145">
        <f>SUMIFS(Table2[NewPointsAway],Table2[GameDate], "&lt;=" &amp; $A75, Table2[AwayTeam], AF$1)+SUMIFS(Table2[NewPointsHome],Table2[GameDate], "&lt;=" &amp; $A75, Table2[HomeTeam], AF$1)</f>
        <v>0</v>
      </c>
      <c r="AG75" s="145">
        <f>SUMIFS(Table2[NewPointsAway],Table2[GameDate], "&lt;=" &amp; $A75, Table2[AwayTeam], AG$1)+SUMIFS(Table2[NewPointsHome],Table2[GameDate], "&lt;=" &amp; $A75, Table2[HomeTeam], AG$1)</f>
        <v>0</v>
      </c>
    </row>
    <row r="76" spans="1:33" x14ac:dyDescent="0.25">
      <c r="A76" s="3">
        <v>46007</v>
      </c>
      <c r="B76" s="145">
        <f>SUMIFS(Table2[NewPointsAway],Table2[GameDate], "&lt;=" &amp; $A76, Table2[AwayTeam], B$1)+SUMIFS(Table2[NewPointsHome],Table2[GameDate], "&lt;=" &amp; $A76, Table2[HomeTeam], B$1)</f>
        <v>0</v>
      </c>
      <c r="C76" s="145">
        <f>SUMIFS(Table2[NewPointsAway],Table2[GameDate], "&lt;=" &amp; $A76, Table2[AwayTeam], C$1)+SUMIFS(Table2[NewPointsHome],Table2[GameDate], "&lt;=" &amp; $A76, Table2[HomeTeam], C$1)</f>
        <v>2</v>
      </c>
      <c r="D76" s="145">
        <f>SUMIFS(Table2[NewPointsAway],Table2[GameDate], "&lt;=" &amp; $A76, Table2[AwayTeam], D$1)+SUMIFS(Table2[NewPointsHome],Table2[GameDate], "&lt;=" &amp; $A76, Table2[HomeTeam], D$1)</f>
        <v>0</v>
      </c>
      <c r="E76" s="145">
        <f>SUMIFS(Table2[NewPointsAway],Table2[GameDate], "&lt;=" &amp; $A76, Table2[AwayTeam], E$1)+SUMIFS(Table2[NewPointsHome],Table2[GameDate], "&lt;=" &amp; $A76, Table2[HomeTeam], E$1)</f>
        <v>0</v>
      </c>
      <c r="F76" s="145">
        <f>SUMIFS(Table2[NewPointsAway],Table2[GameDate], "&lt;=" &amp; $A76, Table2[AwayTeam], F$1)+SUMIFS(Table2[NewPointsHome],Table2[GameDate], "&lt;=" &amp; $A76, Table2[HomeTeam], F$1)</f>
        <v>0</v>
      </c>
      <c r="G76" s="145">
        <f>SUMIFS(Table2[NewPointsAway],Table2[GameDate], "&lt;=" &amp; $A76, Table2[AwayTeam], G$1)+SUMIFS(Table2[NewPointsHome],Table2[GameDate], "&lt;=" &amp; $A76, Table2[HomeTeam], G$1)</f>
        <v>2</v>
      </c>
      <c r="H76" s="145">
        <f>SUMIFS(Table2[NewPointsAway],Table2[GameDate], "&lt;=" &amp; $A76, Table2[AwayTeam], H$1)+SUMIFS(Table2[NewPointsHome],Table2[GameDate], "&lt;=" &amp; $A76, Table2[HomeTeam], H$1)</f>
        <v>0</v>
      </c>
      <c r="I76" s="145">
        <f>SUMIFS(Table2[NewPointsAway],Table2[GameDate], "&lt;=" &amp; $A76, Table2[AwayTeam], I$1)+SUMIFS(Table2[NewPointsHome],Table2[GameDate], "&lt;=" &amp; $A76, Table2[HomeTeam], I$1)</f>
        <v>2</v>
      </c>
      <c r="J76" s="145">
        <f>SUMIFS(Table2[NewPointsAway],Table2[GameDate], "&lt;=" &amp; $A76, Table2[AwayTeam], J$1)+SUMIFS(Table2[NewPointsHome],Table2[GameDate], "&lt;=" &amp; $A76, Table2[HomeTeam], J$1)</f>
        <v>0</v>
      </c>
      <c r="K76" s="145">
        <f>SUMIFS(Table2[NewPointsAway],Table2[GameDate], "&lt;=" &amp; $A76, Table2[AwayTeam], K$1)+SUMIFS(Table2[NewPointsHome],Table2[GameDate], "&lt;=" &amp; $A76, Table2[HomeTeam], K$1)</f>
        <v>0</v>
      </c>
      <c r="L76" s="145">
        <f>SUMIFS(Table2[NewPointsAway],Table2[GameDate], "&lt;=" &amp; $A76, Table2[AwayTeam], L$1)+SUMIFS(Table2[NewPointsHome],Table2[GameDate], "&lt;=" &amp; $A76, Table2[HomeTeam], L$1)</f>
        <v>1</v>
      </c>
      <c r="M76" s="145">
        <f>SUMIFS(Table2[NewPointsAway],Table2[GameDate], "&lt;=" &amp; $A76, Table2[AwayTeam], M$1)+SUMIFS(Table2[NewPointsHome],Table2[GameDate], "&lt;=" &amp; $A76, Table2[HomeTeam], M$1)</f>
        <v>2</v>
      </c>
      <c r="N76" s="145">
        <f>SUMIFS(Table2[NewPointsAway],Table2[GameDate], "&lt;=" &amp; $A76, Table2[AwayTeam], N$1)+SUMIFS(Table2[NewPointsHome],Table2[GameDate], "&lt;=" &amp; $A76, Table2[HomeTeam], N$1)</f>
        <v>2</v>
      </c>
      <c r="O76" s="145">
        <f>SUMIFS(Table2[NewPointsAway],Table2[GameDate], "&lt;=" &amp; $A76, Table2[AwayTeam], O$1)+SUMIFS(Table2[NewPointsHome],Table2[GameDate], "&lt;=" &amp; $A76, Table2[HomeTeam], O$1)</f>
        <v>0</v>
      </c>
      <c r="P76" s="145">
        <f>SUMIFS(Table2[NewPointsAway],Table2[GameDate], "&lt;=" &amp; $A76, Table2[AwayTeam], P$1)+SUMIFS(Table2[NewPointsHome],Table2[GameDate], "&lt;=" &amp; $A76, Table2[HomeTeam], P$1)</f>
        <v>0</v>
      </c>
      <c r="Q76" s="145">
        <f>SUMIFS(Table2[NewPointsAway],Table2[GameDate], "&lt;=" &amp; $A76, Table2[AwayTeam], Q$1)+SUMIFS(Table2[NewPointsHome],Table2[GameDate], "&lt;=" &amp; $A76, Table2[HomeTeam], Q$1)</f>
        <v>0</v>
      </c>
      <c r="R76" s="145">
        <f>SUMIFS(Table2[NewPointsAway],Table2[GameDate], "&lt;=" &amp; $A76, Table2[AwayTeam], R$1)+SUMIFS(Table2[NewPointsHome],Table2[GameDate], "&lt;=" &amp; $A76, Table2[HomeTeam], R$1)</f>
        <v>0</v>
      </c>
      <c r="S76" s="145">
        <f>SUMIFS(Table2[NewPointsAway],Table2[GameDate], "&lt;=" &amp; $A76, Table2[AwayTeam], S$1)+SUMIFS(Table2[NewPointsHome],Table2[GameDate], "&lt;=" &amp; $A76, Table2[HomeTeam], S$1)</f>
        <v>0</v>
      </c>
      <c r="T76" s="145">
        <f>SUMIFS(Table2[NewPointsAway],Table2[GameDate], "&lt;=" &amp; $A76, Table2[AwayTeam], T$1)+SUMIFS(Table2[NewPointsHome],Table2[GameDate], "&lt;=" &amp; $A76, Table2[HomeTeam], T$1)</f>
        <v>0</v>
      </c>
      <c r="U76" s="145">
        <f>SUMIFS(Table2[NewPointsAway],Table2[GameDate], "&lt;=" &amp; $A76, Table2[AwayTeam], U$1)+SUMIFS(Table2[NewPointsHome],Table2[GameDate], "&lt;=" &amp; $A76, Table2[HomeTeam], U$1)</f>
        <v>0</v>
      </c>
      <c r="V76" s="145">
        <f>SUMIFS(Table2[NewPointsAway],Table2[GameDate], "&lt;=" &amp; $A76, Table2[AwayTeam], V$1)+SUMIFS(Table2[NewPointsHome],Table2[GameDate], "&lt;=" &amp; $A76, Table2[HomeTeam], V$1)</f>
        <v>0</v>
      </c>
      <c r="W76" s="145">
        <f>SUMIFS(Table2[NewPointsAway],Table2[GameDate], "&lt;=" &amp; $A76, Table2[AwayTeam], W$1)+SUMIFS(Table2[NewPointsHome],Table2[GameDate], "&lt;=" &amp; $A76, Table2[HomeTeam], W$1)</f>
        <v>2</v>
      </c>
      <c r="X76" s="145">
        <f>SUMIFS(Table2[NewPointsAway],Table2[GameDate], "&lt;=" &amp; $A76, Table2[AwayTeam], X$1)+SUMIFS(Table2[NewPointsHome],Table2[GameDate], "&lt;=" &amp; $A76, Table2[HomeTeam], X$1)</f>
        <v>0</v>
      </c>
      <c r="Y76" s="145">
        <f>SUMIFS(Table2[NewPointsAway],Table2[GameDate], "&lt;=" &amp; $A76, Table2[AwayTeam], Y$1)+SUMIFS(Table2[NewPointsHome],Table2[GameDate], "&lt;=" &amp; $A76, Table2[HomeTeam], Y$1)</f>
        <v>0</v>
      </c>
      <c r="Z76" s="145">
        <f>SUMIFS(Table2[NewPointsAway],Table2[GameDate], "&lt;=" &amp; $A76, Table2[AwayTeam], Z$1)+SUMIFS(Table2[NewPointsHome],Table2[GameDate], "&lt;=" &amp; $A76, Table2[HomeTeam], Z$1)</f>
        <v>0</v>
      </c>
      <c r="AA76" s="145">
        <f>SUMIFS(Table2[NewPointsAway],Table2[GameDate], "&lt;=" &amp; $A76, Table2[AwayTeam], AA$1)+SUMIFS(Table2[NewPointsHome],Table2[GameDate], "&lt;=" &amp; $A76, Table2[HomeTeam], AA$1)</f>
        <v>0</v>
      </c>
      <c r="AB76" s="145">
        <f>SUMIFS(Table2[NewPointsAway],Table2[GameDate], "&lt;=" &amp; $A76, Table2[AwayTeam], AB$1)+SUMIFS(Table2[NewPointsHome],Table2[GameDate], "&lt;=" &amp; $A76, Table2[HomeTeam], AB$1)</f>
        <v>2</v>
      </c>
      <c r="AC76" s="145">
        <f>SUMIFS(Table2[NewPointsAway],Table2[GameDate], "&lt;=" &amp; $A76, Table2[AwayTeam], AC$1)+SUMIFS(Table2[NewPointsHome],Table2[GameDate], "&lt;=" &amp; $A76, Table2[HomeTeam], AC$1)</f>
        <v>0</v>
      </c>
      <c r="AD76" s="145">
        <f>SUMIFS(Table2[NewPointsAway],Table2[GameDate], "&lt;=" &amp; $A76, Table2[AwayTeam], AD$1)+SUMIFS(Table2[NewPointsHome],Table2[GameDate], "&lt;=" &amp; $A76, Table2[HomeTeam], AD$1)</f>
        <v>0</v>
      </c>
      <c r="AE76" s="145">
        <f>SUMIFS(Table2[NewPointsAway],Table2[GameDate], "&lt;=" &amp; $A76, Table2[AwayTeam], AE$1)+SUMIFS(Table2[NewPointsHome],Table2[GameDate], "&lt;=" &amp; $A76, Table2[HomeTeam], AE$1)</f>
        <v>1</v>
      </c>
      <c r="AF76" s="145">
        <f>SUMIFS(Table2[NewPointsAway],Table2[GameDate], "&lt;=" &amp; $A76, Table2[AwayTeam], AF$1)+SUMIFS(Table2[NewPointsHome],Table2[GameDate], "&lt;=" &amp; $A76, Table2[HomeTeam], AF$1)</f>
        <v>0</v>
      </c>
      <c r="AG76" s="145">
        <f>SUMIFS(Table2[NewPointsAway],Table2[GameDate], "&lt;=" &amp; $A76, Table2[AwayTeam], AG$1)+SUMIFS(Table2[NewPointsHome],Table2[GameDate], "&lt;=" &amp; $A76, Table2[HomeTeam], AG$1)</f>
        <v>0</v>
      </c>
    </row>
    <row r="77" spans="1:33" x14ac:dyDescent="0.25">
      <c r="A77" s="3">
        <v>46008</v>
      </c>
      <c r="B77" s="145">
        <f>SUMIFS(Table2[NewPointsAway],Table2[GameDate], "&lt;=" &amp; $A77, Table2[AwayTeam], B$1)+SUMIFS(Table2[NewPointsHome],Table2[GameDate], "&lt;=" &amp; $A77, Table2[HomeTeam], B$1)</f>
        <v>0</v>
      </c>
      <c r="C77" s="145">
        <f>SUMIFS(Table2[NewPointsAway],Table2[GameDate], "&lt;=" &amp; $A77, Table2[AwayTeam], C$1)+SUMIFS(Table2[NewPointsHome],Table2[GameDate], "&lt;=" &amp; $A77, Table2[HomeTeam], C$1)</f>
        <v>2</v>
      </c>
      <c r="D77" s="145">
        <f>SUMIFS(Table2[NewPointsAway],Table2[GameDate], "&lt;=" &amp; $A77, Table2[AwayTeam], D$1)+SUMIFS(Table2[NewPointsHome],Table2[GameDate], "&lt;=" &amp; $A77, Table2[HomeTeam], D$1)</f>
        <v>0</v>
      </c>
      <c r="E77" s="145">
        <f>SUMIFS(Table2[NewPointsAway],Table2[GameDate], "&lt;=" &amp; $A77, Table2[AwayTeam], E$1)+SUMIFS(Table2[NewPointsHome],Table2[GameDate], "&lt;=" &amp; $A77, Table2[HomeTeam], E$1)</f>
        <v>0</v>
      </c>
      <c r="F77" s="145">
        <f>SUMIFS(Table2[NewPointsAway],Table2[GameDate], "&lt;=" &amp; $A77, Table2[AwayTeam], F$1)+SUMIFS(Table2[NewPointsHome],Table2[GameDate], "&lt;=" &amp; $A77, Table2[HomeTeam], F$1)</f>
        <v>0</v>
      </c>
      <c r="G77" s="145">
        <f>SUMIFS(Table2[NewPointsAway],Table2[GameDate], "&lt;=" &amp; $A77, Table2[AwayTeam], G$1)+SUMIFS(Table2[NewPointsHome],Table2[GameDate], "&lt;=" &amp; $A77, Table2[HomeTeam], G$1)</f>
        <v>2</v>
      </c>
      <c r="H77" s="145">
        <f>SUMIFS(Table2[NewPointsAway],Table2[GameDate], "&lt;=" &amp; $A77, Table2[AwayTeam], H$1)+SUMIFS(Table2[NewPointsHome],Table2[GameDate], "&lt;=" &amp; $A77, Table2[HomeTeam], H$1)</f>
        <v>0</v>
      </c>
      <c r="I77" s="145">
        <f>SUMIFS(Table2[NewPointsAway],Table2[GameDate], "&lt;=" &amp; $A77, Table2[AwayTeam], I$1)+SUMIFS(Table2[NewPointsHome],Table2[GameDate], "&lt;=" &amp; $A77, Table2[HomeTeam], I$1)</f>
        <v>2</v>
      </c>
      <c r="J77" s="145">
        <f>SUMIFS(Table2[NewPointsAway],Table2[GameDate], "&lt;=" &amp; $A77, Table2[AwayTeam], J$1)+SUMIFS(Table2[NewPointsHome],Table2[GameDate], "&lt;=" &amp; $A77, Table2[HomeTeam], J$1)</f>
        <v>0</v>
      </c>
      <c r="K77" s="145">
        <f>SUMIFS(Table2[NewPointsAway],Table2[GameDate], "&lt;=" &amp; $A77, Table2[AwayTeam], K$1)+SUMIFS(Table2[NewPointsHome],Table2[GameDate], "&lt;=" &amp; $A77, Table2[HomeTeam], K$1)</f>
        <v>0</v>
      </c>
      <c r="L77" s="145">
        <f>SUMIFS(Table2[NewPointsAway],Table2[GameDate], "&lt;=" &amp; $A77, Table2[AwayTeam], L$1)+SUMIFS(Table2[NewPointsHome],Table2[GameDate], "&lt;=" &amp; $A77, Table2[HomeTeam], L$1)</f>
        <v>1</v>
      </c>
      <c r="M77" s="145">
        <f>SUMIFS(Table2[NewPointsAway],Table2[GameDate], "&lt;=" &amp; $A77, Table2[AwayTeam], M$1)+SUMIFS(Table2[NewPointsHome],Table2[GameDate], "&lt;=" &amp; $A77, Table2[HomeTeam], M$1)</f>
        <v>2</v>
      </c>
      <c r="N77" s="145">
        <f>SUMIFS(Table2[NewPointsAway],Table2[GameDate], "&lt;=" &amp; $A77, Table2[AwayTeam], N$1)+SUMIFS(Table2[NewPointsHome],Table2[GameDate], "&lt;=" &amp; $A77, Table2[HomeTeam], N$1)</f>
        <v>2</v>
      </c>
      <c r="O77" s="145">
        <f>SUMIFS(Table2[NewPointsAway],Table2[GameDate], "&lt;=" &amp; $A77, Table2[AwayTeam], O$1)+SUMIFS(Table2[NewPointsHome],Table2[GameDate], "&lt;=" &amp; $A77, Table2[HomeTeam], O$1)</f>
        <v>0</v>
      </c>
      <c r="P77" s="145">
        <f>SUMIFS(Table2[NewPointsAway],Table2[GameDate], "&lt;=" &amp; $A77, Table2[AwayTeam], P$1)+SUMIFS(Table2[NewPointsHome],Table2[GameDate], "&lt;=" &amp; $A77, Table2[HomeTeam], P$1)</f>
        <v>0</v>
      </c>
      <c r="Q77" s="145">
        <f>SUMIFS(Table2[NewPointsAway],Table2[GameDate], "&lt;=" &amp; $A77, Table2[AwayTeam], Q$1)+SUMIFS(Table2[NewPointsHome],Table2[GameDate], "&lt;=" &amp; $A77, Table2[HomeTeam], Q$1)</f>
        <v>0</v>
      </c>
      <c r="R77" s="145">
        <f>SUMIFS(Table2[NewPointsAway],Table2[GameDate], "&lt;=" &amp; $A77, Table2[AwayTeam], R$1)+SUMIFS(Table2[NewPointsHome],Table2[GameDate], "&lt;=" &amp; $A77, Table2[HomeTeam], R$1)</f>
        <v>0</v>
      </c>
      <c r="S77" s="145">
        <f>SUMIFS(Table2[NewPointsAway],Table2[GameDate], "&lt;=" &amp; $A77, Table2[AwayTeam], S$1)+SUMIFS(Table2[NewPointsHome],Table2[GameDate], "&lt;=" &amp; $A77, Table2[HomeTeam], S$1)</f>
        <v>0</v>
      </c>
      <c r="T77" s="145">
        <f>SUMIFS(Table2[NewPointsAway],Table2[GameDate], "&lt;=" &amp; $A77, Table2[AwayTeam], T$1)+SUMIFS(Table2[NewPointsHome],Table2[GameDate], "&lt;=" &amp; $A77, Table2[HomeTeam], T$1)</f>
        <v>0</v>
      </c>
      <c r="U77" s="145">
        <f>SUMIFS(Table2[NewPointsAway],Table2[GameDate], "&lt;=" &amp; $A77, Table2[AwayTeam], U$1)+SUMIFS(Table2[NewPointsHome],Table2[GameDate], "&lt;=" &amp; $A77, Table2[HomeTeam], U$1)</f>
        <v>0</v>
      </c>
      <c r="V77" s="145">
        <f>SUMIFS(Table2[NewPointsAway],Table2[GameDate], "&lt;=" &amp; $A77, Table2[AwayTeam], V$1)+SUMIFS(Table2[NewPointsHome],Table2[GameDate], "&lt;=" &amp; $A77, Table2[HomeTeam], V$1)</f>
        <v>0</v>
      </c>
      <c r="W77" s="145">
        <f>SUMIFS(Table2[NewPointsAway],Table2[GameDate], "&lt;=" &amp; $A77, Table2[AwayTeam], W$1)+SUMIFS(Table2[NewPointsHome],Table2[GameDate], "&lt;=" &amp; $A77, Table2[HomeTeam], W$1)</f>
        <v>2</v>
      </c>
      <c r="X77" s="145">
        <f>SUMIFS(Table2[NewPointsAway],Table2[GameDate], "&lt;=" &amp; $A77, Table2[AwayTeam], X$1)+SUMIFS(Table2[NewPointsHome],Table2[GameDate], "&lt;=" &amp; $A77, Table2[HomeTeam], X$1)</f>
        <v>0</v>
      </c>
      <c r="Y77" s="145">
        <f>SUMIFS(Table2[NewPointsAway],Table2[GameDate], "&lt;=" &amp; $A77, Table2[AwayTeam], Y$1)+SUMIFS(Table2[NewPointsHome],Table2[GameDate], "&lt;=" &amp; $A77, Table2[HomeTeam], Y$1)</f>
        <v>0</v>
      </c>
      <c r="Z77" s="145">
        <f>SUMIFS(Table2[NewPointsAway],Table2[GameDate], "&lt;=" &amp; $A77, Table2[AwayTeam], Z$1)+SUMIFS(Table2[NewPointsHome],Table2[GameDate], "&lt;=" &amp; $A77, Table2[HomeTeam], Z$1)</f>
        <v>0</v>
      </c>
      <c r="AA77" s="145">
        <f>SUMIFS(Table2[NewPointsAway],Table2[GameDate], "&lt;=" &amp; $A77, Table2[AwayTeam], AA$1)+SUMIFS(Table2[NewPointsHome],Table2[GameDate], "&lt;=" &amp; $A77, Table2[HomeTeam], AA$1)</f>
        <v>0</v>
      </c>
      <c r="AB77" s="145">
        <f>SUMIFS(Table2[NewPointsAway],Table2[GameDate], "&lt;=" &amp; $A77, Table2[AwayTeam], AB$1)+SUMIFS(Table2[NewPointsHome],Table2[GameDate], "&lt;=" &amp; $A77, Table2[HomeTeam], AB$1)</f>
        <v>2</v>
      </c>
      <c r="AC77" s="145">
        <f>SUMIFS(Table2[NewPointsAway],Table2[GameDate], "&lt;=" &amp; $A77, Table2[AwayTeam], AC$1)+SUMIFS(Table2[NewPointsHome],Table2[GameDate], "&lt;=" &amp; $A77, Table2[HomeTeam], AC$1)</f>
        <v>0</v>
      </c>
      <c r="AD77" s="145">
        <f>SUMIFS(Table2[NewPointsAway],Table2[GameDate], "&lt;=" &amp; $A77, Table2[AwayTeam], AD$1)+SUMIFS(Table2[NewPointsHome],Table2[GameDate], "&lt;=" &amp; $A77, Table2[HomeTeam], AD$1)</f>
        <v>0</v>
      </c>
      <c r="AE77" s="145">
        <f>SUMIFS(Table2[NewPointsAway],Table2[GameDate], "&lt;=" &amp; $A77, Table2[AwayTeam], AE$1)+SUMIFS(Table2[NewPointsHome],Table2[GameDate], "&lt;=" &amp; $A77, Table2[HomeTeam], AE$1)</f>
        <v>1</v>
      </c>
      <c r="AF77" s="145">
        <f>SUMIFS(Table2[NewPointsAway],Table2[GameDate], "&lt;=" &amp; $A77, Table2[AwayTeam], AF$1)+SUMIFS(Table2[NewPointsHome],Table2[GameDate], "&lt;=" &amp; $A77, Table2[HomeTeam], AF$1)</f>
        <v>0</v>
      </c>
      <c r="AG77" s="145">
        <f>SUMIFS(Table2[NewPointsAway],Table2[GameDate], "&lt;=" &amp; $A77, Table2[AwayTeam], AG$1)+SUMIFS(Table2[NewPointsHome],Table2[GameDate], "&lt;=" &amp; $A77, Table2[HomeTeam], AG$1)</f>
        <v>0</v>
      </c>
    </row>
    <row r="78" spans="1:33" x14ac:dyDescent="0.25">
      <c r="A78" s="3">
        <v>46009</v>
      </c>
      <c r="B78" s="145">
        <f>SUMIFS(Table2[NewPointsAway],Table2[GameDate], "&lt;=" &amp; $A78, Table2[AwayTeam], B$1)+SUMIFS(Table2[NewPointsHome],Table2[GameDate], "&lt;=" &amp; $A78, Table2[HomeTeam], B$1)</f>
        <v>0</v>
      </c>
      <c r="C78" s="145">
        <f>SUMIFS(Table2[NewPointsAway],Table2[GameDate], "&lt;=" &amp; $A78, Table2[AwayTeam], C$1)+SUMIFS(Table2[NewPointsHome],Table2[GameDate], "&lt;=" &amp; $A78, Table2[HomeTeam], C$1)</f>
        <v>2</v>
      </c>
      <c r="D78" s="145">
        <f>SUMIFS(Table2[NewPointsAway],Table2[GameDate], "&lt;=" &amp; $A78, Table2[AwayTeam], D$1)+SUMIFS(Table2[NewPointsHome],Table2[GameDate], "&lt;=" &amp; $A78, Table2[HomeTeam], D$1)</f>
        <v>0</v>
      </c>
      <c r="E78" s="145">
        <f>SUMIFS(Table2[NewPointsAway],Table2[GameDate], "&lt;=" &amp; $A78, Table2[AwayTeam], E$1)+SUMIFS(Table2[NewPointsHome],Table2[GameDate], "&lt;=" &amp; $A78, Table2[HomeTeam], E$1)</f>
        <v>0</v>
      </c>
      <c r="F78" s="145">
        <f>SUMIFS(Table2[NewPointsAway],Table2[GameDate], "&lt;=" &amp; $A78, Table2[AwayTeam], F$1)+SUMIFS(Table2[NewPointsHome],Table2[GameDate], "&lt;=" &amp; $A78, Table2[HomeTeam], F$1)</f>
        <v>0</v>
      </c>
      <c r="G78" s="145">
        <f>SUMIFS(Table2[NewPointsAway],Table2[GameDate], "&lt;=" &amp; $A78, Table2[AwayTeam], G$1)+SUMIFS(Table2[NewPointsHome],Table2[GameDate], "&lt;=" &amp; $A78, Table2[HomeTeam], G$1)</f>
        <v>2</v>
      </c>
      <c r="H78" s="145">
        <f>SUMIFS(Table2[NewPointsAway],Table2[GameDate], "&lt;=" &amp; $A78, Table2[AwayTeam], H$1)+SUMIFS(Table2[NewPointsHome],Table2[GameDate], "&lt;=" &amp; $A78, Table2[HomeTeam], H$1)</f>
        <v>0</v>
      </c>
      <c r="I78" s="145">
        <f>SUMIFS(Table2[NewPointsAway],Table2[GameDate], "&lt;=" &amp; $A78, Table2[AwayTeam], I$1)+SUMIFS(Table2[NewPointsHome],Table2[GameDate], "&lt;=" &amp; $A78, Table2[HomeTeam], I$1)</f>
        <v>2</v>
      </c>
      <c r="J78" s="145">
        <f>SUMIFS(Table2[NewPointsAway],Table2[GameDate], "&lt;=" &amp; $A78, Table2[AwayTeam], J$1)+SUMIFS(Table2[NewPointsHome],Table2[GameDate], "&lt;=" &amp; $A78, Table2[HomeTeam], J$1)</f>
        <v>0</v>
      </c>
      <c r="K78" s="145">
        <f>SUMIFS(Table2[NewPointsAway],Table2[GameDate], "&lt;=" &amp; $A78, Table2[AwayTeam], K$1)+SUMIFS(Table2[NewPointsHome],Table2[GameDate], "&lt;=" &amp; $A78, Table2[HomeTeam], K$1)</f>
        <v>0</v>
      </c>
      <c r="L78" s="145">
        <f>SUMIFS(Table2[NewPointsAway],Table2[GameDate], "&lt;=" &amp; $A78, Table2[AwayTeam], L$1)+SUMIFS(Table2[NewPointsHome],Table2[GameDate], "&lt;=" &amp; $A78, Table2[HomeTeam], L$1)</f>
        <v>1</v>
      </c>
      <c r="M78" s="145">
        <f>SUMIFS(Table2[NewPointsAway],Table2[GameDate], "&lt;=" &amp; $A78, Table2[AwayTeam], M$1)+SUMIFS(Table2[NewPointsHome],Table2[GameDate], "&lt;=" &amp; $A78, Table2[HomeTeam], M$1)</f>
        <v>2</v>
      </c>
      <c r="N78" s="145">
        <f>SUMIFS(Table2[NewPointsAway],Table2[GameDate], "&lt;=" &amp; $A78, Table2[AwayTeam], N$1)+SUMIFS(Table2[NewPointsHome],Table2[GameDate], "&lt;=" &amp; $A78, Table2[HomeTeam], N$1)</f>
        <v>2</v>
      </c>
      <c r="O78" s="145">
        <f>SUMIFS(Table2[NewPointsAway],Table2[GameDate], "&lt;=" &amp; $A78, Table2[AwayTeam], O$1)+SUMIFS(Table2[NewPointsHome],Table2[GameDate], "&lt;=" &amp; $A78, Table2[HomeTeam], O$1)</f>
        <v>0</v>
      </c>
      <c r="P78" s="145">
        <f>SUMIFS(Table2[NewPointsAway],Table2[GameDate], "&lt;=" &amp; $A78, Table2[AwayTeam], P$1)+SUMIFS(Table2[NewPointsHome],Table2[GameDate], "&lt;=" &amp; $A78, Table2[HomeTeam], P$1)</f>
        <v>0</v>
      </c>
      <c r="Q78" s="145">
        <f>SUMIFS(Table2[NewPointsAway],Table2[GameDate], "&lt;=" &amp; $A78, Table2[AwayTeam], Q$1)+SUMIFS(Table2[NewPointsHome],Table2[GameDate], "&lt;=" &amp; $A78, Table2[HomeTeam], Q$1)</f>
        <v>0</v>
      </c>
      <c r="R78" s="145">
        <f>SUMIFS(Table2[NewPointsAway],Table2[GameDate], "&lt;=" &amp; $A78, Table2[AwayTeam], R$1)+SUMIFS(Table2[NewPointsHome],Table2[GameDate], "&lt;=" &amp; $A78, Table2[HomeTeam], R$1)</f>
        <v>0</v>
      </c>
      <c r="S78" s="145">
        <f>SUMIFS(Table2[NewPointsAway],Table2[GameDate], "&lt;=" &amp; $A78, Table2[AwayTeam], S$1)+SUMIFS(Table2[NewPointsHome],Table2[GameDate], "&lt;=" &amp; $A78, Table2[HomeTeam], S$1)</f>
        <v>0</v>
      </c>
      <c r="T78" s="145">
        <f>SUMIFS(Table2[NewPointsAway],Table2[GameDate], "&lt;=" &amp; $A78, Table2[AwayTeam], T$1)+SUMIFS(Table2[NewPointsHome],Table2[GameDate], "&lt;=" &amp; $A78, Table2[HomeTeam], T$1)</f>
        <v>0</v>
      </c>
      <c r="U78" s="145">
        <f>SUMIFS(Table2[NewPointsAway],Table2[GameDate], "&lt;=" &amp; $A78, Table2[AwayTeam], U$1)+SUMIFS(Table2[NewPointsHome],Table2[GameDate], "&lt;=" &amp; $A78, Table2[HomeTeam], U$1)</f>
        <v>0</v>
      </c>
      <c r="V78" s="145">
        <f>SUMIFS(Table2[NewPointsAway],Table2[GameDate], "&lt;=" &amp; $A78, Table2[AwayTeam], V$1)+SUMIFS(Table2[NewPointsHome],Table2[GameDate], "&lt;=" &amp; $A78, Table2[HomeTeam], V$1)</f>
        <v>0</v>
      </c>
      <c r="W78" s="145">
        <f>SUMIFS(Table2[NewPointsAway],Table2[GameDate], "&lt;=" &amp; $A78, Table2[AwayTeam], W$1)+SUMIFS(Table2[NewPointsHome],Table2[GameDate], "&lt;=" &amp; $A78, Table2[HomeTeam], W$1)</f>
        <v>2</v>
      </c>
      <c r="X78" s="145">
        <f>SUMIFS(Table2[NewPointsAway],Table2[GameDate], "&lt;=" &amp; $A78, Table2[AwayTeam], X$1)+SUMIFS(Table2[NewPointsHome],Table2[GameDate], "&lt;=" &amp; $A78, Table2[HomeTeam], X$1)</f>
        <v>0</v>
      </c>
      <c r="Y78" s="145">
        <f>SUMIFS(Table2[NewPointsAway],Table2[GameDate], "&lt;=" &amp; $A78, Table2[AwayTeam], Y$1)+SUMIFS(Table2[NewPointsHome],Table2[GameDate], "&lt;=" &amp; $A78, Table2[HomeTeam], Y$1)</f>
        <v>0</v>
      </c>
      <c r="Z78" s="145">
        <f>SUMIFS(Table2[NewPointsAway],Table2[GameDate], "&lt;=" &amp; $A78, Table2[AwayTeam], Z$1)+SUMIFS(Table2[NewPointsHome],Table2[GameDate], "&lt;=" &amp; $A78, Table2[HomeTeam], Z$1)</f>
        <v>0</v>
      </c>
      <c r="AA78" s="145">
        <f>SUMIFS(Table2[NewPointsAway],Table2[GameDate], "&lt;=" &amp; $A78, Table2[AwayTeam], AA$1)+SUMIFS(Table2[NewPointsHome],Table2[GameDate], "&lt;=" &amp; $A78, Table2[HomeTeam], AA$1)</f>
        <v>0</v>
      </c>
      <c r="AB78" s="145">
        <f>SUMIFS(Table2[NewPointsAway],Table2[GameDate], "&lt;=" &amp; $A78, Table2[AwayTeam], AB$1)+SUMIFS(Table2[NewPointsHome],Table2[GameDate], "&lt;=" &amp; $A78, Table2[HomeTeam], AB$1)</f>
        <v>2</v>
      </c>
      <c r="AC78" s="145">
        <f>SUMIFS(Table2[NewPointsAway],Table2[GameDate], "&lt;=" &amp; $A78, Table2[AwayTeam], AC$1)+SUMIFS(Table2[NewPointsHome],Table2[GameDate], "&lt;=" &amp; $A78, Table2[HomeTeam], AC$1)</f>
        <v>0</v>
      </c>
      <c r="AD78" s="145">
        <f>SUMIFS(Table2[NewPointsAway],Table2[GameDate], "&lt;=" &amp; $A78, Table2[AwayTeam], AD$1)+SUMIFS(Table2[NewPointsHome],Table2[GameDate], "&lt;=" &amp; $A78, Table2[HomeTeam], AD$1)</f>
        <v>0</v>
      </c>
      <c r="AE78" s="145">
        <f>SUMIFS(Table2[NewPointsAway],Table2[GameDate], "&lt;=" &amp; $A78, Table2[AwayTeam], AE$1)+SUMIFS(Table2[NewPointsHome],Table2[GameDate], "&lt;=" &amp; $A78, Table2[HomeTeam], AE$1)</f>
        <v>1</v>
      </c>
      <c r="AF78" s="145">
        <f>SUMIFS(Table2[NewPointsAway],Table2[GameDate], "&lt;=" &amp; $A78, Table2[AwayTeam], AF$1)+SUMIFS(Table2[NewPointsHome],Table2[GameDate], "&lt;=" &amp; $A78, Table2[HomeTeam], AF$1)</f>
        <v>0</v>
      </c>
      <c r="AG78" s="145">
        <f>SUMIFS(Table2[NewPointsAway],Table2[GameDate], "&lt;=" &amp; $A78, Table2[AwayTeam], AG$1)+SUMIFS(Table2[NewPointsHome],Table2[GameDate], "&lt;=" &amp; $A78, Table2[HomeTeam], AG$1)</f>
        <v>0</v>
      </c>
    </row>
    <row r="79" spans="1:33" x14ac:dyDescent="0.25">
      <c r="A79" s="3">
        <v>46010</v>
      </c>
      <c r="B79" s="145">
        <f>SUMIFS(Table2[NewPointsAway],Table2[GameDate], "&lt;=" &amp; $A79, Table2[AwayTeam], B$1)+SUMIFS(Table2[NewPointsHome],Table2[GameDate], "&lt;=" &amp; $A79, Table2[HomeTeam], B$1)</f>
        <v>0</v>
      </c>
      <c r="C79" s="145">
        <f>SUMIFS(Table2[NewPointsAway],Table2[GameDate], "&lt;=" &amp; $A79, Table2[AwayTeam], C$1)+SUMIFS(Table2[NewPointsHome],Table2[GameDate], "&lt;=" &amp; $A79, Table2[HomeTeam], C$1)</f>
        <v>2</v>
      </c>
      <c r="D79" s="145">
        <f>SUMIFS(Table2[NewPointsAway],Table2[GameDate], "&lt;=" &amp; $A79, Table2[AwayTeam], D$1)+SUMIFS(Table2[NewPointsHome],Table2[GameDate], "&lt;=" &amp; $A79, Table2[HomeTeam], D$1)</f>
        <v>0</v>
      </c>
      <c r="E79" s="145">
        <f>SUMIFS(Table2[NewPointsAway],Table2[GameDate], "&lt;=" &amp; $A79, Table2[AwayTeam], E$1)+SUMIFS(Table2[NewPointsHome],Table2[GameDate], "&lt;=" &amp; $A79, Table2[HomeTeam], E$1)</f>
        <v>0</v>
      </c>
      <c r="F79" s="145">
        <f>SUMIFS(Table2[NewPointsAway],Table2[GameDate], "&lt;=" &amp; $A79, Table2[AwayTeam], F$1)+SUMIFS(Table2[NewPointsHome],Table2[GameDate], "&lt;=" &amp; $A79, Table2[HomeTeam], F$1)</f>
        <v>0</v>
      </c>
      <c r="G79" s="145">
        <f>SUMIFS(Table2[NewPointsAway],Table2[GameDate], "&lt;=" &amp; $A79, Table2[AwayTeam], G$1)+SUMIFS(Table2[NewPointsHome],Table2[GameDate], "&lt;=" &amp; $A79, Table2[HomeTeam], G$1)</f>
        <v>2</v>
      </c>
      <c r="H79" s="145">
        <f>SUMIFS(Table2[NewPointsAway],Table2[GameDate], "&lt;=" &amp; $A79, Table2[AwayTeam], H$1)+SUMIFS(Table2[NewPointsHome],Table2[GameDate], "&lt;=" &amp; $A79, Table2[HomeTeam], H$1)</f>
        <v>0</v>
      </c>
      <c r="I79" s="145">
        <f>SUMIFS(Table2[NewPointsAway],Table2[GameDate], "&lt;=" &amp; $A79, Table2[AwayTeam], I$1)+SUMIFS(Table2[NewPointsHome],Table2[GameDate], "&lt;=" &amp; $A79, Table2[HomeTeam], I$1)</f>
        <v>2</v>
      </c>
      <c r="J79" s="145">
        <f>SUMIFS(Table2[NewPointsAway],Table2[GameDate], "&lt;=" &amp; $A79, Table2[AwayTeam], J$1)+SUMIFS(Table2[NewPointsHome],Table2[GameDate], "&lt;=" &amp; $A79, Table2[HomeTeam], J$1)</f>
        <v>0</v>
      </c>
      <c r="K79" s="145">
        <f>SUMIFS(Table2[NewPointsAway],Table2[GameDate], "&lt;=" &amp; $A79, Table2[AwayTeam], K$1)+SUMIFS(Table2[NewPointsHome],Table2[GameDate], "&lt;=" &amp; $A79, Table2[HomeTeam], K$1)</f>
        <v>0</v>
      </c>
      <c r="L79" s="145">
        <f>SUMIFS(Table2[NewPointsAway],Table2[GameDate], "&lt;=" &amp; $A79, Table2[AwayTeam], L$1)+SUMIFS(Table2[NewPointsHome],Table2[GameDate], "&lt;=" &amp; $A79, Table2[HomeTeam], L$1)</f>
        <v>1</v>
      </c>
      <c r="M79" s="145">
        <f>SUMIFS(Table2[NewPointsAway],Table2[GameDate], "&lt;=" &amp; $A79, Table2[AwayTeam], M$1)+SUMIFS(Table2[NewPointsHome],Table2[GameDate], "&lt;=" &amp; $A79, Table2[HomeTeam], M$1)</f>
        <v>2</v>
      </c>
      <c r="N79" s="145">
        <f>SUMIFS(Table2[NewPointsAway],Table2[GameDate], "&lt;=" &amp; $A79, Table2[AwayTeam], N$1)+SUMIFS(Table2[NewPointsHome],Table2[GameDate], "&lt;=" &amp; $A79, Table2[HomeTeam], N$1)</f>
        <v>2</v>
      </c>
      <c r="O79" s="145">
        <f>SUMIFS(Table2[NewPointsAway],Table2[GameDate], "&lt;=" &amp; $A79, Table2[AwayTeam], O$1)+SUMIFS(Table2[NewPointsHome],Table2[GameDate], "&lt;=" &amp; $A79, Table2[HomeTeam], O$1)</f>
        <v>0</v>
      </c>
      <c r="P79" s="145">
        <f>SUMIFS(Table2[NewPointsAway],Table2[GameDate], "&lt;=" &amp; $A79, Table2[AwayTeam], P$1)+SUMIFS(Table2[NewPointsHome],Table2[GameDate], "&lt;=" &amp; $A79, Table2[HomeTeam], P$1)</f>
        <v>0</v>
      </c>
      <c r="Q79" s="145">
        <f>SUMIFS(Table2[NewPointsAway],Table2[GameDate], "&lt;=" &amp; $A79, Table2[AwayTeam], Q$1)+SUMIFS(Table2[NewPointsHome],Table2[GameDate], "&lt;=" &amp; $A79, Table2[HomeTeam], Q$1)</f>
        <v>0</v>
      </c>
      <c r="R79" s="145">
        <f>SUMIFS(Table2[NewPointsAway],Table2[GameDate], "&lt;=" &amp; $A79, Table2[AwayTeam], R$1)+SUMIFS(Table2[NewPointsHome],Table2[GameDate], "&lt;=" &amp; $A79, Table2[HomeTeam], R$1)</f>
        <v>0</v>
      </c>
      <c r="S79" s="145">
        <f>SUMIFS(Table2[NewPointsAway],Table2[GameDate], "&lt;=" &amp; $A79, Table2[AwayTeam], S$1)+SUMIFS(Table2[NewPointsHome],Table2[GameDate], "&lt;=" &amp; $A79, Table2[HomeTeam], S$1)</f>
        <v>0</v>
      </c>
      <c r="T79" s="145">
        <f>SUMIFS(Table2[NewPointsAway],Table2[GameDate], "&lt;=" &amp; $A79, Table2[AwayTeam], T$1)+SUMIFS(Table2[NewPointsHome],Table2[GameDate], "&lt;=" &amp; $A79, Table2[HomeTeam], T$1)</f>
        <v>0</v>
      </c>
      <c r="U79" s="145">
        <f>SUMIFS(Table2[NewPointsAway],Table2[GameDate], "&lt;=" &amp; $A79, Table2[AwayTeam], U$1)+SUMIFS(Table2[NewPointsHome],Table2[GameDate], "&lt;=" &amp; $A79, Table2[HomeTeam], U$1)</f>
        <v>0</v>
      </c>
      <c r="V79" s="145">
        <f>SUMIFS(Table2[NewPointsAway],Table2[GameDate], "&lt;=" &amp; $A79, Table2[AwayTeam], V$1)+SUMIFS(Table2[NewPointsHome],Table2[GameDate], "&lt;=" &amp; $A79, Table2[HomeTeam], V$1)</f>
        <v>0</v>
      </c>
      <c r="W79" s="145">
        <f>SUMIFS(Table2[NewPointsAway],Table2[GameDate], "&lt;=" &amp; $A79, Table2[AwayTeam], W$1)+SUMIFS(Table2[NewPointsHome],Table2[GameDate], "&lt;=" &amp; $A79, Table2[HomeTeam], W$1)</f>
        <v>2</v>
      </c>
      <c r="X79" s="145">
        <f>SUMIFS(Table2[NewPointsAway],Table2[GameDate], "&lt;=" &amp; $A79, Table2[AwayTeam], X$1)+SUMIFS(Table2[NewPointsHome],Table2[GameDate], "&lt;=" &amp; $A79, Table2[HomeTeam], X$1)</f>
        <v>0</v>
      </c>
      <c r="Y79" s="145">
        <f>SUMIFS(Table2[NewPointsAway],Table2[GameDate], "&lt;=" &amp; $A79, Table2[AwayTeam], Y$1)+SUMIFS(Table2[NewPointsHome],Table2[GameDate], "&lt;=" &amp; $A79, Table2[HomeTeam], Y$1)</f>
        <v>0</v>
      </c>
      <c r="Z79" s="145">
        <f>SUMIFS(Table2[NewPointsAway],Table2[GameDate], "&lt;=" &amp; $A79, Table2[AwayTeam], Z$1)+SUMIFS(Table2[NewPointsHome],Table2[GameDate], "&lt;=" &amp; $A79, Table2[HomeTeam], Z$1)</f>
        <v>0</v>
      </c>
      <c r="AA79" s="145">
        <f>SUMIFS(Table2[NewPointsAway],Table2[GameDate], "&lt;=" &amp; $A79, Table2[AwayTeam], AA$1)+SUMIFS(Table2[NewPointsHome],Table2[GameDate], "&lt;=" &amp; $A79, Table2[HomeTeam], AA$1)</f>
        <v>0</v>
      </c>
      <c r="AB79" s="145">
        <f>SUMIFS(Table2[NewPointsAway],Table2[GameDate], "&lt;=" &amp; $A79, Table2[AwayTeam], AB$1)+SUMIFS(Table2[NewPointsHome],Table2[GameDate], "&lt;=" &amp; $A79, Table2[HomeTeam], AB$1)</f>
        <v>2</v>
      </c>
      <c r="AC79" s="145">
        <f>SUMIFS(Table2[NewPointsAway],Table2[GameDate], "&lt;=" &amp; $A79, Table2[AwayTeam], AC$1)+SUMIFS(Table2[NewPointsHome],Table2[GameDate], "&lt;=" &amp; $A79, Table2[HomeTeam], AC$1)</f>
        <v>0</v>
      </c>
      <c r="AD79" s="145">
        <f>SUMIFS(Table2[NewPointsAway],Table2[GameDate], "&lt;=" &amp; $A79, Table2[AwayTeam], AD$1)+SUMIFS(Table2[NewPointsHome],Table2[GameDate], "&lt;=" &amp; $A79, Table2[HomeTeam], AD$1)</f>
        <v>0</v>
      </c>
      <c r="AE79" s="145">
        <f>SUMIFS(Table2[NewPointsAway],Table2[GameDate], "&lt;=" &amp; $A79, Table2[AwayTeam], AE$1)+SUMIFS(Table2[NewPointsHome],Table2[GameDate], "&lt;=" &amp; $A79, Table2[HomeTeam], AE$1)</f>
        <v>1</v>
      </c>
      <c r="AF79" s="145">
        <f>SUMIFS(Table2[NewPointsAway],Table2[GameDate], "&lt;=" &amp; $A79, Table2[AwayTeam], AF$1)+SUMIFS(Table2[NewPointsHome],Table2[GameDate], "&lt;=" &amp; $A79, Table2[HomeTeam], AF$1)</f>
        <v>0</v>
      </c>
      <c r="AG79" s="145">
        <f>SUMIFS(Table2[NewPointsAway],Table2[GameDate], "&lt;=" &amp; $A79, Table2[AwayTeam], AG$1)+SUMIFS(Table2[NewPointsHome],Table2[GameDate], "&lt;=" &amp; $A79, Table2[HomeTeam], AG$1)</f>
        <v>0</v>
      </c>
    </row>
    <row r="80" spans="1:33" x14ac:dyDescent="0.25">
      <c r="A80" s="3">
        <v>46011</v>
      </c>
      <c r="B80" s="145">
        <f>SUMIFS(Table2[NewPointsAway],Table2[GameDate], "&lt;=" &amp; $A80, Table2[AwayTeam], B$1)+SUMIFS(Table2[NewPointsHome],Table2[GameDate], "&lt;=" &amp; $A80, Table2[HomeTeam], B$1)</f>
        <v>0</v>
      </c>
      <c r="C80" s="145">
        <f>SUMIFS(Table2[NewPointsAway],Table2[GameDate], "&lt;=" &amp; $A80, Table2[AwayTeam], C$1)+SUMIFS(Table2[NewPointsHome],Table2[GameDate], "&lt;=" &amp; $A80, Table2[HomeTeam], C$1)</f>
        <v>2</v>
      </c>
      <c r="D80" s="145">
        <f>SUMIFS(Table2[NewPointsAway],Table2[GameDate], "&lt;=" &amp; $A80, Table2[AwayTeam], D$1)+SUMIFS(Table2[NewPointsHome],Table2[GameDate], "&lt;=" &amp; $A80, Table2[HomeTeam], D$1)</f>
        <v>0</v>
      </c>
      <c r="E80" s="145">
        <f>SUMIFS(Table2[NewPointsAway],Table2[GameDate], "&lt;=" &amp; $A80, Table2[AwayTeam], E$1)+SUMIFS(Table2[NewPointsHome],Table2[GameDate], "&lt;=" &amp; $A80, Table2[HomeTeam], E$1)</f>
        <v>0</v>
      </c>
      <c r="F80" s="145">
        <f>SUMIFS(Table2[NewPointsAway],Table2[GameDate], "&lt;=" &amp; $A80, Table2[AwayTeam], F$1)+SUMIFS(Table2[NewPointsHome],Table2[GameDate], "&lt;=" &amp; $A80, Table2[HomeTeam], F$1)</f>
        <v>0</v>
      </c>
      <c r="G80" s="145">
        <f>SUMIFS(Table2[NewPointsAway],Table2[GameDate], "&lt;=" &amp; $A80, Table2[AwayTeam], G$1)+SUMIFS(Table2[NewPointsHome],Table2[GameDate], "&lt;=" &amp; $A80, Table2[HomeTeam], G$1)</f>
        <v>2</v>
      </c>
      <c r="H80" s="145">
        <f>SUMIFS(Table2[NewPointsAway],Table2[GameDate], "&lt;=" &amp; $A80, Table2[AwayTeam], H$1)+SUMIFS(Table2[NewPointsHome],Table2[GameDate], "&lt;=" &amp; $A80, Table2[HomeTeam], H$1)</f>
        <v>0</v>
      </c>
      <c r="I80" s="145">
        <f>SUMIFS(Table2[NewPointsAway],Table2[GameDate], "&lt;=" &amp; $A80, Table2[AwayTeam], I$1)+SUMIFS(Table2[NewPointsHome],Table2[GameDate], "&lt;=" &amp; $A80, Table2[HomeTeam], I$1)</f>
        <v>2</v>
      </c>
      <c r="J80" s="145">
        <f>SUMIFS(Table2[NewPointsAway],Table2[GameDate], "&lt;=" &amp; $A80, Table2[AwayTeam], J$1)+SUMIFS(Table2[NewPointsHome],Table2[GameDate], "&lt;=" &amp; $A80, Table2[HomeTeam], J$1)</f>
        <v>0</v>
      </c>
      <c r="K80" s="145">
        <f>SUMIFS(Table2[NewPointsAway],Table2[GameDate], "&lt;=" &amp; $A80, Table2[AwayTeam], K$1)+SUMIFS(Table2[NewPointsHome],Table2[GameDate], "&lt;=" &amp; $A80, Table2[HomeTeam], K$1)</f>
        <v>0</v>
      </c>
      <c r="L80" s="145">
        <f>SUMIFS(Table2[NewPointsAway],Table2[GameDate], "&lt;=" &amp; $A80, Table2[AwayTeam], L$1)+SUMIFS(Table2[NewPointsHome],Table2[GameDate], "&lt;=" &amp; $A80, Table2[HomeTeam], L$1)</f>
        <v>1</v>
      </c>
      <c r="M80" s="145">
        <f>SUMIFS(Table2[NewPointsAway],Table2[GameDate], "&lt;=" &amp; $A80, Table2[AwayTeam], M$1)+SUMIFS(Table2[NewPointsHome],Table2[GameDate], "&lt;=" &amp; $A80, Table2[HomeTeam], M$1)</f>
        <v>2</v>
      </c>
      <c r="N80" s="145">
        <f>SUMIFS(Table2[NewPointsAway],Table2[GameDate], "&lt;=" &amp; $A80, Table2[AwayTeam], N$1)+SUMIFS(Table2[NewPointsHome],Table2[GameDate], "&lt;=" &amp; $A80, Table2[HomeTeam], N$1)</f>
        <v>2</v>
      </c>
      <c r="O80" s="145">
        <f>SUMIFS(Table2[NewPointsAway],Table2[GameDate], "&lt;=" &amp; $A80, Table2[AwayTeam], O$1)+SUMIFS(Table2[NewPointsHome],Table2[GameDate], "&lt;=" &amp; $A80, Table2[HomeTeam], O$1)</f>
        <v>0</v>
      </c>
      <c r="P80" s="145">
        <f>SUMIFS(Table2[NewPointsAway],Table2[GameDate], "&lt;=" &amp; $A80, Table2[AwayTeam], P$1)+SUMIFS(Table2[NewPointsHome],Table2[GameDate], "&lt;=" &amp; $A80, Table2[HomeTeam], P$1)</f>
        <v>0</v>
      </c>
      <c r="Q80" s="145">
        <f>SUMIFS(Table2[NewPointsAway],Table2[GameDate], "&lt;=" &amp; $A80, Table2[AwayTeam], Q$1)+SUMIFS(Table2[NewPointsHome],Table2[GameDate], "&lt;=" &amp; $A80, Table2[HomeTeam], Q$1)</f>
        <v>0</v>
      </c>
      <c r="R80" s="145">
        <f>SUMIFS(Table2[NewPointsAway],Table2[GameDate], "&lt;=" &amp; $A80, Table2[AwayTeam], R$1)+SUMIFS(Table2[NewPointsHome],Table2[GameDate], "&lt;=" &amp; $A80, Table2[HomeTeam], R$1)</f>
        <v>0</v>
      </c>
      <c r="S80" s="145">
        <f>SUMIFS(Table2[NewPointsAway],Table2[GameDate], "&lt;=" &amp; $A80, Table2[AwayTeam], S$1)+SUMIFS(Table2[NewPointsHome],Table2[GameDate], "&lt;=" &amp; $A80, Table2[HomeTeam], S$1)</f>
        <v>0</v>
      </c>
      <c r="T80" s="145">
        <f>SUMIFS(Table2[NewPointsAway],Table2[GameDate], "&lt;=" &amp; $A80, Table2[AwayTeam], T$1)+SUMIFS(Table2[NewPointsHome],Table2[GameDate], "&lt;=" &amp; $A80, Table2[HomeTeam], T$1)</f>
        <v>0</v>
      </c>
      <c r="U80" s="145">
        <f>SUMIFS(Table2[NewPointsAway],Table2[GameDate], "&lt;=" &amp; $A80, Table2[AwayTeam], U$1)+SUMIFS(Table2[NewPointsHome],Table2[GameDate], "&lt;=" &amp; $A80, Table2[HomeTeam], U$1)</f>
        <v>0</v>
      </c>
      <c r="V80" s="145">
        <f>SUMIFS(Table2[NewPointsAway],Table2[GameDate], "&lt;=" &amp; $A80, Table2[AwayTeam], V$1)+SUMIFS(Table2[NewPointsHome],Table2[GameDate], "&lt;=" &amp; $A80, Table2[HomeTeam], V$1)</f>
        <v>0</v>
      </c>
      <c r="W80" s="145">
        <f>SUMIFS(Table2[NewPointsAway],Table2[GameDate], "&lt;=" &amp; $A80, Table2[AwayTeam], W$1)+SUMIFS(Table2[NewPointsHome],Table2[GameDate], "&lt;=" &amp; $A80, Table2[HomeTeam], W$1)</f>
        <v>2</v>
      </c>
      <c r="X80" s="145">
        <f>SUMIFS(Table2[NewPointsAway],Table2[GameDate], "&lt;=" &amp; $A80, Table2[AwayTeam], X$1)+SUMIFS(Table2[NewPointsHome],Table2[GameDate], "&lt;=" &amp; $A80, Table2[HomeTeam], X$1)</f>
        <v>0</v>
      </c>
      <c r="Y80" s="145">
        <f>SUMIFS(Table2[NewPointsAway],Table2[GameDate], "&lt;=" &amp; $A80, Table2[AwayTeam], Y$1)+SUMIFS(Table2[NewPointsHome],Table2[GameDate], "&lt;=" &amp; $A80, Table2[HomeTeam], Y$1)</f>
        <v>0</v>
      </c>
      <c r="Z80" s="145">
        <f>SUMIFS(Table2[NewPointsAway],Table2[GameDate], "&lt;=" &amp; $A80, Table2[AwayTeam], Z$1)+SUMIFS(Table2[NewPointsHome],Table2[GameDate], "&lt;=" &amp; $A80, Table2[HomeTeam], Z$1)</f>
        <v>0</v>
      </c>
      <c r="AA80" s="145">
        <f>SUMIFS(Table2[NewPointsAway],Table2[GameDate], "&lt;=" &amp; $A80, Table2[AwayTeam], AA$1)+SUMIFS(Table2[NewPointsHome],Table2[GameDate], "&lt;=" &amp; $A80, Table2[HomeTeam], AA$1)</f>
        <v>0</v>
      </c>
      <c r="AB80" s="145">
        <f>SUMIFS(Table2[NewPointsAway],Table2[GameDate], "&lt;=" &amp; $A80, Table2[AwayTeam], AB$1)+SUMIFS(Table2[NewPointsHome],Table2[GameDate], "&lt;=" &amp; $A80, Table2[HomeTeam], AB$1)</f>
        <v>2</v>
      </c>
      <c r="AC80" s="145">
        <f>SUMIFS(Table2[NewPointsAway],Table2[GameDate], "&lt;=" &amp; $A80, Table2[AwayTeam], AC$1)+SUMIFS(Table2[NewPointsHome],Table2[GameDate], "&lt;=" &amp; $A80, Table2[HomeTeam], AC$1)</f>
        <v>0</v>
      </c>
      <c r="AD80" s="145">
        <f>SUMIFS(Table2[NewPointsAway],Table2[GameDate], "&lt;=" &amp; $A80, Table2[AwayTeam], AD$1)+SUMIFS(Table2[NewPointsHome],Table2[GameDate], "&lt;=" &amp; $A80, Table2[HomeTeam], AD$1)</f>
        <v>0</v>
      </c>
      <c r="AE80" s="145">
        <f>SUMIFS(Table2[NewPointsAway],Table2[GameDate], "&lt;=" &amp; $A80, Table2[AwayTeam], AE$1)+SUMIFS(Table2[NewPointsHome],Table2[GameDate], "&lt;=" &amp; $A80, Table2[HomeTeam], AE$1)</f>
        <v>1</v>
      </c>
      <c r="AF80" s="145">
        <f>SUMIFS(Table2[NewPointsAway],Table2[GameDate], "&lt;=" &amp; $A80, Table2[AwayTeam], AF$1)+SUMIFS(Table2[NewPointsHome],Table2[GameDate], "&lt;=" &amp; $A80, Table2[HomeTeam], AF$1)</f>
        <v>0</v>
      </c>
      <c r="AG80" s="145">
        <f>SUMIFS(Table2[NewPointsAway],Table2[GameDate], "&lt;=" &amp; $A80, Table2[AwayTeam], AG$1)+SUMIFS(Table2[NewPointsHome],Table2[GameDate], "&lt;=" &amp; $A80, Table2[HomeTeam], AG$1)</f>
        <v>0</v>
      </c>
    </row>
    <row r="81" spans="1:33" x14ac:dyDescent="0.25">
      <c r="A81" s="3">
        <v>46012</v>
      </c>
      <c r="B81" s="145">
        <f>SUMIFS(Table2[NewPointsAway],Table2[GameDate], "&lt;=" &amp; $A81, Table2[AwayTeam], B$1)+SUMIFS(Table2[NewPointsHome],Table2[GameDate], "&lt;=" &amp; $A81, Table2[HomeTeam], B$1)</f>
        <v>0</v>
      </c>
      <c r="C81" s="145">
        <f>SUMIFS(Table2[NewPointsAway],Table2[GameDate], "&lt;=" &amp; $A81, Table2[AwayTeam], C$1)+SUMIFS(Table2[NewPointsHome],Table2[GameDate], "&lt;=" &amp; $A81, Table2[HomeTeam], C$1)</f>
        <v>2</v>
      </c>
      <c r="D81" s="145">
        <f>SUMIFS(Table2[NewPointsAway],Table2[GameDate], "&lt;=" &amp; $A81, Table2[AwayTeam], D$1)+SUMIFS(Table2[NewPointsHome],Table2[GameDate], "&lt;=" &amp; $A81, Table2[HomeTeam], D$1)</f>
        <v>0</v>
      </c>
      <c r="E81" s="145">
        <f>SUMIFS(Table2[NewPointsAway],Table2[GameDate], "&lt;=" &amp; $A81, Table2[AwayTeam], E$1)+SUMIFS(Table2[NewPointsHome],Table2[GameDate], "&lt;=" &amp; $A81, Table2[HomeTeam], E$1)</f>
        <v>0</v>
      </c>
      <c r="F81" s="145">
        <f>SUMIFS(Table2[NewPointsAway],Table2[GameDate], "&lt;=" &amp; $A81, Table2[AwayTeam], F$1)+SUMIFS(Table2[NewPointsHome],Table2[GameDate], "&lt;=" &amp; $A81, Table2[HomeTeam], F$1)</f>
        <v>0</v>
      </c>
      <c r="G81" s="145">
        <f>SUMIFS(Table2[NewPointsAway],Table2[GameDate], "&lt;=" &amp; $A81, Table2[AwayTeam], G$1)+SUMIFS(Table2[NewPointsHome],Table2[GameDate], "&lt;=" &amp; $A81, Table2[HomeTeam], G$1)</f>
        <v>2</v>
      </c>
      <c r="H81" s="145">
        <f>SUMIFS(Table2[NewPointsAway],Table2[GameDate], "&lt;=" &amp; $A81, Table2[AwayTeam], H$1)+SUMIFS(Table2[NewPointsHome],Table2[GameDate], "&lt;=" &amp; $A81, Table2[HomeTeam], H$1)</f>
        <v>0</v>
      </c>
      <c r="I81" s="145">
        <f>SUMIFS(Table2[NewPointsAway],Table2[GameDate], "&lt;=" &amp; $A81, Table2[AwayTeam], I$1)+SUMIFS(Table2[NewPointsHome],Table2[GameDate], "&lt;=" &amp; $A81, Table2[HomeTeam], I$1)</f>
        <v>2</v>
      </c>
      <c r="J81" s="145">
        <f>SUMIFS(Table2[NewPointsAway],Table2[GameDate], "&lt;=" &amp; $A81, Table2[AwayTeam], J$1)+SUMIFS(Table2[NewPointsHome],Table2[GameDate], "&lt;=" &amp; $A81, Table2[HomeTeam], J$1)</f>
        <v>0</v>
      </c>
      <c r="K81" s="145">
        <f>SUMIFS(Table2[NewPointsAway],Table2[GameDate], "&lt;=" &amp; $A81, Table2[AwayTeam], K$1)+SUMIFS(Table2[NewPointsHome],Table2[GameDate], "&lt;=" &amp; $A81, Table2[HomeTeam], K$1)</f>
        <v>0</v>
      </c>
      <c r="L81" s="145">
        <f>SUMIFS(Table2[NewPointsAway],Table2[GameDate], "&lt;=" &amp; $A81, Table2[AwayTeam], L$1)+SUMIFS(Table2[NewPointsHome],Table2[GameDate], "&lt;=" &amp; $A81, Table2[HomeTeam], L$1)</f>
        <v>1</v>
      </c>
      <c r="M81" s="145">
        <f>SUMIFS(Table2[NewPointsAway],Table2[GameDate], "&lt;=" &amp; $A81, Table2[AwayTeam], M$1)+SUMIFS(Table2[NewPointsHome],Table2[GameDate], "&lt;=" &amp; $A81, Table2[HomeTeam], M$1)</f>
        <v>2</v>
      </c>
      <c r="N81" s="145">
        <f>SUMIFS(Table2[NewPointsAway],Table2[GameDate], "&lt;=" &amp; $A81, Table2[AwayTeam], N$1)+SUMIFS(Table2[NewPointsHome],Table2[GameDate], "&lt;=" &amp; $A81, Table2[HomeTeam], N$1)</f>
        <v>2</v>
      </c>
      <c r="O81" s="145">
        <f>SUMIFS(Table2[NewPointsAway],Table2[GameDate], "&lt;=" &amp; $A81, Table2[AwayTeam], O$1)+SUMIFS(Table2[NewPointsHome],Table2[GameDate], "&lt;=" &amp; $A81, Table2[HomeTeam], O$1)</f>
        <v>0</v>
      </c>
      <c r="P81" s="145">
        <f>SUMIFS(Table2[NewPointsAway],Table2[GameDate], "&lt;=" &amp; $A81, Table2[AwayTeam], P$1)+SUMIFS(Table2[NewPointsHome],Table2[GameDate], "&lt;=" &amp; $A81, Table2[HomeTeam], P$1)</f>
        <v>0</v>
      </c>
      <c r="Q81" s="145">
        <f>SUMIFS(Table2[NewPointsAway],Table2[GameDate], "&lt;=" &amp; $A81, Table2[AwayTeam], Q$1)+SUMIFS(Table2[NewPointsHome],Table2[GameDate], "&lt;=" &amp; $A81, Table2[HomeTeam], Q$1)</f>
        <v>0</v>
      </c>
      <c r="R81" s="145">
        <f>SUMIFS(Table2[NewPointsAway],Table2[GameDate], "&lt;=" &amp; $A81, Table2[AwayTeam], R$1)+SUMIFS(Table2[NewPointsHome],Table2[GameDate], "&lt;=" &amp; $A81, Table2[HomeTeam], R$1)</f>
        <v>0</v>
      </c>
      <c r="S81" s="145">
        <f>SUMIFS(Table2[NewPointsAway],Table2[GameDate], "&lt;=" &amp; $A81, Table2[AwayTeam], S$1)+SUMIFS(Table2[NewPointsHome],Table2[GameDate], "&lt;=" &amp; $A81, Table2[HomeTeam], S$1)</f>
        <v>0</v>
      </c>
      <c r="T81" s="145">
        <f>SUMIFS(Table2[NewPointsAway],Table2[GameDate], "&lt;=" &amp; $A81, Table2[AwayTeam], T$1)+SUMIFS(Table2[NewPointsHome],Table2[GameDate], "&lt;=" &amp; $A81, Table2[HomeTeam], T$1)</f>
        <v>0</v>
      </c>
      <c r="U81" s="145">
        <f>SUMIFS(Table2[NewPointsAway],Table2[GameDate], "&lt;=" &amp; $A81, Table2[AwayTeam], U$1)+SUMIFS(Table2[NewPointsHome],Table2[GameDate], "&lt;=" &amp; $A81, Table2[HomeTeam], U$1)</f>
        <v>0</v>
      </c>
      <c r="V81" s="145">
        <f>SUMIFS(Table2[NewPointsAway],Table2[GameDate], "&lt;=" &amp; $A81, Table2[AwayTeam], V$1)+SUMIFS(Table2[NewPointsHome],Table2[GameDate], "&lt;=" &amp; $A81, Table2[HomeTeam], V$1)</f>
        <v>0</v>
      </c>
      <c r="W81" s="145">
        <f>SUMIFS(Table2[NewPointsAway],Table2[GameDate], "&lt;=" &amp; $A81, Table2[AwayTeam], W$1)+SUMIFS(Table2[NewPointsHome],Table2[GameDate], "&lt;=" &amp; $A81, Table2[HomeTeam], W$1)</f>
        <v>2</v>
      </c>
      <c r="X81" s="145">
        <f>SUMIFS(Table2[NewPointsAway],Table2[GameDate], "&lt;=" &amp; $A81, Table2[AwayTeam], X$1)+SUMIFS(Table2[NewPointsHome],Table2[GameDate], "&lt;=" &amp; $A81, Table2[HomeTeam], X$1)</f>
        <v>0</v>
      </c>
      <c r="Y81" s="145">
        <f>SUMIFS(Table2[NewPointsAway],Table2[GameDate], "&lt;=" &amp; $A81, Table2[AwayTeam], Y$1)+SUMIFS(Table2[NewPointsHome],Table2[GameDate], "&lt;=" &amp; $A81, Table2[HomeTeam], Y$1)</f>
        <v>0</v>
      </c>
      <c r="Z81" s="145">
        <f>SUMIFS(Table2[NewPointsAway],Table2[GameDate], "&lt;=" &amp; $A81, Table2[AwayTeam], Z$1)+SUMIFS(Table2[NewPointsHome],Table2[GameDate], "&lt;=" &amp; $A81, Table2[HomeTeam], Z$1)</f>
        <v>0</v>
      </c>
      <c r="AA81" s="145">
        <f>SUMIFS(Table2[NewPointsAway],Table2[GameDate], "&lt;=" &amp; $A81, Table2[AwayTeam], AA$1)+SUMIFS(Table2[NewPointsHome],Table2[GameDate], "&lt;=" &amp; $A81, Table2[HomeTeam], AA$1)</f>
        <v>0</v>
      </c>
      <c r="AB81" s="145">
        <f>SUMIFS(Table2[NewPointsAway],Table2[GameDate], "&lt;=" &amp; $A81, Table2[AwayTeam], AB$1)+SUMIFS(Table2[NewPointsHome],Table2[GameDate], "&lt;=" &amp; $A81, Table2[HomeTeam], AB$1)</f>
        <v>2</v>
      </c>
      <c r="AC81" s="145">
        <f>SUMIFS(Table2[NewPointsAway],Table2[GameDate], "&lt;=" &amp; $A81, Table2[AwayTeam], AC$1)+SUMIFS(Table2[NewPointsHome],Table2[GameDate], "&lt;=" &amp; $A81, Table2[HomeTeam], AC$1)</f>
        <v>0</v>
      </c>
      <c r="AD81" s="145">
        <f>SUMIFS(Table2[NewPointsAway],Table2[GameDate], "&lt;=" &amp; $A81, Table2[AwayTeam], AD$1)+SUMIFS(Table2[NewPointsHome],Table2[GameDate], "&lt;=" &amp; $A81, Table2[HomeTeam], AD$1)</f>
        <v>0</v>
      </c>
      <c r="AE81" s="145">
        <f>SUMIFS(Table2[NewPointsAway],Table2[GameDate], "&lt;=" &amp; $A81, Table2[AwayTeam], AE$1)+SUMIFS(Table2[NewPointsHome],Table2[GameDate], "&lt;=" &amp; $A81, Table2[HomeTeam], AE$1)</f>
        <v>1</v>
      </c>
      <c r="AF81" s="145">
        <f>SUMIFS(Table2[NewPointsAway],Table2[GameDate], "&lt;=" &amp; $A81, Table2[AwayTeam], AF$1)+SUMIFS(Table2[NewPointsHome],Table2[GameDate], "&lt;=" &amp; $A81, Table2[HomeTeam], AF$1)</f>
        <v>0</v>
      </c>
      <c r="AG81" s="145">
        <f>SUMIFS(Table2[NewPointsAway],Table2[GameDate], "&lt;=" &amp; $A81, Table2[AwayTeam], AG$1)+SUMIFS(Table2[NewPointsHome],Table2[GameDate], "&lt;=" &amp; $A81, Table2[HomeTeam], AG$1)</f>
        <v>0</v>
      </c>
    </row>
    <row r="82" spans="1:33" x14ac:dyDescent="0.25">
      <c r="A82" s="3">
        <v>46013</v>
      </c>
      <c r="B82" s="145">
        <f>SUMIFS(Table2[NewPointsAway],Table2[GameDate], "&lt;=" &amp; $A82, Table2[AwayTeam], B$1)+SUMIFS(Table2[NewPointsHome],Table2[GameDate], "&lt;=" &amp; $A82, Table2[HomeTeam], B$1)</f>
        <v>0</v>
      </c>
      <c r="C82" s="145">
        <f>SUMIFS(Table2[NewPointsAway],Table2[GameDate], "&lt;=" &amp; $A82, Table2[AwayTeam], C$1)+SUMIFS(Table2[NewPointsHome],Table2[GameDate], "&lt;=" &amp; $A82, Table2[HomeTeam], C$1)</f>
        <v>2</v>
      </c>
      <c r="D82" s="145">
        <f>SUMIFS(Table2[NewPointsAway],Table2[GameDate], "&lt;=" &amp; $A82, Table2[AwayTeam], D$1)+SUMIFS(Table2[NewPointsHome],Table2[GameDate], "&lt;=" &amp; $A82, Table2[HomeTeam], D$1)</f>
        <v>0</v>
      </c>
      <c r="E82" s="145">
        <f>SUMIFS(Table2[NewPointsAway],Table2[GameDate], "&lt;=" &amp; $A82, Table2[AwayTeam], E$1)+SUMIFS(Table2[NewPointsHome],Table2[GameDate], "&lt;=" &amp; $A82, Table2[HomeTeam], E$1)</f>
        <v>0</v>
      </c>
      <c r="F82" s="145">
        <f>SUMIFS(Table2[NewPointsAway],Table2[GameDate], "&lt;=" &amp; $A82, Table2[AwayTeam], F$1)+SUMIFS(Table2[NewPointsHome],Table2[GameDate], "&lt;=" &amp; $A82, Table2[HomeTeam], F$1)</f>
        <v>0</v>
      </c>
      <c r="G82" s="145">
        <f>SUMIFS(Table2[NewPointsAway],Table2[GameDate], "&lt;=" &amp; $A82, Table2[AwayTeam], G$1)+SUMIFS(Table2[NewPointsHome],Table2[GameDate], "&lt;=" &amp; $A82, Table2[HomeTeam], G$1)</f>
        <v>2</v>
      </c>
      <c r="H82" s="145">
        <f>SUMIFS(Table2[NewPointsAway],Table2[GameDate], "&lt;=" &amp; $A82, Table2[AwayTeam], H$1)+SUMIFS(Table2[NewPointsHome],Table2[GameDate], "&lt;=" &amp; $A82, Table2[HomeTeam], H$1)</f>
        <v>0</v>
      </c>
      <c r="I82" s="145">
        <f>SUMIFS(Table2[NewPointsAway],Table2[GameDate], "&lt;=" &amp; $A82, Table2[AwayTeam], I$1)+SUMIFS(Table2[NewPointsHome],Table2[GameDate], "&lt;=" &amp; $A82, Table2[HomeTeam], I$1)</f>
        <v>2</v>
      </c>
      <c r="J82" s="145">
        <f>SUMIFS(Table2[NewPointsAway],Table2[GameDate], "&lt;=" &amp; $A82, Table2[AwayTeam], J$1)+SUMIFS(Table2[NewPointsHome],Table2[GameDate], "&lt;=" &amp; $A82, Table2[HomeTeam], J$1)</f>
        <v>0</v>
      </c>
      <c r="K82" s="145">
        <f>SUMIFS(Table2[NewPointsAway],Table2[GameDate], "&lt;=" &amp; $A82, Table2[AwayTeam], K$1)+SUMIFS(Table2[NewPointsHome],Table2[GameDate], "&lt;=" &amp; $A82, Table2[HomeTeam], K$1)</f>
        <v>0</v>
      </c>
      <c r="L82" s="145">
        <f>SUMIFS(Table2[NewPointsAway],Table2[GameDate], "&lt;=" &amp; $A82, Table2[AwayTeam], L$1)+SUMIFS(Table2[NewPointsHome],Table2[GameDate], "&lt;=" &amp; $A82, Table2[HomeTeam], L$1)</f>
        <v>1</v>
      </c>
      <c r="M82" s="145">
        <f>SUMIFS(Table2[NewPointsAway],Table2[GameDate], "&lt;=" &amp; $A82, Table2[AwayTeam], M$1)+SUMIFS(Table2[NewPointsHome],Table2[GameDate], "&lt;=" &amp; $A82, Table2[HomeTeam], M$1)</f>
        <v>2</v>
      </c>
      <c r="N82" s="145">
        <f>SUMIFS(Table2[NewPointsAway],Table2[GameDate], "&lt;=" &amp; $A82, Table2[AwayTeam], N$1)+SUMIFS(Table2[NewPointsHome],Table2[GameDate], "&lt;=" &amp; $A82, Table2[HomeTeam], N$1)</f>
        <v>2</v>
      </c>
      <c r="O82" s="145">
        <f>SUMIFS(Table2[NewPointsAway],Table2[GameDate], "&lt;=" &amp; $A82, Table2[AwayTeam], O$1)+SUMIFS(Table2[NewPointsHome],Table2[GameDate], "&lt;=" &amp; $A82, Table2[HomeTeam], O$1)</f>
        <v>0</v>
      </c>
      <c r="P82" s="145">
        <f>SUMIFS(Table2[NewPointsAway],Table2[GameDate], "&lt;=" &amp; $A82, Table2[AwayTeam], P$1)+SUMIFS(Table2[NewPointsHome],Table2[GameDate], "&lt;=" &amp; $A82, Table2[HomeTeam], P$1)</f>
        <v>0</v>
      </c>
      <c r="Q82" s="145">
        <f>SUMIFS(Table2[NewPointsAway],Table2[GameDate], "&lt;=" &amp; $A82, Table2[AwayTeam], Q$1)+SUMIFS(Table2[NewPointsHome],Table2[GameDate], "&lt;=" &amp; $A82, Table2[HomeTeam], Q$1)</f>
        <v>0</v>
      </c>
      <c r="R82" s="145">
        <f>SUMIFS(Table2[NewPointsAway],Table2[GameDate], "&lt;=" &amp; $A82, Table2[AwayTeam], R$1)+SUMIFS(Table2[NewPointsHome],Table2[GameDate], "&lt;=" &amp; $A82, Table2[HomeTeam], R$1)</f>
        <v>0</v>
      </c>
      <c r="S82" s="145">
        <f>SUMIFS(Table2[NewPointsAway],Table2[GameDate], "&lt;=" &amp; $A82, Table2[AwayTeam], S$1)+SUMIFS(Table2[NewPointsHome],Table2[GameDate], "&lt;=" &amp; $A82, Table2[HomeTeam], S$1)</f>
        <v>0</v>
      </c>
      <c r="T82" s="145">
        <f>SUMIFS(Table2[NewPointsAway],Table2[GameDate], "&lt;=" &amp; $A82, Table2[AwayTeam], T$1)+SUMIFS(Table2[NewPointsHome],Table2[GameDate], "&lt;=" &amp; $A82, Table2[HomeTeam], T$1)</f>
        <v>0</v>
      </c>
      <c r="U82" s="145">
        <f>SUMIFS(Table2[NewPointsAway],Table2[GameDate], "&lt;=" &amp; $A82, Table2[AwayTeam], U$1)+SUMIFS(Table2[NewPointsHome],Table2[GameDate], "&lt;=" &amp; $A82, Table2[HomeTeam], U$1)</f>
        <v>0</v>
      </c>
      <c r="V82" s="145">
        <f>SUMIFS(Table2[NewPointsAway],Table2[GameDate], "&lt;=" &amp; $A82, Table2[AwayTeam], V$1)+SUMIFS(Table2[NewPointsHome],Table2[GameDate], "&lt;=" &amp; $A82, Table2[HomeTeam], V$1)</f>
        <v>0</v>
      </c>
      <c r="W82" s="145">
        <f>SUMIFS(Table2[NewPointsAway],Table2[GameDate], "&lt;=" &amp; $A82, Table2[AwayTeam], W$1)+SUMIFS(Table2[NewPointsHome],Table2[GameDate], "&lt;=" &amp; $A82, Table2[HomeTeam], W$1)</f>
        <v>2</v>
      </c>
      <c r="X82" s="145">
        <f>SUMIFS(Table2[NewPointsAway],Table2[GameDate], "&lt;=" &amp; $A82, Table2[AwayTeam], X$1)+SUMIFS(Table2[NewPointsHome],Table2[GameDate], "&lt;=" &amp; $A82, Table2[HomeTeam], X$1)</f>
        <v>0</v>
      </c>
      <c r="Y82" s="145">
        <f>SUMIFS(Table2[NewPointsAway],Table2[GameDate], "&lt;=" &amp; $A82, Table2[AwayTeam], Y$1)+SUMIFS(Table2[NewPointsHome],Table2[GameDate], "&lt;=" &amp; $A82, Table2[HomeTeam], Y$1)</f>
        <v>0</v>
      </c>
      <c r="Z82" s="145">
        <f>SUMIFS(Table2[NewPointsAway],Table2[GameDate], "&lt;=" &amp; $A82, Table2[AwayTeam], Z$1)+SUMIFS(Table2[NewPointsHome],Table2[GameDate], "&lt;=" &amp; $A82, Table2[HomeTeam], Z$1)</f>
        <v>0</v>
      </c>
      <c r="AA82" s="145">
        <f>SUMIFS(Table2[NewPointsAway],Table2[GameDate], "&lt;=" &amp; $A82, Table2[AwayTeam], AA$1)+SUMIFS(Table2[NewPointsHome],Table2[GameDate], "&lt;=" &amp; $A82, Table2[HomeTeam], AA$1)</f>
        <v>0</v>
      </c>
      <c r="AB82" s="145">
        <f>SUMIFS(Table2[NewPointsAway],Table2[GameDate], "&lt;=" &amp; $A82, Table2[AwayTeam], AB$1)+SUMIFS(Table2[NewPointsHome],Table2[GameDate], "&lt;=" &amp; $A82, Table2[HomeTeam], AB$1)</f>
        <v>2</v>
      </c>
      <c r="AC82" s="145">
        <f>SUMIFS(Table2[NewPointsAway],Table2[GameDate], "&lt;=" &amp; $A82, Table2[AwayTeam], AC$1)+SUMIFS(Table2[NewPointsHome],Table2[GameDate], "&lt;=" &amp; $A82, Table2[HomeTeam], AC$1)</f>
        <v>0</v>
      </c>
      <c r="AD82" s="145">
        <f>SUMIFS(Table2[NewPointsAway],Table2[GameDate], "&lt;=" &amp; $A82, Table2[AwayTeam], AD$1)+SUMIFS(Table2[NewPointsHome],Table2[GameDate], "&lt;=" &amp; $A82, Table2[HomeTeam], AD$1)</f>
        <v>0</v>
      </c>
      <c r="AE82" s="145">
        <f>SUMIFS(Table2[NewPointsAway],Table2[GameDate], "&lt;=" &amp; $A82, Table2[AwayTeam], AE$1)+SUMIFS(Table2[NewPointsHome],Table2[GameDate], "&lt;=" &amp; $A82, Table2[HomeTeam], AE$1)</f>
        <v>1</v>
      </c>
      <c r="AF82" s="145">
        <f>SUMIFS(Table2[NewPointsAway],Table2[GameDate], "&lt;=" &amp; $A82, Table2[AwayTeam], AF$1)+SUMIFS(Table2[NewPointsHome],Table2[GameDate], "&lt;=" &amp; $A82, Table2[HomeTeam], AF$1)</f>
        <v>0</v>
      </c>
      <c r="AG82" s="145">
        <f>SUMIFS(Table2[NewPointsAway],Table2[GameDate], "&lt;=" &amp; $A82, Table2[AwayTeam], AG$1)+SUMIFS(Table2[NewPointsHome],Table2[GameDate], "&lt;=" &amp; $A82, Table2[HomeTeam], AG$1)</f>
        <v>0</v>
      </c>
    </row>
    <row r="83" spans="1:33" x14ac:dyDescent="0.25">
      <c r="A83" s="3">
        <v>46014</v>
      </c>
      <c r="B83" s="145">
        <f>SUMIFS(Table2[NewPointsAway],Table2[GameDate], "&lt;=" &amp; $A83, Table2[AwayTeam], B$1)+SUMIFS(Table2[NewPointsHome],Table2[GameDate], "&lt;=" &amp; $A83, Table2[HomeTeam], B$1)</f>
        <v>0</v>
      </c>
      <c r="C83" s="145">
        <f>SUMIFS(Table2[NewPointsAway],Table2[GameDate], "&lt;=" &amp; $A83, Table2[AwayTeam], C$1)+SUMIFS(Table2[NewPointsHome],Table2[GameDate], "&lt;=" &amp; $A83, Table2[HomeTeam], C$1)</f>
        <v>2</v>
      </c>
      <c r="D83" s="145">
        <f>SUMIFS(Table2[NewPointsAway],Table2[GameDate], "&lt;=" &amp; $A83, Table2[AwayTeam], D$1)+SUMIFS(Table2[NewPointsHome],Table2[GameDate], "&lt;=" &amp; $A83, Table2[HomeTeam], D$1)</f>
        <v>0</v>
      </c>
      <c r="E83" s="145">
        <f>SUMIFS(Table2[NewPointsAway],Table2[GameDate], "&lt;=" &amp; $A83, Table2[AwayTeam], E$1)+SUMIFS(Table2[NewPointsHome],Table2[GameDate], "&lt;=" &amp; $A83, Table2[HomeTeam], E$1)</f>
        <v>0</v>
      </c>
      <c r="F83" s="145">
        <f>SUMIFS(Table2[NewPointsAway],Table2[GameDate], "&lt;=" &amp; $A83, Table2[AwayTeam], F$1)+SUMIFS(Table2[NewPointsHome],Table2[GameDate], "&lt;=" &amp; $A83, Table2[HomeTeam], F$1)</f>
        <v>0</v>
      </c>
      <c r="G83" s="145">
        <f>SUMIFS(Table2[NewPointsAway],Table2[GameDate], "&lt;=" &amp; $A83, Table2[AwayTeam], G$1)+SUMIFS(Table2[NewPointsHome],Table2[GameDate], "&lt;=" &amp; $A83, Table2[HomeTeam], G$1)</f>
        <v>2</v>
      </c>
      <c r="H83" s="145">
        <f>SUMIFS(Table2[NewPointsAway],Table2[GameDate], "&lt;=" &amp; $A83, Table2[AwayTeam], H$1)+SUMIFS(Table2[NewPointsHome],Table2[GameDate], "&lt;=" &amp; $A83, Table2[HomeTeam], H$1)</f>
        <v>0</v>
      </c>
      <c r="I83" s="145">
        <f>SUMIFS(Table2[NewPointsAway],Table2[GameDate], "&lt;=" &amp; $A83, Table2[AwayTeam], I$1)+SUMIFS(Table2[NewPointsHome],Table2[GameDate], "&lt;=" &amp; $A83, Table2[HomeTeam], I$1)</f>
        <v>2</v>
      </c>
      <c r="J83" s="145">
        <f>SUMIFS(Table2[NewPointsAway],Table2[GameDate], "&lt;=" &amp; $A83, Table2[AwayTeam], J$1)+SUMIFS(Table2[NewPointsHome],Table2[GameDate], "&lt;=" &amp; $A83, Table2[HomeTeam], J$1)</f>
        <v>0</v>
      </c>
      <c r="K83" s="145">
        <f>SUMIFS(Table2[NewPointsAway],Table2[GameDate], "&lt;=" &amp; $A83, Table2[AwayTeam], K$1)+SUMIFS(Table2[NewPointsHome],Table2[GameDate], "&lt;=" &amp; $A83, Table2[HomeTeam], K$1)</f>
        <v>0</v>
      </c>
      <c r="L83" s="145">
        <f>SUMIFS(Table2[NewPointsAway],Table2[GameDate], "&lt;=" &amp; $A83, Table2[AwayTeam], L$1)+SUMIFS(Table2[NewPointsHome],Table2[GameDate], "&lt;=" &amp; $A83, Table2[HomeTeam], L$1)</f>
        <v>1</v>
      </c>
      <c r="M83" s="145">
        <f>SUMIFS(Table2[NewPointsAway],Table2[GameDate], "&lt;=" &amp; $A83, Table2[AwayTeam], M$1)+SUMIFS(Table2[NewPointsHome],Table2[GameDate], "&lt;=" &amp; $A83, Table2[HomeTeam], M$1)</f>
        <v>2</v>
      </c>
      <c r="N83" s="145">
        <f>SUMIFS(Table2[NewPointsAway],Table2[GameDate], "&lt;=" &amp; $A83, Table2[AwayTeam], N$1)+SUMIFS(Table2[NewPointsHome],Table2[GameDate], "&lt;=" &amp; $A83, Table2[HomeTeam], N$1)</f>
        <v>2</v>
      </c>
      <c r="O83" s="145">
        <f>SUMIFS(Table2[NewPointsAway],Table2[GameDate], "&lt;=" &amp; $A83, Table2[AwayTeam], O$1)+SUMIFS(Table2[NewPointsHome],Table2[GameDate], "&lt;=" &amp; $A83, Table2[HomeTeam], O$1)</f>
        <v>0</v>
      </c>
      <c r="P83" s="145">
        <f>SUMIFS(Table2[NewPointsAway],Table2[GameDate], "&lt;=" &amp; $A83, Table2[AwayTeam], P$1)+SUMIFS(Table2[NewPointsHome],Table2[GameDate], "&lt;=" &amp; $A83, Table2[HomeTeam], P$1)</f>
        <v>0</v>
      </c>
      <c r="Q83" s="145">
        <f>SUMIFS(Table2[NewPointsAway],Table2[GameDate], "&lt;=" &amp; $A83, Table2[AwayTeam], Q$1)+SUMIFS(Table2[NewPointsHome],Table2[GameDate], "&lt;=" &amp; $A83, Table2[HomeTeam], Q$1)</f>
        <v>0</v>
      </c>
      <c r="R83" s="145">
        <f>SUMIFS(Table2[NewPointsAway],Table2[GameDate], "&lt;=" &amp; $A83, Table2[AwayTeam], R$1)+SUMIFS(Table2[NewPointsHome],Table2[GameDate], "&lt;=" &amp; $A83, Table2[HomeTeam], R$1)</f>
        <v>0</v>
      </c>
      <c r="S83" s="145">
        <f>SUMIFS(Table2[NewPointsAway],Table2[GameDate], "&lt;=" &amp; $A83, Table2[AwayTeam], S$1)+SUMIFS(Table2[NewPointsHome],Table2[GameDate], "&lt;=" &amp; $A83, Table2[HomeTeam], S$1)</f>
        <v>0</v>
      </c>
      <c r="T83" s="145">
        <f>SUMIFS(Table2[NewPointsAway],Table2[GameDate], "&lt;=" &amp; $A83, Table2[AwayTeam], T$1)+SUMIFS(Table2[NewPointsHome],Table2[GameDate], "&lt;=" &amp; $A83, Table2[HomeTeam], T$1)</f>
        <v>0</v>
      </c>
      <c r="U83" s="145">
        <f>SUMIFS(Table2[NewPointsAway],Table2[GameDate], "&lt;=" &amp; $A83, Table2[AwayTeam], U$1)+SUMIFS(Table2[NewPointsHome],Table2[GameDate], "&lt;=" &amp; $A83, Table2[HomeTeam], U$1)</f>
        <v>0</v>
      </c>
      <c r="V83" s="145">
        <f>SUMIFS(Table2[NewPointsAway],Table2[GameDate], "&lt;=" &amp; $A83, Table2[AwayTeam], V$1)+SUMIFS(Table2[NewPointsHome],Table2[GameDate], "&lt;=" &amp; $A83, Table2[HomeTeam], V$1)</f>
        <v>0</v>
      </c>
      <c r="W83" s="145">
        <f>SUMIFS(Table2[NewPointsAway],Table2[GameDate], "&lt;=" &amp; $A83, Table2[AwayTeam], W$1)+SUMIFS(Table2[NewPointsHome],Table2[GameDate], "&lt;=" &amp; $A83, Table2[HomeTeam], W$1)</f>
        <v>2</v>
      </c>
      <c r="X83" s="145">
        <f>SUMIFS(Table2[NewPointsAway],Table2[GameDate], "&lt;=" &amp; $A83, Table2[AwayTeam], X$1)+SUMIFS(Table2[NewPointsHome],Table2[GameDate], "&lt;=" &amp; $A83, Table2[HomeTeam], X$1)</f>
        <v>0</v>
      </c>
      <c r="Y83" s="145">
        <f>SUMIFS(Table2[NewPointsAway],Table2[GameDate], "&lt;=" &amp; $A83, Table2[AwayTeam], Y$1)+SUMIFS(Table2[NewPointsHome],Table2[GameDate], "&lt;=" &amp; $A83, Table2[HomeTeam], Y$1)</f>
        <v>0</v>
      </c>
      <c r="Z83" s="145">
        <f>SUMIFS(Table2[NewPointsAway],Table2[GameDate], "&lt;=" &amp; $A83, Table2[AwayTeam], Z$1)+SUMIFS(Table2[NewPointsHome],Table2[GameDate], "&lt;=" &amp; $A83, Table2[HomeTeam], Z$1)</f>
        <v>0</v>
      </c>
      <c r="AA83" s="145">
        <f>SUMIFS(Table2[NewPointsAway],Table2[GameDate], "&lt;=" &amp; $A83, Table2[AwayTeam], AA$1)+SUMIFS(Table2[NewPointsHome],Table2[GameDate], "&lt;=" &amp; $A83, Table2[HomeTeam], AA$1)</f>
        <v>0</v>
      </c>
      <c r="AB83" s="145">
        <f>SUMIFS(Table2[NewPointsAway],Table2[GameDate], "&lt;=" &amp; $A83, Table2[AwayTeam], AB$1)+SUMIFS(Table2[NewPointsHome],Table2[GameDate], "&lt;=" &amp; $A83, Table2[HomeTeam], AB$1)</f>
        <v>2</v>
      </c>
      <c r="AC83" s="145">
        <f>SUMIFS(Table2[NewPointsAway],Table2[GameDate], "&lt;=" &amp; $A83, Table2[AwayTeam], AC$1)+SUMIFS(Table2[NewPointsHome],Table2[GameDate], "&lt;=" &amp; $A83, Table2[HomeTeam], AC$1)</f>
        <v>0</v>
      </c>
      <c r="AD83" s="145">
        <f>SUMIFS(Table2[NewPointsAway],Table2[GameDate], "&lt;=" &amp; $A83, Table2[AwayTeam], AD$1)+SUMIFS(Table2[NewPointsHome],Table2[GameDate], "&lt;=" &amp; $A83, Table2[HomeTeam], AD$1)</f>
        <v>0</v>
      </c>
      <c r="AE83" s="145">
        <f>SUMIFS(Table2[NewPointsAway],Table2[GameDate], "&lt;=" &amp; $A83, Table2[AwayTeam], AE$1)+SUMIFS(Table2[NewPointsHome],Table2[GameDate], "&lt;=" &amp; $A83, Table2[HomeTeam], AE$1)</f>
        <v>1</v>
      </c>
      <c r="AF83" s="145">
        <f>SUMIFS(Table2[NewPointsAway],Table2[GameDate], "&lt;=" &amp; $A83, Table2[AwayTeam], AF$1)+SUMIFS(Table2[NewPointsHome],Table2[GameDate], "&lt;=" &amp; $A83, Table2[HomeTeam], AF$1)</f>
        <v>0</v>
      </c>
      <c r="AG83" s="145">
        <f>SUMIFS(Table2[NewPointsAway],Table2[GameDate], "&lt;=" &amp; $A83, Table2[AwayTeam], AG$1)+SUMIFS(Table2[NewPointsHome],Table2[GameDate], "&lt;=" &amp; $A83, Table2[HomeTeam], AG$1)</f>
        <v>0</v>
      </c>
    </row>
    <row r="84" spans="1:33" x14ac:dyDescent="0.25">
      <c r="A84" s="3">
        <v>46015</v>
      </c>
      <c r="B84" s="145">
        <f>SUMIFS(Table2[NewPointsAway],Table2[GameDate], "&lt;=" &amp; $A84, Table2[AwayTeam], B$1)+SUMIFS(Table2[NewPointsHome],Table2[GameDate], "&lt;=" &amp; $A84, Table2[HomeTeam], B$1)</f>
        <v>0</v>
      </c>
      <c r="C84" s="145">
        <f>SUMIFS(Table2[NewPointsAway],Table2[GameDate], "&lt;=" &amp; $A84, Table2[AwayTeam], C$1)+SUMIFS(Table2[NewPointsHome],Table2[GameDate], "&lt;=" &amp; $A84, Table2[HomeTeam], C$1)</f>
        <v>2</v>
      </c>
      <c r="D84" s="145">
        <f>SUMIFS(Table2[NewPointsAway],Table2[GameDate], "&lt;=" &amp; $A84, Table2[AwayTeam], D$1)+SUMIFS(Table2[NewPointsHome],Table2[GameDate], "&lt;=" &amp; $A84, Table2[HomeTeam], D$1)</f>
        <v>0</v>
      </c>
      <c r="E84" s="145">
        <f>SUMIFS(Table2[NewPointsAway],Table2[GameDate], "&lt;=" &amp; $A84, Table2[AwayTeam], E$1)+SUMIFS(Table2[NewPointsHome],Table2[GameDate], "&lt;=" &amp; $A84, Table2[HomeTeam], E$1)</f>
        <v>0</v>
      </c>
      <c r="F84" s="145">
        <f>SUMIFS(Table2[NewPointsAway],Table2[GameDate], "&lt;=" &amp; $A84, Table2[AwayTeam], F$1)+SUMIFS(Table2[NewPointsHome],Table2[GameDate], "&lt;=" &amp; $A84, Table2[HomeTeam], F$1)</f>
        <v>0</v>
      </c>
      <c r="G84" s="145">
        <f>SUMIFS(Table2[NewPointsAway],Table2[GameDate], "&lt;=" &amp; $A84, Table2[AwayTeam], G$1)+SUMIFS(Table2[NewPointsHome],Table2[GameDate], "&lt;=" &amp; $A84, Table2[HomeTeam], G$1)</f>
        <v>2</v>
      </c>
      <c r="H84" s="145">
        <f>SUMIFS(Table2[NewPointsAway],Table2[GameDate], "&lt;=" &amp; $A84, Table2[AwayTeam], H$1)+SUMIFS(Table2[NewPointsHome],Table2[GameDate], "&lt;=" &amp; $A84, Table2[HomeTeam], H$1)</f>
        <v>0</v>
      </c>
      <c r="I84" s="145">
        <f>SUMIFS(Table2[NewPointsAway],Table2[GameDate], "&lt;=" &amp; $A84, Table2[AwayTeam], I$1)+SUMIFS(Table2[NewPointsHome],Table2[GameDate], "&lt;=" &amp; $A84, Table2[HomeTeam], I$1)</f>
        <v>2</v>
      </c>
      <c r="J84" s="145">
        <f>SUMIFS(Table2[NewPointsAway],Table2[GameDate], "&lt;=" &amp; $A84, Table2[AwayTeam], J$1)+SUMIFS(Table2[NewPointsHome],Table2[GameDate], "&lt;=" &amp; $A84, Table2[HomeTeam], J$1)</f>
        <v>0</v>
      </c>
      <c r="K84" s="145">
        <f>SUMIFS(Table2[NewPointsAway],Table2[GameDate], "&lt;=" &amp; $A84, Table2[AwayTeam], K$1)+SUMIFS(Table2[NewPointsHome],Table2[GameDate], "&lt;=" &amp; $A84, Table2[HomeTeam], K$1)</f>
        <v>0</v>
      </c>
      <c r="L84" s="145">
        <f>SUMIFS(Table2[NewPointsAway],Table2[GameDate], "&lt;=" &amp; $A84, Table2[AwayTeam], L$1)+SUMIFS(Table2[NewPointsHome],Table2[GameDate], "&lt;=" &amp; $A84, Table2[HomeTeam], L$1)</f>
        <v>1</v>
      </c>
      <c r="M84" s="145">
        <f>SUMIFS(Table2[NewPointsAway],Table2[GameDate], "&lt;=" &amp; $A84, Table2[AwayTeam], M$1)+SUMIFS(Table2[NewPointsHome],Table2[GameDate], "&lt;=" &amp; $A84, Table2[HomeTeam], M$1)</f>
        <v>2</v>
      </c>
      <c r="N84" s="145">
        <f>SUMIFS(Table2[NewPointsAway],Table2[GameDate], "&lt;=" &amp; $A84, Table2[AwayTeam], N$1)+SUMIFS(Table2[NewPointsHome],Table2[GameDate], "&lt;=" &amp; $A84, Table2[HomeTeam], N$1)</f>
        <v>2</v>
      </c>
      <c r="O84" s="145">
        <f>SUMIFS(Table2[NewPointsAway],Table2[GameDate], "&lt;=" &amp; $A84, Table2[AwayTeam], O$1)+SUMIFS(Table2[NewPointsHome],Table2[GameDate], "&lt;=" &amp; $A84, Table2[HomeTeam], O$1)</f>
        <v>0</v>
      </c>
      <c r="P84" s="145">
        <f>SUMIFS(Table2[NewPointsAway],Table2[GameDate], "&lt;=" &amp; $A84, Table2[AwayTeam], P$1)+SUMIFS(Table2[NewPointsHome],Table2[GameDate], "&lt;=" &amp; $A84, Table2[HomeTeam], P$1)</f>
        <v>0</v>
      </c>
      <c r="Q84" s="145">
        <f>SUMIFS(Table2[NewPointsAway],Table2[GameDate], "&lt;=" &amp; $A84, Table2[AwayTeam], Q$1)+SUMIFS(Table2[NewPointsHome],Table2[GameDate], "&lt;=" &amp; $A84, Table2[HomeTeam], Q$1)</f>
        <v>0</v>
      </c>
      <c r="R84" s="145">
        <f>SUMIFS(Table2[NewPointsAway],Table2[GameDate], "&lt;=" &amp; $A84, Table2[AwayTeam], R$1)+SUMIFS(Table2[NewPointsHome],Table2[GameDate], "&lt;=" &amp; $A84, Table2[HomeTeam], R$1)</f>
        <v>0</v>
      </c>
      <c r="S84" s="145">
        <f>SUMIFS(Table2[NewPointsAway],Table2[GameDate], "&lt;=" &amp; $A84, Table2[AwayTeam], S$1)+SUMIFS(Table2[NewPointsHome],Table2[GameDate], "&lt;=" &amp; $A84, Table2[HomeTeam], S$1)</f>
        <v>0</v>
      </c>
      <c r="T84" s="145">
        <f>SUMIFS(Table2[NewPointsAway],Table2[GameDate], "&lt;=" &amp; $A84, Table2[AwayTeam], T$1)+SUMIFS(Table2[NewPointsHome],Table2[GameDate], "&lt;=" &amp; $A84, Table2[HomeTeam], T$1)</f>
        <v>0</v>
      </c>
      <c r="U84" s="145">
        <f>SUMIFS(Table2[NewPointsAway],Table2[GameDate], "&lt;=" &amp; $A84, Table2[AwayTeam], U$1)+SUMIFS(Table2[NewPointsHome],Table2[GameDate], "&lt;=" &amp; $A84, Table2[HomeTeam], U$1)</f>
        <v>0</v>
      </c>
      <c r="V84" s="145">
        <f>SUMIFS(Table2[NewPointsAway],Table2[GameDate], "&lt;=" &amp; $A84, Table2[AwayTeam], V$1)+SUMIFS(Table2[NewPointsHome],Table2[GameDate], "&lt;=" &amp; $A84, Table2[HomeTeam], V$1)</f>
        <v>0</v>
      </c>
      <c r="W84" s="145">
        <f>SUMIFS(Table2[NewPointsAway],Table2[GameDate], "&lt;=" &amp; $A84, Table2[AwayTeam], W$1)+SUMIFS(Table2[NewPointsHome],Table2[GameDate], "&lt;=" &amp; $A84, Table2[HomeTeam], W$1)</f>
        <v>2</v>
      </c>
      <c r="X84" s="145">
        <f>SUMIFS(Table2[NewPointsAway],Table2[GameDate], "&lt;=" &amp; $A84, Table2[AwayTeam], X$1)+SUMIFS(Table2[NewPointsHome],Table2[GameDate], "&lt;=" &amp; $A84, Table2[HomeTeam], X$1)</f>
        <v>0</v>
      </c>
      <c r="Y84" s="145">
        <f>SUMIFS(Table2[NewPointsAway],Table2[GameDate], "&lt;=" &amp; $A84, Table2[AwayTeam], Y$1)+SUMIFS(Table2[NewPointsHome],Table2[GameDate], "&lt;=" &amp; $A84, Table2[HomeTeam], Y$1)</f>
        <v>0</v>
      </c>
      <c r="Z84" s="145">
        <f>SUMIFS(Table2[NewPointsAway],Table2[GameDate], "&lt;=" &amp; $A84, Table2[AwayTeam], Z$1)+SUMIFS(Table2[NewPointsHome],Table2[GameDate], "&lt;=" &amp; $A84, Table2[HomeTeam], Z$1)</f>
        <v>0</v>
      </c>
      <c r="AA84" s="145">
        <f>SUMIFS(Table2[NewPointsAway],Table2[GameDate], "&lt;=" &amp; $A84, Table2[AwayTeam], AA$1)+SUMIFS(Table2[NewPointsHome],Table2[GameDate], "&lt;=" &amp; $A84, Table2[HomeTeam], AA$1)</f>
        <v>0</v>
      </c>
      <c r="AB84" s="145">
        <f>SUMIFS(Table2[NewPointsAway],Table2[GameDate], "&lt;=" &amp; $A84, Table2[AwayTeam], AB$1)+SUMIFS(Table2[NewPointsHome],Table2[GameDate], "&lt;=" &amp; $A84, Table2[HomeTeam], AB$1)</f>
        <v>2</v>
      </c>
      <c r="AC84" s="145">
        <f>SUMIFS(Table2[NewPointsAway],Table2[GameDate], "&lt;=" &amp; $A84, Table2[AwayTeam], AC$1)+SUMIFS(Table2[NewPointsHome],Table2[GameDate], "&lt;=" &amp; $A84, Table2[HomeTeam], AC$1)</f>
        <v>0</v>
      </c>
      <c r="AD84" s="145">
        <f>SUMIFS(Table2[NewPointsAway],Table2[GameDate], "&lt;=" &amp; $A84, Table2[AwayTeam], AD$1)+SUMIFS(Table2[NewPointsHome],Table2[GameDate], "&lt;=" &amp; $A84, Table2[HomeTeam], AD$1)</f>
        <v>0</v>
      </c>
      <c r="AE84" s="145">
        <f>SUMIFS(Table2[NewPointsAway],Table2[GameDate], "&lt;=" &amp; $A84, Table2[AwayTeam], AE$1)+SUMIFS(Table2[NewPointsHome],Table2[GameDate], "&lt;=" &amp; $A84, Table2[HomeTeam], AE$1)</f>
        <v>1</v>
      </c>
      <c r="AF84" s="145">
        <f>SUMIFS(Table2[NewPointsAway],Table2[GameDate], "&lt;=" &amp; $A84, Table2[AwayTeam], AF$1)+SUMIFS(Table2[NewPointsHome],Table2[GameDate], "&lt;=" &amp; $A84, Table2[HomeTeam], AF$1)</f>
        <v>0</v>
      </c>
      <c r="AG84" s="145">
        <f>SUMIFS(Table2[NewPointsAway],Table2[GameDate], "&lt;=" &amp; $A84, Table2[AwayTeam], AG$1)+SUMIFS(Table2[NewPointsHome],Table2[GameDate], "&lt;=" &amp; $A84, Table2[HomeTeam], AG$1)</f>
        <v>0</v>
      </c>
    </row>
    <row r="85" spans="1:33" x14ac:dyDescent="0.25">
      <c r="A85" s="3">
        <v>46016</v>
      </c>
      <c r="B85" s="145">
        <f>SUMIFS(Table2[NewPointsAway],Table2[GameDate], "&lt;=" &amp; $A85, Table2[AwayTeam], B$1)+SUMIFS(Table2[NewPointsHome],Table2[GameDate], "&lt;=" &amp; $A85, Table2[HomeTeam], B$1)</f>
        <v>0</v>
      </c>
      <c r="C85" s="145">
        <f>SUMIFS(Table2[NewPointsAway],Table2[GameDate], "&lt;=" &amp; $A85, Table2[AwayTeam], C$1)+SUMIFS(Table2[NewPointsHome],Table2[GameDate], "&lt;=" &amp; $A85, Table2[HomeTeam], C$1)</f>
        <v>2</v>
      </c>
      <c r="D85" s="145">
        <f>SUMIFS(Table2[NewPointsAway],Table2[GameDate], "&lt;=" &amp; $A85, Table2[AwayTeam], D$1)+SUMIFS(Table2[NewPointsHome],Table2[GameDate], "&lt;=" &amp; $A85, Table2[HomeTeam], D$1)</f>
        <v>0</v>
      </c>
      <c r="E85" s="145">
        <f>SUMIFS(Table2[NewPointsAway],Table2[GameDate], "&lt;=" &amp; $A85, Table2[AwayTeam], E$1)+SUMIFS(Table2[NewPointsHome],Table2[GameDate], "&lt;=" &amp; $A85, Table2[HomeTeam], E$1)</f>
        <v>0</v>
      </c>
      <c r="F85" s="145">
        <f>SUMIFS(Table2[NewPointsAway],Table2[GameDate], "&lt;=" &amp; $A85, Table2[AwayTeam], F$1)+SUMIFS(Table2[NewPointsHome],Table2[GameDate], "&lt;=" &amp; $A85, Table2[HomeTeam], F$1)</f>
        <v>0</v>
      </c>
      <c r="G85" s="145">
        <f>SUMIFS(Table2[NewPointsAway],Table2[GameDate], "&lt;=" &amp; $A85, Table2[AwayTeam], G$1)+SUMIFS(Table2[NewPointsHome],Table2[GameDate], "&lt;=" &amp; $A85, Table2[HomeTeam], G$1)</f>
        <v>2</v>
      </c>
      <c r="H85" s="145">
        <f>SUMIFS(Table2[NewPointsAway],Table2[GameDate], "&lt;=" &amp; $A85, Table2[AwayTeam], H$1)+SUMIFS(Table2[NewPointsHome],Table2[GameDate], "&lt;=" &amp; $A85, Table2[HomeTeam], H$1)</f>
        <v>0</v>
      </c>
      <c r="I85" s="145">
        <f>SUMIFS(Table2[NewPointsAway],Table2[GameDate], "&lt;=" &amp; $A85, Table2[AwayTeam], I$1)+SUMIFS(Table2[NewPointsHome],Table2[GameDate], "&lt;=" &amp; $A85, Table2[HomeTeam], I$1)</f>
        <v>2</v>
      </c>
      <c r="J85" s="145">
        <f>SUMIFS(Table2[NewPointsAway],Table2[GameDate], "&lt;=" &amp; $A85, Table2[AwayTeam], J$1)+SUMIFS(Table2[NewPointsHome],Table2[GameDate], "&lt;=" &amp; $A85, Table2[HomeTeam], J$1)</f>
        <v>0</v>
      </c>
      <c r="K85" s="145">
        <f>SUMIFS(Table2[NewPointsAway],Table2[GameDate], "&lt;=" &amp; $A85, Table2[AwayTeam], K$1)+SUMIFS(Table2[NewPointsHome],Table2[GameDate], "&lt;=" &amp; $A85, Table2[HomeTeam], K$1)</f>
        <v>0</v>
      </c>
      <c r="L85" s="145">
        <f>SUMIFS(Table2[NewPointsAway],Table2[GameDate], "&lt;=" &amp; $A85, Table2[AwayTeam], L$1)+SUMIFS(Table2[NewPointsHome],Table2[GameDate], "&lt;=" &amp; $A85, Table2[HomeTeam], L$1)</f>
        <v>1</v>
      </c>
      <c r="M85" s="145">
        <f>SUMIFS(Table2[NewPointsAway],Table2[GameDate], "&lt;=" &amp; $A85, Table2[AwayTeam], M$1)+SUMIFS(Table2[NewPointsHome],Table2[GameDate], "&lt;=" &amp; $A85, Table2[HomeTeam], M$1)</f>
        <v>2</v>
      </c>
      <c r="N85" s="145">
        <f>SUMIFS(Table2[NewPointsAway],Table2[GameDate], "&lt;=" &amp; $A85, Table2[AwayTeam], N$1)+SUMIFS(Table2[NewPointsHome],Table2[GameDate], "&lt;=" &amp; $A85, Table2[HomeTeam], N$1)</f>
        <v>2</v>
      </c>
      <c r="O85" s="145">
        <f>SUMIFS(Table2[NewPointsAway],Table2[GameDate], "&lt;=" &amp; $A85, Table2[AwayTeam], O$1)+SUMIFS(Table2[NewPointsHome],Table2[GameDate], "&lt;=" &amp; $A85, Table2[HomeTeam], O$1)</f>
        <v>0</v>
      </c>
      <c r="P85" s="145">
        <f>SUMIFS(Table2[NewPointsAway],Table2[GameDate], "&lt;=" &amp; $A85, Table2[AwayTeam], P$1)+SUMIFS(Table2[NewPointsHome],Table2[GameDate], "&lt;=" &amp; $A85, Table2[HomeTeam], P$1)</f>
        <v>0</v>
      </c>
      <c r="Q85" s="145">
        <f>SUMIFS(Table2[NewPointsAway],Table2[GameDate], "&lt;=" &amp; $A85, Table2[AwayTeam], Q$1)+SUMIFS(Table2[NewPointsHome],Table2[GameDate], "&lt;=" &amp; $A85, Table2[HomeTeam], Q$1)</f>
        <v>0</v>
      </c>
      <c r="R85" s="145">
        <f>SUMIFS(Table2[NewPointsAway],Table2[GameDate], "&lt;=" &amp; $A85, Table2[AwayTeam], R$1)+SUMIFS(Table2[NewPointsHome],Table2[GameDate], "&lt;=" &amp; $A85, Table2[HomeTeam], R$1)</f>
        <v>0</v>
      </c>
      <c r="S85" s="145">
        <f>SUMIFS(Table2[NewPointsAway],Table2[GameDate], "&lt;=" &amp; $A85, Table2[AwayTeam], S$1)+SUMIFS(Table2[NewPointsHome],Table2[GameDate], "&lt;=" &amp; $A85, Table2[HomeTeam], S$1)</f>
        <v>0</v>
      </c>
      <c r="T85" s="145">
        <f>SUMIFS(Table2[NewPointsAway],Table2[GameDate], "&lt;=" &amp; $A85, Table2[AwayTeam], T$1)+SUMIFS(Table2[NewPointsHome],Table2[GameDate], "&lt;=" &amp; $A85, Table2[HomeTeam], T$1)</f>
        <v>0</v>
      </c>
      <c r="U85" s="145">
        <f>SUMIFS(Table2[NewPointsAway],Table2[GameDate], "&lt;=" &amp; $A85, Table2[AwayTeam], U$1)+SUMIFS(Table2[NewPointsHome],Table2[GameDate], "&lt;=" &amp; $A85, Table2[HomeTeam], U$1)</f>
        <v>0</v>
      </c>
      <c r="V85" s="145">
        <f>SUMIFS(Table2[NewPointsAway],Table2[GameDate], "&lt;=" &amp; $A85, Table2[AwayTeam], V$1)+SUMIFS(Table2[NewPointsHome],Table2[GameDate], "&lt;=" &amp; $A85, Table2[HomeTeam], V$1)</f>
        <v>0</v>
      </c>
      <c r="W85" s="145">
        <f>SUMIFS(Table2[NewPointsAway],Table2[GameDate], "&lt;=" &amp; $A85, Table2[AwayTeam], W$1)+SUMIFS(Table2[NewPointsHome],Table2[GameDate], "&lt;=" &amp; $A85, Table2[HomeTeam], W$1)</f>
        <v>2</v>
      </c>
      <c r="X85" s="145">
        <f>SUMIFS(Table2[NewPointsAway],Table2[GameDate], "&lt;=" &amp; $A85, Table2[AwayTeam], X$1)+SUMIFS(Table2[NewPointsHome],Table2[GameDate], "&lt;=" &amp; $A85, Table2[HomeTeam], X$1)</f>
        <v>0</v>
      </c>
      <c r="Y85" s="145">
        <f>SUMIFS(Table2[NewPointsAway],Table2[GameDate], "&lt;=" &amp; $A85, Table2[AwayTeam], Y$1)+SUMIFS(Table2[NewPointsHome],Table2[GameDate], "&lt;=" &amp; $A85, Table2[HomeTeam], Y$1)</f>
        <v>0</v>
      </c>
      <c r="Z85" s="145">
        <f>SUMIFS(Table2[NewPointsAway],Table2[GameDate], "&lt;=" &amp; $A85, Table2[AwayTeam], Z$1)+SUMIFS(Table2[NewPointsHome],Table2[GameDate], "&lt;=" &amp; $A85, Table2[HomeTeam], Z$1)</f>
        <v>0</v>
      </c>
      <c r="AA85" s="145">
        <f>SUMIFS(Table2[NewPointsAway],Table2[GameDate], "&lt;=" &amp; $A85, Table2[AwayTeam], AA$1)+SUMIFS(Table2[NewPointsHome],Table2[GameDate], "&lt;=" &amp; $A85, Table2[HomeTeam], AA$1)</f>
        <v>0</v>
      </c>
      <c r="AB85" s="145">
        <f>SUMIFS(Table2[NewPointsAway],Table2[GameDate], "&lt;=" &amp; $A85, Table2[AwayTeam], AB$1)+SUMIFS(Table2[NewPointsHome],Table2[GameDate], "&lt;=" &amp; $A85, Table2[HomeTeam], AB$1)</f>
        <v>2</v>
      </c>
      <c r="AC85" s="145">
        <f>SUMIFS(Table2[NewPointsAway],Table2[GameDate], "&lt;=" &amp; $A85, Table2[AwayTeam], AC$1)+SUMIFS(Table2[NewPointsHome],Table2[GameDate], "&lt;=" &amp; $A85, Table2[HomeTeam], AC$1)</f>
        <v>0</v>
      </c>
      <c r="AD85" s="145">
        <f>SUMIFS(Table2[NewPointsAway],Table2[GameDate], "&lt;=" &amp; $A85, Table2[AwayTeam], AD$1)+SUMIFS(Table2[NewPointsHome],Table2[GameDate], "&lt;=" &amp; $A85, Table2[HomeTeam], AD$1)</f>
        <v>0</v>
      </c>
      <c r="AE85" s="145">
        <f>SUMIFS(Table2[NewPointsAway],Table2[GameDate], "&lt;=" &amp; $A85, Table2[AwayTeam], AE$1)+SUMIFS(Table2[NewPointsHome],Table2[GameDate], "&lt;=" &amp; $A85, Table2[HomeTeam], AE$1)</f>
        <v>1</v>
      </c>
      <c r="AF85" s="145">
        <f>SUMIFS(Table2[NewPointsAway],Table2[GameDate], "&lt;=" &amp; $A85, Table2[AwayTeam], AF$1)+SUMIFS(Table2[NewPointsHome],Table2[GameDate], "&lt;=" &amp; $A85, Table2[HomeTeam], AF$1)</f>
        <v>0</v>
      </c>
      <c r="AG85" s="145">
        <f>SUMIFS(Table2[NewPointsAway],Table2[GameDate], "&lt;=" &amp; $A85, Table2[AwayTeam], AG$1)+SUMIFS(Table2[NewPointsHome],Table2[GameDate], "&lt;=" &amp; $A85, Table2[HomeTeam], AG$1)</f>
        <v>0</v>
      </c>
    </row>
    <row r="86" spans="1:33" x14ac:dyDescent="0.25">
      <c r="A86" s="3">
        <v>46017</v>
      </c>
      <c r="B86" s="145">
        <f>SUMIFS(Table2[NewPointsAway],Table2[GameDate], "&lt;=" &amp; $A86, Table2[AwayTeam], B$1)+SUMIFS(Table2[NewPointsHome],Table2[GameDate], "&lt;=" &amp; $A86, Table2[HomeTeam], B$1)</f>
        <v>0</v>
      </c>
      <c r="C86" s="145">
        <f>SUMIFS(Table2[NewPointsAway],Table2[GameDate], "&lt;=" &amp; $A86, Table2[AwayTeam], C$1)+SUMIFS(Table2[NewPointsHome],Table2[GameDate], "&lt;=" &amp; $A86, Table2[HomeTeam], C$1)</f>
        <v>2</v>
      </c>
      <c r="D86" s="145">
        <f>SUMIFS(Table2[NewPointsAway],Table2[GameDate], "&lt;=" &amp; $A86, Table2[AwayTeam], D$1)+SUMIFS(Table2[NewPointsHome],Table2[GameDate], "&lt;=" &amp; $A86, Table2[HomeTeam], D$1)</f>
        <v>0</v>
      </c>
      <c r="E86" s="145">
        <f>SUMIFS(Table2[NewPointsAway],Table2[GameDate], "&lt;=" &amp; $A86, Table2[AwayTeam], E$1)+SUMIFS(Table2[NewPointsHome],Table2[GameDate], "&lt;=" &amp; $A86, Table2[HomeTeam], E$1)</f>
        <v>0</v>
      </c>
      <c r="F86" s="145">
        <f>SUMIFS(Table2[NewPointsAway],Table2[GameDate], "&lt;=" &amp; $A86, Table2[AwayTeam], F$1)+SUMIFS(Table2[NewPointsHome],Table2[GameDate], "&lt;=" &amp; $A86, Table2[HomeTeam], F$1)</f>
        <v>0</v>
      </c>
      <c r="G86" s="145">
        <f>SUMIFS(Table2[NewPointsAway],Table2[GameDate], "&lt;=" &amp; $A86, Table2[AwayTeam], G$1)+SUMIFS(Table2[NewPointsHome],Table2[GameDate], "&lt;=" &amp; $A86, Table2[HomeTeam], G$1)</f>
        <v>2</v>
      </c>
      <c r="H86" s="145">
        <f>SUMIFS(Table2[NewPointsAway],Table2[GameDate], "&lt;=" &amp; $A86, Table2[AwayTeam], H$1)+SUMIFS(Table2[NewPointsHome],Table2[GameDate], "&lt;=" &amp; $A86, Table2[HomeTeam], H$1)</f>
        <v>0</v>
      </c>
      <c r="I86" s="145">
        <f>SUMIFS(Table2[NewPointsAway],Table2[GameDate], "&lt;=" &amp; $A86, Table2[AwayTeam], I$1)+SUMIFS(Table2[NewPointsHome],Table2[GameDate], "&lt;=" &amp; $A86, Table2[HomeTeam], I$1)</f>
        <v>2</v>
      </c>
      <c r="J86" s="145">
        <f>SUMIFS(Table2[NewPointsAway],Table2[GameDate], "&lt;=" &amp; $A86, Table2[AwayTeam], J$1)+SUMIFS(Table2[NewPointsHome],Table2[GameDate], "&lt;=" &amp; $A86, Table2[HomeTeam], J$1)</f>
        <v>0</v>
      </c>
      <c r="K86" s="145">
        <f>SUMIFS(Table2[NewPointsAway],Table2[GameDate], "&lt;=" &amp; $A86, Table2[AwayTeam], K$1)+SUMIFS(Table2[NewPointsHome],Table2[GameDate], "&lt;=" &amp; $A86, Table2[HomeTeam], K$1)</f>
        <v>0</v>
      </c>
      <c r="L86" s="145">
        <f>SUMIFS(Table2[NewPointsAway],Table2[GameDate], "&lt;=" &amp; $A86, Table2[AwayTeam], L$1)+SUMIFS(Table2[NewPointsHome],Table2[GameDate], "&lt;=" &amp; $A86, Table2[HomeTeam], L$1)</f>
        <v>1</v>
      </c>
      <c r="M86" s="145">
        <f>SUMIFS(Table2[NewPointsAway],Table2[GameDate], "&lt;=" &amp; $A86, Table2[AwayTeam], M$1)+SUMIFS(Table2[NewPointsHome],Table2[GameDate], "&lt;=" &amp; $A86, Table2[HomeTeam], M$1)</f>
        <v>2</v>
      </c>
      <c r="N86" s="145">
        <f>SUMIFS(Table2[NewPointsAway],Table2[GameDate], "&lt;=" &amp; $A86, Table2[AwayTeam], N$1)+SUMIFS(Table2[NewPointsHome],Table2[GameDate], "&lt;=" &amp; $A86, Table2[HomeTeam], N$1)</f>
        <v>2</v>
      </c>
      <c r="O86" s="145">
        <f>SUMIFS(Table2[NewPointsAway],Table2[GameDate], "&lt;=" &amp; $A86, Table2[AwayTeam], O$1)+SUMIFS(Table2[NewPointsHome],Table2[GameDate], "&lt;=" &amp; $A86, Table2[HomeTeam], O$1)</f>
        <v>0</v>
      </c>
      <c r="P86" s="145">
        <f>SUMIFS(Table2[NewPointsAway],Table2[GameDate], "&lt;=" &amp; $A86, Table2[AwayTeam], P$1)+SUMIFS(Table2[NewPointsHome],Table2[GameDate], "&lt;=" &amp; $A86, Table2[HomeTeam], P$1)</f>
        <v>0</v>
      </c>
      <c r="Q86" s="145">
        <f>SUMIFS(Table2[NewPointsAway],Table2[GameDate], "&lt;=" &amp; $A86, Table2[AwayTeam], Q$1)+SUMIFS(Table2[NewPointsHome],Table2[GameDate], "&lt;=" &amp; $A86, Table2[HomeTeam], Q$1)</f>
        <v>0</v>
      </c>
      <c r="R86" s="145">
        <f>SUMIFS(Table2[NewPointsAway],Table2[GameDate], "&lt;=" &amp; $A86, Table2[AwayTeam], R$1)+SUMIFS(Table2[NewPointsHome],Table2[GameDate], "&lt;=" &amp; $A86, Table2[HomeTeam], R$1)</f>
        <v>0</v>
      </c>
      <c r="S86" s="145">
        <f>SUMIFS(Table2[NewPointsAway],Table2[GameDate], "&lt;=" &amp; $A86, Table2[AwayTeam], S$1)+SUMIFS(Table2[NewPointsHome],Table2[GameDate], "&lt;=" &amp; $A86, Table2[HomeTeam], S$1)</f>
        <v>0</v>
      </c>
      <c r="T86" s="145">
        <f>SUMIFS(Table2[NewPointsAway],Table2[GameDate], "&lt;=" &amp; $A86, Table2[AwayTeam], T$1)+SUMIFS(Table2[NewPointsHome],Table2[GameDate], "&lt;=" &amp; $A86, Table2[HomeTeam], T$1)</f>
        <v>0</v>
      </c>
      <c r="U86" s="145">
        <f>SUMIFS(Table2[NewPointsAway],Table2[GameDate], "&lt;=" &amp; $A86, Table2[AwayTeam], U$1)+SUMIFS(Table2[NewPointsHome],Table2[GameDate], "&lt;=" &amp; $A86, Table2[HomeTeam], U$1)</f>
        <v>0</v>
      </c>
      <c r="V86" s="145">
        <f>SUMIFS(Table2[NewPointsAway],Table2[GameDate], "&lt;=" &amp; $A86, Table2[AwayTeam], V$1)+SUMIFS(Table2[NewPointsHome],Table2[GameDate], "&lt;=" &amp; $A86, Table2[HomeTeam], V$1)</f>
        <v>0</v>
      </c>
      <c r="W86" s="145">
        <f>SUMIFS(Table2[NewPointsAway],Table2[GameDate], "&lt;=" &amp; $A86, Table2[AwayTeam], W$1)+SUMIFS(Table2[NewPointsHome],Table2[GameDate], "&lt;=" &amp; $A86, Table2[HomeTeam], W$1)</f>
        <v>2</v>
      </c>
      <c r="X86" s="145">
        <f>SUMIFS(Table2[NewPointsAway],Table2[GameDate], "&lt;=" &amp; $A86, Table2[AwayTeam], X$1)+SUMIFS(Table2[NewPointsHome],Table2[GameDate], "&lt;=" &amp; $A86, Table2[HomeTeam], X$1)</f>
        <v>0</v>
      </c>
      <c r="Y86" s="145">
        <f>SUMIFS(Table2[NewPointsAway],Table2[GameDate], "&lt;=" &amp; $A86, Table2[AwayTeam], Y$1)+SUMIFS(Table2[NewPointsHome],Table2[GameDate], "&lt;=" &amp; $A86, Table2[HomeTeam], Y$1)</f>
        <v>0</v>
      </c>
      <c r="Z86" s="145">
        <f>SUMIFS(Table2[NewPointsAway],Table2[GameDate], "&lt;=" &amp; $A86, Table2[AwayTeam], Z$1)+SUMIFS(Table2[NewPointsHome],Table2[GameDate], "&lt;=" &amp; $A86, Table2[HomeTeam], Z$1)</f>
        <v>0</v>
      </c>
      <c r="AA86" s="145">
        <f>SUMIFS(Table2[NewPointsAway],Table2[GameDate], "&lt;=" &amp; $A86, Table2[AwayTeam], AA$1)+SUMIFS(Table2[NewPointsHome],Table2[GameDate], "&lt;=" &amp; $A86, Table2[HomeTeam], AA$1)</f>
        <v>0</v>
      </c>
      <c r="AB86" s="145">
        <f>SUMIFS(Table2[NewPointsAway],Table2[GameDate], "&lt;=" &amp; $A86, Table2[AwayTeam], AB$1)+SUMIFS(Table2[NewPointsHome],Table2[GameDate], "&lt;=" &amp; $A86, Table2[HomeTeam], AB$1)</f>
        <v>2</v>
      </c>
      <c r="AC86" s="145">
        <f>SUMIFS(Table2[NewPointsAway],Table2[GameDate], "&lt;=" &amp; $A86, Table2[AwayTeam], AC$1)+SUMIFS(Table2[NewPointsHome],Table2[GameDate], "&lt;=" &amp; $A86, Table2[HomeTeam], AC$1)</f>
        <v>0</v>
      </c>
      <c r="AD86" s="145">
        <f>SUMIFS(Table2[NewPointsAway],Table2[GameDate], "&lt;=" &amp; $A86, Table2[AwayTeam], AD$1)+SUMIFS(Table2[NewPointsHome],Table2[GameDate], "&lt;=" &amp; $A86, Table2[HomeTeam], AD$1)</f>
        <v>0</v>
      </c>
      <c r="AE86" s="145">
        <f>SUMIFS(Table2[NewPointsAway],Table2[GameDate], "&lt;=" &amp; $A86, Table2[AwayTeam], AE$1)+SUMIFS(Table2[NewPointsHome],Table2[GameDate], "&lt;=" &amp; $A86, Table2[HomeTeam], AE$1)</f>
        <v>1</v>
      </c>
      <c r="AF86" s="145">
        <f>SUMIFS(Table2[NewPointsAway],Table2[GameDate], "&lt;=" &amp; $A86, Table2[AwayTeam], AF$1)+SUMIFS(Table2[NewPointsHome],Table2[GameDate], "&lt;=" &amp; $A86, Table2[HomeTeam], AF$1)</f>
        <v>0</v>
      </c>
      <c r="AG86" s="145">
        <f>SUMIFS(Table2[NewPointsAway],Table2[GameDate], "&lt;=" &amp; $A86, Table2[AwayTeam], AG$1)+SUMIFS(Table2[NewPointsHome],Table2[GameDate], "&lt;=" &amp; $A86, Table2[HomeTeam], AG$1)</f>
        <v>0</v>
      </c>
    </row>
    <row r="87" spans="1:33" x14ac:dyDescent="0.25">
      <c r="A87" s="3">
        <v>46018</v>
      </c>
      <c r="B87" s="145">
        <f>SUMIFS(Table2[NewPointsAway],Table2[GameDate], "&lt;=" &amp; $A87, Table2[AwayTeam], B$1)+SUMIFS(Table2[NewPointsHome],Table2[GameDate], "&lt;=" &amp; $A87, Table2[HomeTeam], B$1)</f>
        <v>0</v>
      </c>
      <c r="C87" s="145">
        <f>SUMIFS(Table2[NewPointsAway],Table2[GameDate], "&lt;=" &amp; $A87, Table2[AwayTeam], C$1)+SUMIFS(Table2[NewPointsHome],Table2[GameDate], "&lt;=" &amp; $A87, Table2[HomeTeam], C$1)</f>
        <v>2</v>
      </c>
      <c r="D87" s="145">
        <f>SUMIFS(Table2[NewPointsAway],Table2[GameDate], "&lt;=" &amp; $A87, Table2[AwayTeam], D$1)+SUMIFS(Table2[NewPointsHome],Table2[GameDate], "&lt;=" &amp; $A87, Table2[HomeTeam], D$1)</f>
        <v>0</v>
      </c>
      <c r="E87" s="145">
        <f>SUMIFS(Table2[NewPointsAway],Table2[GameDate], "&lt;=" &amp; $A87, Table2[AwayTeam], E$1)+SUMIFS(Table2[NewPointsHome],Table2[GameDate], "&lt;=" &amp; $A87, Table2[HomeTeam], E$1)</f>
        <v>0</v>
      </c>
      <c r="F87" s="145">
        <f>SUMIFS(Table2[NewPointsAway],Table2[GameDate], "&lt;=" &amp; $A87, Table2[AwayTeam], F$1)+SUMIFS(Table2[NewPointsHome],Table2[GameDate], "&lt;=" &amp; $A87, Table2[HomeTeam], F$1)</f>
        <v>0</v>
      </c>
      <c r="G87" s="145">
        <f>SUMIFS(Table2[NewPointsAway],Table2[GameDate], "&lt;=" &amp; $A87, Table2[AwayTeam], G$1)+SUMIFS(Table2[NewPointsHome],Table2[GameDate], "&lt;=" &amp; $A87, Table2[HomeTeam], G$1)</f>
        <v>2</v>
      </c>
      <c r="H87" s="145">
        <f>SUMIFS(Table2[NewPointsAway],Table2[GameDate], "&lt;=" &amp; $A87, Table2[AwayTeam], H$1)+SUMIFS(Table2[NewPointsHome],Table2[GameDate], "&lt;=" &amp; $A87, Table2[HomeTeam], H$1)</f>
        <v>0</v>
      </c>
      <c r="I87" s="145">
        <f>SUMIFS(Table2[NewPointsAway],Table2[GameDate], "&lt;=" &amp; $A87, Table2[AwayTeam], I$1)+SUMIFS(Table2[NewPointsHome],Table2[GameDate], "&lt;=" &amp; $A87, Table2[HomeTeam], I$1)</f>
        <v>2</v>
      </c>
      <c r="J87" s="145">
        <f>SUMIFS(Table2[NewPointsAway],Table2[GameDate], "&lt;=" &amp; $A87, Table2[AwayTeam], J$1)+SUMIFS(Table2[NewPointsHome],Table2[GameDate], "&lt;=" &amp; $A87, Table2[HomeTeam], J$1)</f>
        <v>0</v>
      </c>
      <c r="K87" s="145">
        <f>SUMIFS(Table2[NewPointsAway],Table2[GameDate], "&lt;=" &amp; $A87, Table2[AwayTeam], K$1)+SUMIFS(Table2[NewPointsHome],Table2[GameDate], "&lt;=" &amp; $A87, Table2[HomeTeam], K$1)</f>
        <v>0</v>
      </c>
      <c r="L87" s="145">
        <f>SUMIFS(Table2[NewPointsAway],Table2[GameDate], "&lt;=" &amp; $A87, Table2[AwayTeam], L$1)+SUMIFS(Table2[NewPointsHome],Table2[GameDate], "&lt;=" &amp; $A87, Table2[HomeTeam], L$1)</f>
        <v>1</v>
      </c>
      <c r="M87" s="145">
        <f>SUMIFS(Table2[NewPointsAway],Table2[GameDate], "&lt;=" &amp; $A87, Table2[AwayTeam], M$1)+SUMIFS(Table2[NewPointsHome],Table2[GameDate], "&lt;=" &amp; $A87, Table2[HomeTeam], M$1)</f>
        <v>2</v>
      </c>
      <c r="N87" s="145">
        <f>SUMIFS(Table2[NewPointsAway],Table2[GameDate], "&lt;=" &amp; $A87, Table2[AwayTeam], N$1)+SUMIFS(Table2[NewPointsHome],Table2[GameDate], "&lt;=" &amp; $A87, Table2[HomeTeam], N$1)</f>
        <v>2</v>
      </c>
      <c r="O87" s="145">
        <f>SUMIFS(Table2[NewPointsAway],Table2[GameDate], "&lt;=" &amp; $A87, Table2[AwayTeam], O$1)+SUMIFS(Table2[NewPointsHome],Table2[GameDate], "&lt;=" &amp; $A87, Table2[HomeTeam], O$1)</f>
        <v>0</v>
      </c>
      <c r="P87" s="145">
        <f>SUMIFS(Table2[NewPointsAway],Table2[GameDate], "&lt;=" &amp; $A87, Table2[AwayTeam], P$1)+SUMIFS(Table2[NewPointsHome],Table2[GameDate], "&lt;=" &amp; $A87, Table2[HomeTeam], P$1)</f>
        <v>0</v>
      </c>
      <c r="Q87" s="145">
        <f>SUMIFS(Table2[NewPointsAway],Table2[GameDate], "&lt;=" &amp; $A87, Table2[AwayTeam], Q$1)+SUMIFS(Table2[NewPointsHome],Table2[GameDate], "&lt;=" &amp; $A87, Table2[HomeTeam], Q$1)</f>
        <v>0</v>
      </c>
      <c r="R87" s="145">
        <f>SUMIFS(Table2[NewPointsAway],Table2[GameDate], "&lt;=" &amp; $A87, Table2[AwayTeam], R$1)+SUMIFS(Table2[NewPointsHome],Table2[GameDate], "&lt;=" &amp; $A87, Table2[HomeTeam], R$1)</f>
        <v>0</v>
      </c>
      <c r="S87" s="145">
        <f>SUMIFS(Table2[NewPointsAway],Table2[GameDate], "&lt;=" &amp; $A87, Table2[AwayTeam], S$1)+SUMIFS(Table2[NewPointsHome],Table2[GameDate], "&lt;=" &amp; $A87, Table2[HomeTeam], S$1)</f>
        <v>0</v>
      </c>
      <c r="T87" s="145">
        <f>SUMIFS(Table2[NewPointsAway],Table2[GameDate], "&lt;=" &amp; $A87, Table2[AwayTeam], T$1)+SUMIFS(Table2[NewPointsHome],Table2[GameDate], "&lt;=" &amp; $A87, Table2[HomeTeam], T$1)</f>
        <v>0</v>
      </c>
      <c r="U87" s="145">
        <f>SUMIFS(Table2[NewPointsAway],Table2[GameDate], "&lt;=" &amp; $A87, Table2[AwayTeam], U$1)+SUMIFS(Table2[NewPointsHome],Table2[GameDate], "&lt;=" &amp; $A87, Table2[HomeTeam], U$1)</f>
        <v>0</v>
      </c>
      <c r="V87" s="145">
        <f>SUMIFS(Table2[NewPointsAway],Table2[GameDate], "&lt;=" &amp; $A87, Table2[AwayTeam], V$1)+SUMIFS(Table2[NewPointsHome],Table2[GameDate], "&lt;=" &amp; $A87, Table2[HomeTeam], V$1)</f>
        <v>0</v>
      </c>
      <c r="W87" s="145">
        <f>SUMIFS(Table2[NewPointsAway],Table2[GameDate], "&lt;=" &amp; $A87, Table2[AwayTeam], W$1)+SUMIFS(Table2[NewPointsHome],Table2[GameDate], "&lt;=" &amp; $A87, Table2[HomeTeam], W$1)</f>
        <v>2</v>
      </c>
      <c r="X87" s="145">
        <f>SUMIFS(Table2[NewPointsAway],Table2[GameDate], "&lt;=" &amp; $A87, Table2[AwayTeam], X$1)+SUMIFS(Table2[NewPointsHome],Table2[GameDate], "&lt;=" &amp; $A87, Table2[HomeTeam], X$1)</f>
        <v>0</v>
      </c>
      <c r="Y87" s="145">
        <f>SUMIFS(Table2[NewPointsAway],Table2[GameDate], "&lt;=" &amp; $A87, Table2[AwayTeam], Y$1)+SUMIFS(Table2[NewPointsHome],Table2[GameDate], "&lt;=" &amp; $A87, Table2[HomeTeam], Y$1)</f>
        <v>0</v>
      </c>
      <c r="Z87" s="145">
        <f>SUMIFS(Table2[NewPointsAway],Table2[GameDate], "&lt;=" &amp; $A87, Table2[AwayTeam], Z$1)+SUMIFS(Table2[NewPointsHome],Table2[GameDate], "&lt;=" &amp; $A87, Table2[HomeTeam], Z$1)</f>
        <v>0</v>
      </c>
      <c r="AA87" s="145">
        <f>SUMIFS(Table2[NewPointsAway],Table2[GameDate], "&lt;=" &amp; $A87, Table2[AwayTeam], AA$1)+SUMIFS(Table2[NewPointsHome],Table2[GameDate], "&lt;=" &amp; $A87, Table2[HomeTeam], AA$1)</f>
        <v>0</v>
      </c>
      <c r="AB87" s="145">
        <f>SUMIFS(Table2[NewPointsAway],Table2[GameDate], "&lt;=" &amp; $A87, Table2[AwayTeam], AB$1)+SUMIFS(Table2[NewPointsHome],Table2[GameDate], "&lt;=" &amp; $A87, Table2[HomeTeam], AB$1)</f>
        <v>2</v>
      </c>
      <c r="AC87" s="145">
        <f>SUMIFS(Table2[NewPointsAway],Table2[GameDate], "&lt;=" &amp; $A87, Table2[AwayTeam], AC$1)+SUMIFS(Table2[NewPointsHome],Table2[GameDate], "&lt;=" &amp; $A87, Table2[HomeTeam], AC$1)</f>
        <v>0</v>
      </c>
      <c r="AD87" s="145">
        <f>SUMIFS(Table2[NewPointsAway],Table2[GameDate], "&lt;=" &amp; $A87, Table2[AwayTeam], AD$1)+SUMIFS(Table2[NewPointsHome],Table2[GameDate], "&lt;=" &amp; $A87, Table2[HomeTeam], AD$1)</f>
        <v>0</v>
      </c>
      <c r="AE87" s="145">
        <f>SUMIFS(Table2[NewPointsAway],Table2[GameDate], "&lt;=" &amp; $A87, Table2[AwayTeam], AE$1)+SUMIFS(Table2[NewPointsHome],Table2[GameDate], "&lt;=" &amp; $A87, Table2[HomeTeam], AE$1)</f>
        <v>1</v>
      </c>
      <c r="AF87" s="145">
        <f>SUMIFS(Table2[NewPointsAway],Table2[GameDate], "&lt;=" &amp; $A87, Table2[AwayTeam], AF$1)+SUMIFS(Table2[NewPointsHome],Table2[GameDate], "&lt;=" &amp; $A87, Table2[HomeTeam], AF$1)</f>
        <v>0</v>
      </c>
      <c r="AG87" s="145">
        <f>SUMIFS(Table2[NewPointsAway],Table2[GameDate], "&lt;=" &amp; $A87, Table2[AwayTeam], AG$1)+SUMIFS(Table2[NewPointsHome],Table2[GameDate], "&lt;=" &amp; $A87, Table2[HomeTeam], AG$1)</f>
        <v>0</v>
      </c>
    </row>
    <row r="88" spans="1:33" x14ac:dyDescent="0.25">
      <c r="A88" s="3">
        <v>46019</v>
      </c>
      <c r="B88" s="145">
        <f>SUMIFS(Table2[NewPointsAway],Table2[GameDate], "&lt;=" &amp; $A88, Table2[AwayTeam], B$1)+SUMIFS(Table2[NewPointsHome],Table2[GameDate], "&lt;=" &amp; $A88, Table2[HomeTeam], B$1)</f>
        <v>0</v>
      </c>
      <c r="C88" s="145">
        <f>SUMIFS(Table2[NewPointsAway],Table2[GameDate], "&lt;=" &amp; $A88, Table2[AwayTeam], C$1)+SUMIFS(Table2[NewPointsHome],Table2[GameDate], "&lt;=" &amp; $A88, Table2[HomeTeam], C$1)</f>
        <v>2</v>
      </c>
      <c r="D88" s="145">
        <f>SUMIFS(Table2[NewPointsAway],Table2[GameDate], "&lt;=" &amp; $A88, Table2[AwayTeam], D$1)+SUMIFS(Table2[NewPointsHome],Table2[GameDate], "&lt;=" &amp; $A88, Table2[HomeTeam], D$1)</f>
        <v>0</v>
      </c>
      <c r="E88" s="145">
        <f>SUMIFS(Table2[NewPointsAway],Table2[GameDate], "&lt;=" &amp; $A88, Table2[AwayTeam], E$1)+SUMIFS(Table2[NewPointsHome],Table2[GameDate], "&lt;=" &amp; $A88, Table2[HomeTeam], E$1)</f>
        <v>0</v>
      </c>
      <c r="F88" s="145">
        <f>SUMIFS(Table2[NewPointsAway],Table2[GameDate], "&lt;=" &amp; $A88, Table2[AwayTeam], F$1)+SUMIFS(Table2[NewPointsHome],Table2[GameDate], "&lt;=" &amp; $A88, Table2[HomeTeam], F$1)</f>
        <v>0</v>
      </c>
      <c r="G88" s="145">
        <f>SUMIFS(Table2[NewPointsAway],Table2[GameDate], "&lt;=" &amp; $A88, Table2[AwayTeam], G$1)+SUMIFS(Table2[NewPointsHome],Table2[GameDate], "&lt;=" &amp; $A88, Table2[HomeTeam], G$1)</f>
        <v>2</v>
      </c>
      <c r="H88" s="145">
        <f>SUMIFS(Table2[NewPointsAway],Table2[GameDate], "&lt;=" &amp; $A88, Table2[AwayTeam], H$1)+SUMIFS(Table2[NewPointsHome],Table2[GameDate], "&lt;=" &amp; $A88, Table2[HomeTeam], H$1)</f>
        <v>0</v>
      </c>
      <c r="I88" s="145">
        <f>SUMIFS(Table2[NewPointsAway],Table2[GameDate], "&lt;=" &amp; $A88, Table2[AwayTeam], I$1)+SUMIFS(Table2[NewPointsHome],Table2[GameDate], "&lt;=" &amp; $A88, Table2[HomeTeam], I$1)</f>
        <v>2</v>
      </c>
      <c r="J88" s="145">
        <f>SUMIFS(Table2[NewPointsAway],Table2[GameDate], "&lt;=" &amp; $A88, Table2[AwayTeam], J$1)+SUMIFS(Table2[NewPointsHome],Table2[GameDate], "&lt;=" &amp; $A88, Table2[HomeTeam], J$1)</f>
        <v>0</v>
      </c>
      <c r="K88" s="145">
        <f>SUMIFS(Table2[NewPointsAway],Table2[GameDate], "&lt;=" &amp; $A88, Table2[AwayTeam], K$1)+SUMIFS(Table2[NewPointsHome],Table2[GameDate], "&lt;=" &amp; $A88, Table2[HomeTeam], K$1)</f>
        <v>0</v>
      </c>
      <c r="L88" s="145">
        <f>SUMIFS(Table2[NewPointsAway],Table2[GameDate], "&lt;=" &amp; $A88, Table2[AwayTeam], L$1)+SUMIFS(Table2[NewPointsHome],Table2[GameDate], "&lt;=" &amp; $A88, Table2[HomeTeam], L$1)</f>
        <v>1</v>
      </c>
      <c r="M88" s="145">
        <f>SUMIFS(Table2[NewPointsAway],Table2[GameDate], "&lt;=" &amp; $A88, Table2[AwayTeam], M$1)+SUMIFS(Table2[NewPointsHome],Table2[GameDate], "&lt;=" &amp; $A88, Table2[HomeTeam], M$1)</f>
        <v>2</v>
      </c>
      <c r="N88" s="145">
        <f>SUMIFS(Table2[NewPointsAway],Table2[GameDate], "&lt;=" &amp; $A88, Table2[AwayTeam], N$1)+SUMIFS(Table2[NewPointsHome],Table2[GameDate], "&lt;=" &amp; $A88, Table2[HomeTeam], N$1)</f>
        <v>2</v>
      </c>
      <c r="O88" s="145">
        <f>SUMIFS(Table2[NewPointsAway],Table2[GameDate], "&lt;=" &amp; $A88, Table2[AwayTeam], O$1)+SUMIFS(Table2[NewPointsHome],Table2[GameDate], "&lt;=" &amp; $A88, Table2[HomeTeam], O$1)</f>
        <v>0</v>
      </c>
      <c r="P88" s="145">
        <f>SUMIFS(Table2[NewPointsAway],Table2[GameDate], "&lt;=" &amp; $A88, Table2[AwayTeam], P$1)+SUMIFS(Table2[NewPointsHome],Table2[GameDate], "&lt;=" &amp; $A88, Table2[HomeTeam], P$1)</f>
        <v>0</v>
      </c>
      <c r="Q88" s="145">
        <f>SUMIFS(Table2[NewPointsAway],Table2[GameDate], "&lt;=" &amp; $A88, Table2[AwayTeam], Q$1)+SUMIFS(Table2[NewPointsHome],Table2[GameDate], "&lt;=" &amp; $A88, Table2[HomeTeam], Q$1)</f>
        <v>0</v>
      </c>
      <c r="R88" s="145">
        <f>SUMIFS(Table2[NewPointsAway],Table2[GameDate], "&lt;=" &amp; $A88, Table2[AwayTeam], R$1)+SUMIFS(Table2[NewPointsHome],Table2[GameDate], "&lt;=" &amp; $A88, Table2[HomeTeam], R$1)</f>
        <v>0</v>
      </c>
      <c r="S88" s="145">
        <f>SUMIFS(Table2[NewPointsAway],Table2[GameDate], "&lt;=" &amp; $A88, Table2[AwayTeam], S$1)+SUMIFS(Table2[NewPointsHome],Table2[GameDate], "&lt;=" &amp; $A88, Table2[HomeTeam], S$1)</f>
        <v>0</v>
      </c>
      <c r="T88" s="145">
        <f>SUMIFS(Table2[NewPointsAway],Table2[GameDate], "&lt;=" &amp; $A88, Table2[AwayTeam], T$1)+SUMIFS(Table2[NewPointsHome],Table2[GameDate], "&lt;=" &amp; $A88, Table2[HomeTeam], T$1)</f>
        <v>0</v>
      </c>
      <c r="U88" s="145">
        <f>SUMIFS(Table2[NewPointsAway],Table2[GameDate], "&lt;=" &amp; $A88, Table2[AwayTeam], U$1)+SUMIFS(Table2[NewPointsHome],Table2[GameDate], "&lt;=" &amp; $A88, Table2[HomeTeam], U$1)</f>
        <v>0</v>
      </c>
      <c r="V88" s="145">
        <f>SUMIFS(Table2[NewPointsAway],Table2[GameDate], "&lt;=" &amp; $A88, Table2[AwayTeam], V$1)+SUMIFS(Table2[NewPointsHome],Table2[GameDate], "&lt;=" &amp; $A88, Table2[HomeTeam], V$1)</f>
        <v>0</v>
      </c>
      <c r="W88" s="145">
        <f>SUMIFS(Table2[NewPointsAway],Table2[GameDate], "&lt;=" &amp; $A88, Table2[AwayTeam], W$1)+SUMIFS(Table2[NewPointsHome],Table2[GameDate], "&lt;=" &amp; $A88, Table2[HomeTeam], W$1)</f>
        <v>2</v>
      </c>
      <c r="X88" s="145">
        <f>SUMIFS(Table2[NewPointsAway],Table2[GameDate], "&lt;=" &amp; $A88, Table2[AwayTeam], X$1)+SUMIFS(Table2[NewPointsHome],Table2[GameDate], "&lt;=" &amp; $A88, Table2[HomeTeam], X$1)</f>
        <v>0</v>
      </c>
      <c r="Y88" s="145">
        <f>SUMIFS(Table2[NewPointsAway],Table2[GameDate], "&lt;=" &amp; $A88, Table2[AwayTeam], Y$1)+SUMIFS(Table2[NewPointsHome],Table2[GameDate], "&lt;=" &amp; $A88, Table2[HomeTeam], Y$1)</f>
        <v>0</v>
      </c>
      <c r="Z88" s="145">
        <f>SUMIFS(Table2[NewPointsAway],Table2[GameDate], "&lt;=" &amp; $A88, Table2[AwayTeam], Z$1)+SUMIFS(Table2[NewPointsHome],Table2[GameDate], "&lt;=" &amp; $A88, Table2[HomeTeam], Z$1)</f>
        <v>0</v>
      </c>
      <c r="AA88" s="145">
        <f>SUMIFS(Table2[NewPointsAway],Table2[GameDate], "&lt;=" &amp; $A88, Table2[AwayTeam], AA$1)+SUMIFS(Table2[NewPointsHome],Table2[GameDate], "&lt;=" &amp; $A88, Table2[HomeTeam], AA$1)</f>
        <v>0</v>
      </c>
      <c r="AB88" s="145">
        <f>SUMIFS(Table2[NewPointsAway],Table2[GameDate], "&lt;=" &amp; $A88, Table2[AwayTeam], AB$1)+SUMIFS(Table2[NewPointsHome],Table2[GameDate], "&lt;=" &amp; $A88, Table2[HomeTeam], AB$1)</f>
        <v>2</v>
      </c>
      <c r="AC88" s="145">
        <f>SUMIFS(Table2[NewPointsAway],Table2[GameDate], "&lt;=" &amp; $A88, Table2[AwayTeam], AC$1)+SUMIFS(Table2[NewPointsHome],Table2[GameDate], "&lt;=" &amp; $A88, Table2[HomeTeam], AC$1)</f>
        <v>0</v>
      </c>
      <c r="AD88" s="145">
        <f>SUMIFS(Table2[NewPointsAway],Table2[GameDate], "&lt;=" &amp; $A88, Table2[AwayTeam], AD$1)+SUMIFS(Table2[NewPointsHome],Table2[GameDate], "&lt;=" &amp; $A88, Table2[HomeTeam], AD$1)</f>
        <v>0</v>
      </c>
      <c r="AE88" s="145">
        <f>SUMIFS(Table2[NewPointsAway],Table2[GameDate], "&lt;=" &amp; $A88, Table2[AwayTeam], AE$1)+SUMIFS(Table2[NewPointsHome],Table2[GameDate], "&lt;=" &amp; $A88, Table2[HomeTeam], AE$1)</f>
        <v>1</v>
      </c>
      <c r="AF88" s="145">
        <f>SUMIFS(Table2[NewPointsAway],Table2[GameDate], "&lt;=" &amp; $A88, Table2[AwayTeam], AF$1)+SUMIFS(Table2[NewPointsHome],Table2[GameDate], "&lt;=" &amp; $A88, Table2[HomeTeam], AF$1)</f>
        <v>0</v>
      </c>
      <c r="AG88" s="145">
        <f>SUMIFS(Table2[NewPointsAway],Table2[GameDate], "&lt;=" &amp; $A88, Table2[AwayTeam], AG$1)+SUMIFS(Table2[NewPointsHome],Table2[GameDate], "&lt;=" &amp; $A88, Table2[HomeTeam], AG$1)</f>
        <v>0</v>
      </c>
    </row>
    <row r="89" spans="1:33" x14ac:dyDescent="0.25">
      <c r="A89" s="3">
        <v>46020</v>
      </c>
      <c r="B89" s="145">
        <f>SUMIFS(Table2[NewPointsAway],Table2[GameDate], "&lt;=" &amp; $A89, Table2[AwayTeam], B$1)+SUMIFS(Table2[NewPointsHome],Table2[GameDate], "&lt;=" &amp; $A89, Table2[HomeTeam], B$1)</f>
        <v>0</v>
      </c>
      <c r="C89" s="145">
        <f>SUMIFS(Table2[NewPointsAway],Table2[GameDate], "&lt;=" &amp; $A89, Table2[AwayTeam], C$1)+SUMIFS(Table2[NewPointsHome],Table2[GameDate], "&lt;=" &amp; $A89, Table2[HomeTeam], C$1)</f>
        <v>2</v>
      </c>
      <c r="D89" s="145">
        <f>SUMIFS(Table2[NewPointsAway],Table2[GameDate], "&lt;=" &amp; $A89, Table2[AwayTeam], D$1)+SUMIFS(Table2[NewPointsHome],Table2[GameDate], "&lt;=" &amp; $A89, Table2[HomeTeam], D$1)</f>
        <v>0</v>
      </c>
      <c r="E89" s="145">
        <f>SUMIFS(Table2[NewPointsAway],Table2[GameDate], "&lt;=" &amp; $A89, Table2[AwayTeam], E$1)+SUMIFS(Table2[NewPointsHome],Table2[GameDate], "&lt;=" &amp; $A89, Table2[HomeTeam], E$1)</f>
        <v>0</v>
      </c>
      <c r="F89" s="145">
        <f>SUMIFS(Table2[NewPointsAway],Table2[GameDate], "&lt;=" &amp; $A89, Table2[AwayTeam], F$1)+SUMIFS(Table2[NewPointsHome],Table2[GameDate], "&lt;=" &amp; $A89, Table2[HomeTeam], F$1)</f>
        <v>0</v>
      </c>
      <c r="G89" s="145">
        <f>SUMIFS(Table2[NewPointsAway],Table2[GameDate], "&lt;=" &amp; $A89, Table2[AwayTeam], G$1)+SUMIFS(Table2[NewPointsHome],Table2[GameDate], "&lt;=" &amp; $A89, Table2[HomeTeam], G$1)</f>
        <v>2</v>
      </c>
      <c r="H89" s="145">
        <f>SUMIFS(Table2[NewPointsAway],Table2[GameDate], "&lt;=" &amp; $A89, Table2[AwayTeam], H$1)+SUMIFS(Table2[NewPointsHome],Table2[GameDate], "&lt;=" &amp; $A89, Table2[HomeTeam], H$1)</f>
        <v>0</v>
      </c>
      <c r="I89" s="145">
        <f>SUMIFS(Table2[NewPointsAway],Table2[GameDate], "&lt;=" &amp; $A89, Table2[AwayTeam], I$1)+SUMIFS(Table2[NewPointsHome],Table2[GameDate], "&lt;=" &amp; $A89, Table2[HomeTeam], I$1)</f>
        <v>2</v>
      </c>
      <c r="J89" s="145">
        <f>SUMIFS(Table2[NewPointsAway],Table2[GameDate], "&lt;=" &amp; $A89, Table2[AwayTeam], J$1)+SUMIFS(Table2[NewPointsHome],Table2[GameDate], "&lt;=" &amp; $A89, Table2[HomeTeam], J$1)</f>
        <v>0</v>
      </c>
      <c r="K89" s="145">
        <f>SUMIFS(Table2[NewPointsAway],Table2[GameDate], "&lt;=" &amp; $A89, Table2[AwayTeam], K$1)+SUMIFS(Table2[NewPointsHome],Table2[GameDate], "&lt;=" &amp; $A89, Table2[HomeTeam], K$1)</f>
        <v>0</v>
      </c>
      <c r="L89" s="145">
        <f>SUMIFS(Table2[NewPointsAway],Table2[GameDate], "&lt;=" &amp; $A89, Table2[AwayTeam], L$1)+SUMIFS(Table2[NewPointsHome],Table2[GameDate], "&lt;=" &amp; $A89, Table2[HomeTeam], L$1)</f>
        <v>1</v>
      </c>
      <c r="M89" s="145">
        <f>SUMIFS(Table2[NewPointsAway],Table2[GameDate], "&lt;=" &amp; $A89, Table2[AwayTeam], M$1)+SUMIFS(Table2[NewPointsHome],Table2[GameDate], "&lt;=" &amp; $A89, Table2[HomeTeam], M$1)</f>
        <v>2</v>
      </c>
      <c r="N89" s="145">
        <f>SUMIFS(Table2[NewPointsAway],Table2[GameDate], "&lt;=" &amp; $A89, Table2[AwayTeam], N$1)+SUMIFS(Table2[NewPointsHome],Table2[GameDate], "&lt;=" &amp; $A89, Table2[HomeTeam], N$1)</f>
        <v>2</v>
      </c>
      <c r="O89" s="145">
        <f>SUMIFS(Table2[NewPointsAway],Table2[GameDate], "&lt;=" &amp; $A89, Table2[AwayTeam], O$1)+SUMIFS(Table2[NewPointsHome],Table2[GameDate], "&lt;=" &amp; $A89, Table2[HomeTeam], O$1)</f>
        <v>0</v>
      </c>
      <c r="P89" s="145">
        <f>SUMIFS(Table2[NewPointsAway],Table2[GameDate], "&lt;=" &amp; $A89, Table2[AwayTeam], P$1)+SUMIFS(Table2[NewPointsHome],Table2[GameDate], "&lt;=" &amp; $A89, Table2[HomeTeam], P$1)</f>
        <v>0</v>
      </c>
      <c r="Q89" s="145">
        <f>SUMIFS(Table2[NewPointsAway],Table2[GameDate], "&lt;=" &amp; $A89, Table2[AwayTeam], Q$1)+SUMIFS(Table2[NewPointsHome],Table2[GameDate], "&lt;=" &amp; $A89, Table2[HomeTeam], Q$1)</f>
        <v>0</v>
      </c>
      <c r="R89" s="145">
        <f>SUMIFS(Table2[NewPointsAway],Table2[GameDate], "&lt;=" &amp; $A89, Table2[AwayTeam], R$1)+SUMIFS(Table2[NewPointsHome],Table2[GameDate], "&lt;=" &amp; $A89, Table2[HomeTeam], R$1)</f>
        <v>0</v>
      </c>
      <c r="S89" s="145">
        <f>SUMIFS(Table2[NewPointsAway],Table2[GameDate], "&lt;=" &amp; $A89, Table2[AwayTeam], S$1)+SUMIFS(Table2[NewPointsHome],Table2[GameDate], "&lt;=" &amp; $A89, Table2[HomeTeam], S$1)</f>
        <v>0</v>
      </c>
      <c r="T89" s="145">
        <f>SUMIFS(Table2[NewPointsAway],Table2[GameDate], "&lt;=" &amp; $A89, Table2[AwayTeam], T$1)+SUMIFS(Table2[NewPointsHome],Table2[GameDate], "&lt;=" &amp; $A89, Table2[HomeTeam], T$1)</f>
        <v>0</v>
      </c>
      <c r="U89" s="145">
        <f>SUMIFS(Table2[NewPointsAway],Table2[GameDate], "&lt;=" &amp; $A89, Table2[AwayTeam], U$1)+SUMIFS(Table2[NewPointsHome],Table2[GameDate], "&lt;=" &amp; $A89, Table2[HomeTeam], U$1)</f>
        <v>0</v>
      </c>
      <c r="V89" s="145">
        <f>SUMIFS(Table2[NewPointsAway],Table2[GameDate], "&lt;=" &amp; $A89, Table2[AwayTeam], V$1)+SUMIFS(Table2[NewPointsHome],Table2[GameDate], "&lt;=" &amp; $A89, Table2[HomeTeam], V$1)</f>
        <v>0</v>
      </c>
      <c r="W89" s="145">
        <f>SUMIFS(Table2[NewPointsAway],Table2[GameDate], "&lt;=" &amp; $A89, Table2[AwayTeam], W$1)+SUMIFS(Table2[NewPointsHome],Table2[GameDate], "&lt;=" &amp; $A89, Table2[HomeTeam], W$1)</f>
        <v>2</v>
      </c>
      <c r="X89" s="145">
        <f>SUMIFS(Table2[NewPointsAway],Table2[GameDate], "&lt;=" &amp; $A89, Table2[AwayTeam], X$1)+SUMIFS(Table2[NewPointsHome],Table2[GameDate], "&lt;=" &amp; $A89, Table2[HomeTeam], X$1)</f>
        <v>0</v>
      </c>
      <c r="Y89" s="145">
        <f>SUMIFS(Table2[NewPointsAway],Table2[GameDate], "&lt;=" &amp; $A89, Table2[AwayTeam], Y$1)+SUMIFS(Table2[NewPointsHome],Table2[GameDate], "&lt;=" &amp; $A89, Table2[HomeTeam], Y$1)</f>
        <v>0</v>
      </c>
      <c r="Z89" s="145">
        <f>SUMIFS(Table2[NewPointsAway],Table2[GameDate], "&lt;=" &amp; $A89, Table2[AwayTeam], Z$1)+SUMIFS(Table2[NewPointsHome],Table2[GameDate], "&lt;=" &amp; $A89, Table2[HomeTeam], Z$1)</f>
        <v>0</v>
      </c>
      <c r="AA89" s="145">
        <f>SUMIFS(Table2[NewPointsAway],Table2[GameDate], "&lt;=" &amp; $A89, Table2[AwayTeam], AA$1)+SUMIFS(Table2[NewPointsHome],Table2[GameDate], "&lt;=" &amp; $A89, Table2[HomeTeam], AA$1)</f>
        <v>0</v>
      </c>
      <c r="AB89" s="145">
        <f>SUMIFS(Table2[NewPointsAway],Table2[GameDate], "&lt;=" &amp; $A89, Table2[AwayTeam], AB$1)+SUMIFS(Table2[NewPointsHome],Table2[GameDate], "&lt;=" &amp; $A89, Table2[HomeTeam], AB$1)</f>
        <v>2</v>
      </c>
      <c r="AC89" s="145">
        <f>SUMIFS(Table2[NewPointsAway],Table2[GameDate], "&lt;=" &amp; $A89, Table2[AwayTeam], AC$1)+SUMIFS(Table2[NewPointsHome],Table2[GameDate], "&lt;=" &amp; $A89, Table2[HomeTeam], AC$1)</f>
        <v>0</v>
      </c>
      <c r="AD89" s="145">
        <f>SUMIFS(Table2[NewPointsAway],Table2[GameDate], "&lt;=" &amp; $A89, Table2[AwayTeam], AD$1)+SUMIFS(Table2[NewPointsHome],Table2[GameDate], "&lt;=" &amp; $A89, Table2[HomeTeam], AD$1)</f>
        <v>0</v>
      </c>
      <c r="AE89" s="145">
        <f>SUMIFS(Table2[NewPointsAway],Table2[GameDate], "&lt;=" &amp; $A89, Table2[AwayTeam], AE$1)+SUMIFS(Table2[NewPointsHome],Table2[GameDate], "&lt;=" &amp; $A89, Table2[HomeTeam], AE$1)</f>
        <v>1</v>
      </c>
      <c r="AF89" s="145">
        <f>SUMIFS(Table2[NewPointsAway],Table2[GameDate], "&lt;=" &amp; $A89, Table2[AwayTeam], AF$1)+SUMIFS(Table2[NewPointsHome],Table2[GameDate], "&lt;=" &amp; $A89, Table2[HomeTeam], AF$1)</f>
        <v>0</v>
      </c>
      <c r="AG89" s="145">
        <f>SUMIFS(Table2[NewPointsAway],Table2[GameDate], "&lt;=" &amp; $A89, Table2[AwayTeam], AG$1)+SUMIFS(Table2[NewPointsHome],Table2[GameDate], "&lt;=" &amp; $A89, Table2[HomeTeam], AG$1)</f>
        <v>0</v>
      </c>
    </row>
    <row r="90" spans="1:33" x14ac:dyDescent="0.25">
      <c r="A90" s="3">
        <v>46021</v>
      </c>
      <c r="B90" s="145">
        <f>SUMIFS(Table2[NewPointsAway],Table2[GameDate], "&lt;=" &amp; $A90, Table2[AwayTeam], B$1)+SUMIFS(Table2[NewPointsHome],Table2[GameDate], "&lt;=" &amp; $A90, Table2[HomeTeam], B$1)</f>
        <v>0</v>
      </c>
      <c r="C90" s="145">
        <f>SUMIFS(Table2[NewPointsAway],Table2[GameDate], "&lt;=" &amp; $A90, Table2[AwayTeam], C$1)+SUMIFS(Table2[NewPointsHome],Table2[GameDate], "&lt;=" &amp; $A90, Table2[HomeTeam], C$1)</f>
        <v>2</v>
      </c>
      <c r="D90" s="145">
        <f>SUMIFS(Table2[NewPointsAway],Table2[GameDate], "&lt;=" &amp; $A90, Table2[AwayTeam], D$1)+SUMIFS(Table2[NewPointsHome],Table2[GameDate], "&lt;=" &amp; $A90, Table2[HomeTeam], D$1)</f>
        <v>0</v>
      </c>
      <c r="E90" s="145">
        <f>SUMIFS(Table2[NewPointsAway],Table2[GameDate], "&lt;=" &amp; $A90, Table2[AwayTeam], E$1)+SUMIFS(Table2[NewPointsHome],Table2[GameDate], "&lt;=" &amp; $A90, Table2[HomeTeam], E$1)</f>
        <v>0</v>
      </c>
      <c r="F90" s="145">
        <f>SUMIFS(Table2[NewPointsAway],Table2[GameDate], "&lt;=" &amp; $A90, Table2[AwayTeam], F$1)+SUMIFS(Table2[NewPointsHome],Table2[GameDate], "&lt;=" &amp; $A90, Table2[HomeTeam], F$1)</f>
        <v>0</v>
      </c>
      <c r="G90" s="145">
        <f>SUMIFS(Table2[NewPointsAway],Table2[GameDate], "&lt;=" &amp; $A90, Table2[AwayTeam], G$1)+SUMIFS(Table2[NewPointsHome],Table2[GameDate], "&lt;=" &amp; $A90, Table2[HomeTeam], G$1)</f>
        <v>2</v>
      </c>
      <c r="H90" s="145">
        <f>SUMIFS(Table2[NewPointsAway],Table2[GameDate], "&lt;=" &amp; $A90, Table2[AwayTeam], H$1)+SUMIFS(Table2[NewPointsHome],Table2[GameDate], "&lt;=" &amp; $A90, Table2[HomeTeam], H$1)</f>
        <v>0</v>
      </c>
      <c r="I90" s="145">
        <f>SUMIFS(Table2[NewPointsAway],Table2[GameDate], "&lt;=" &amp; $A90, Table2[AwayTeam], I$1)+SUMIFS(Table2[NewPointsHome],Table2[GameDate], "&lt;=" &amp; $A90, Table2[HomeTeam], I$1)</f>
        <v>2</v>
      </c>
      <c r="J90" s="145">
        <f>SUMIFS(Table2[NewPointsAway],Table2[GameDate], "&lt;=" &amp; $A90, Table2[AwayTeam], J$1)+SUMIFS(Table2[NewPointsHome],Table2[GameDate], "&lt;=" &amp; $A90, Table2[HomeTeam], J$1)</f>
        <v>0</v>
      </c>
      <c r="K90" s="145">
        <f>SUMIFS(Table2[NewPointsAway],Table2[GameDate], "&lt;=" &amp; $A90, Table2[AwayTeam], K$1)+SUMIFS(Table2[NewPointsHome],Table2[GameDate], "&lt;=" &amp; $A90, Table2[HomeTeam], K$1)</f>
        <v>0</v>
      </c>
      <c r="L90" s="145">
        <f>SUMIFS(Table2[NewPointsAway],Table2[GameDate], "&lt;=" &amp; $A90, Table2[AwayTeam], L$1)+SUMIFS(Table2[NewPointsHome],Table2[GameDate], "&lt;=" &amp; $A90, Table2[HomeTeam], L$1)</f>
        <v>1</v>
      </c>
      <c r="M90" s="145">
        <f>SUMIFS(Table2[NewPointsAway],Table2[GameDate], "&lt;=" &amp; $A90, Table2[AwayTeam], M$1)+SUMIFS(Table2[NewPointsHome],Table2[GameDate], "&lt;=" &amp; $A90, Table2[HomeTeam], M$1)</f>
        <v>2</v>
      </c>
      <c r="N90" s="145">
        <f>SUMIFS(Table2[NewPointsAway],Table2[GameDate], "&lt;=" &amp; $A90, Table2[AwayTeam], N$1)+SUMIFS(Table2[NewPointsHome],Table2[GameDate], "&lt;=" &amp; $A90, Table2[HomeTeam], N$1)</f>
        <v>2</v>
      </c>
      <c r="O90" s="145">
        <f>SUMIFS(Table2[NewPointsAway],Table2[GameDate], "&lt;=" &amp; $A90, Table2[AwayTeam], O$1)+SUMIFS(Table2[NewPointsHome],Table2[GameDate], "&lt;=" &amp; $A90, Table2[HomeTeam], O$1)</f>
        <v>0</v>
      </c>
      <c r="P90" s="145">
        <f>SUMIFS(Table2[NewPointsAway],Table2[GameDate], "&lt;=" &amp; $A90, Table2[AwayTeam], P$1)+SUMIFS(Table2[NewPointsHome],Table2[GameDate], "&lt;=" &amp; $A90, Table2[HomeTeam], P$1)</f>
        <v>0</v>
      </c>
      <c r="Q90" s="145">
        <f>SUMIFS(Table2[NewPointsAway],Table2[GameDate], "&lt;=" &amp; $A90, Table2[AwayTeam], Q$1)+SUMIFS(Table2[NewPointsHome],Table2[GameDate], "&lt;=" &amp; $A90, Table2[HomeTeam], Q$1)</f>
        <v>0</v>
      </c>
      <c r="R90" s="145">
        <f>SUMIFS(Table2[NewPointsAway],Table2[GameDate], "&lt;=" &amp; $A90, Table2[AwayTeam], R$1)+SUMIFS(Table2[NewPointsHome],Table2[GameDate], "&lt;=" &amp; $A90, Table2[HomeTeam], R$1)</f>
        <v>0</v>
      </c>
      <c r="S90" s="145">
        <f>SUMIFS(Table2[NewPointsAway],Table2[GameDate], "&lt;=" &amp; $A90, Table2[AwayTeam], S$1)+SUMIFS(Table2[NewPointsHome],Table2[GameDate], "&lt;=" &amp; $A90, Table2[HomeTeam], S$1)</f>
        <v>0</v>
      </c>
      <c r="T90" s="145">
        <f>SUMIFS(Table2[NewPointsAway],Table2[GameDate], "&lt;=" &amp; $A90, Table2[AwayTeam], T$1)+SUMIFS(Table2[NewPointsHome],Table2[GameDate], "&lt;=" &amp; $A90, Table2[HomeTeam], T$1)</f>
        <v>0</v>
      </c>
      <c r="U90" s="145">
        <f>SUMIFS(Table2[NewPointsAway],Table2[GameDate], "&lt;=" &amp; $A90, Table2[AwayTeam], U$1)+SUMIFS(Table2[NewPointsHome],Table2[GameDate], "&lt;=" &amp; $A90, Table2[HomeTeam], U$1)</f>
        <v>0</v>
      </c>
      <c r="V90" s="145">
        <f>SUMIFS(Table2[NewPointsAway],Table2[GameDate], "&lt;=" &amp; $A90, Table2[AwayTeam], V$1)+SUMIFS(Table2[NewPointsHome],Table2[GameDate], "&lt;=" &amp; $A90, Table2[HomeTeam], V$1)</f>
        <v>0</v>
      </c>
      <c r="W90" s="145">
        <f>SUMIFS(Table2[NewPointsAway],Table2[GameDate], "&lt;=" &amp; $A90, Table2[AwayTeam], W$1)+SUMIFS(Table2[NewPointsHome],Table2[GameDate], "&lt;=" &amp; $A90, Table2[HomeTeam], W$1)</f>
        <v>2</v>
      </c>
      <c r="X90" s="145">
        <f>SUMIFS(Table2[NewPointsAway],Table2[GameDate], "&lt;=" &amp; $A90, Table2[AwayTeam], X$1)+SUMIFS(Table2[NewPointsHome],Table2[GameDate], "&lt;=" &amp; $A90, Table2[HomeTeam], X$1)</f>
        <v>0</v>
      </c>
      <c r="Y90" s="145">
        <f>SUMIFS(Table2[NewPointsAway],Table2[GameDate], "&lt;=" &amp; $A90, Table2[AwayTeam], Y$1)+SUMIFS(Table2[NewPointsHome],Table2[GameDate], "&lt;=" &amp; $A90, Table2[HomeTeam], Y$1)</f>
        <v>0</v>
      </c>
      <c r="Z90" s="145">
        <f>SUMIFS(Table2[NewPointsAway],Table2[GameDate], "&lt;=" &amp; $A90, Table2[AwayTeam], Z$1)+SUMIFS(Table2[NewPointsHome],Table2[GameDate], "&lt;=" &amp; $A90, Table2[HomeTeam], Z$1)</f>
        <v>0</v>
      </c>
      <c r="AA90" s="145">
        <f>SUMIFS(Table2[NewPointsAway],Table2[GameDate], "&lt;=" &amp; $A90, Table2[AwayTeam], AA$1)+SUMIFS(Table2[NewPointsHome],Table2[GameDate], "&lt;=" &amp; $A90, Table2[HomeTeam], AA$1)</f>
        <v>0</v>
      </c>
      <c r="AB90" s="145">
        <f>SUMIFS(Table2[NewPointsAway],Table2[GameDate], "&lt;=" &amp; $A90, Table2[AwayTeam], AB$1)+SUMIFS(Table2[NewPointsHome],Table2[GameDate], "&lt;=" &amp; $A90, Table2[HomeTeam], AB$1)</f>
        <v>2</v>
      </c>
      <c r="AC90" s="145">
        <f>SUMIFS(Table2[NewPointsAway],Table2[GameDate], "&lt;=" &amp; $A90, Table2[AwayTeam], AC$1)+SUMIFS(Table2[NewPointsHome],Table2[GameDate], "&lt;=" &amp; $A90, Table2[HomeTeam], AC$1)</f>
        <v>0</v>
      </c>
      <c r="AD90" s="145">
        <f>SUMIFS(Table2[NewPointsAway],Table2[GameDate], "&lt;=" &amp; $A90, Table2[AwayTeam], AD$1)+SUMIFS(Table2[NewPointsHome],Table2[GameDate], "&lt;=" &amp; $A90, Table2[HomeTeam], AD$1)</f>
        <v>0</v>
      </c>
      <c r="AE90" s="145">
        <f>SUMIFS(Table2[NewPointsAway],Table2[GameDate], "&lt;=" &amp; $A90, Table2[AwayTeam], AE$1)+SUMIFS(Table2[NewPointsHome],Table2[GameDate], "&lt;=" &amp; $A90, Table2[HomeTeam], AE$1)</f>
        <v>1</v>
      </c>
      <c r="AF90" s="145">
        <f>SUMIFS(Table2[NewPointsAway],Table2[GameDate], "&lt;=" &amp; $A90, Table2[AwayTeam], AF$1)+SUMIFS(Table2[NewPointsHome],Table2[GameDate], "&lt;=" &amp; $A90, Table2[HomeTeam], AF$1)</f>
        <v>0</v>
      </c>
      <c r="AG90" s="145">
        <f>SUMIFS(Table2[NewPointsAway],Table2[GameDate], "&lt;=" &amp; $A90, Table2[AwayTeam], AG$1)+SUMIFS(Table2[NewPointsHome],Table2[GameDate], "&lt;=" &amp; $A90, Table2[HomeTeam], AG$1)</f>
        <v>0</v>
      </c>
    </row>
    <row r="91" spans="1:33" x14ac:dyDescent="0.25">
      <c r="A91" s="3">
        <v>46022</v>
      </c>
      <c r="B91" s="145">
        <f>SUMIFS(Table2[NewPointsAway],Table2[GameDate], "&lt;=" &amp; $A91, Table2[AwayTeam], B$1)+SUMIFS(Table2[NewPointsHome],Table2[GameDate], "&lt;=" &amp; $A91, Table2[HomeTeam], B$1)</f>
        <v>0</v>
      </c>
      <c r="C91" s="145">
        <f>SUMIFS(Table2[NewPointsAway],Table2[GameDate], "&lt;=" &amp; $A91, Table2[AwayTeam], C$1)+SUMIFS(Table2[NewPointsHome],Table2[GameDate], "&lt;=" &amp; $A91, Table2[HomeTeam], C$1)</f>
        <v>2</v>
      </c>
      <c r="D91" s="145">
        <f>SUMIFS(Table2[NewPointsAway],Table2[GameDate], "&lt;=" &amp; $A91, Table2[AwayTeam], D$1)+SUMIFS(Table2[NewPointsHome],Table2[GameDate], "&lt;=" &amp; $A91, Table2[HomeTeam], D$1)</f>
        <v>0</v>
      </c>
      <c r="E91" s="145">
        <f>SUMIFS(Table2[NewPointsAway],Table2[GameDate], "&lt;=" &amp; $A91, Table2[AwayTeam], E$1)+SUMIFS(Table2[NewPointsHome],Table2[GameDate], "&lt;=" &amp; $A91, Table2[HomeTeam], E$1)</f>
        <v>0</v>
      </c>
      <c r="F91" s="145">
        <f>SUMIFS(Table2[NewPointsAway],Table2[GameDate], "&lt;=" &amp; $A91, Table2[AwayTeam], F$1)+SUMIFS(Table2[NewPointsHome],Table2[GameDate], "&lt;=" &amp; $A91, Table2[HomeTeam], F$1)</f>
        <v>0</v>
      </c>
      <c r="G91" s="145">
        <f>SUMIFS(Table2[NewPointsAway],Table2[GameDate], "&lt;=" &amp; $A91, Table2[AwayTeam], G$1)+SUMIFS(Table2[NewPointsHome],Table2[GameDate], "&lt;=" &amp; $A91, Table2[HomeTeam], G$1)</f>
        <v>2</v>
      </c>
      <c r="H91" s="145">
        <f>SUMIFS(Table2[NewPointsAway],Table2[GameDate], "&lt;=" &amp; $A91, Table2[AwayTeam], H$1)+SUMIFS(Table2[NewPointsHome],Table2[GameDate], "&lt;=" &amp; $A91, Table2[HomeTeam], H$1)</f>
        <v>0</v>
      </c>
      <c r="I91" s="145">
        <f>SUMIFS(Table2[NewPointsAway],Table2[GameDate], "&lt;=" &amp; $A91, Table2[AwayTeam], I$1)+SUMIFS(Table2[NewPointsHome],Table2[GameDate], "&lt;=" &amp; $A91, Table2[HomeTeam], I$1)</f>
        <v>2</v>
      </c>
      <c r="J91" s="145">
        <f>SUMIFS(Table2[NewPointsAway],Table2[GameDate], "&lt;=" &amp; $A91, Table2[AwayTeam], J$1)+SUMIFS(Table2[NewPointsHome],Table2[GameDate], "&lt;=" &amp; $A91, Table2[HomeTeam], J$1)</f>
        <v>0</v>
      </c>
      <c r="K91" s="145">
        <f>SUMIFS(Table2[NewPointsAway],Table2[GameDate], "&lt;=" &amp; $A91, Table2[AwayTeam], K$1)+SUMIFS(Table2[NewPointsHome],Table2[GameDate], "&lt;=" &amp; $A91, Table2[HomeTeam], K$1)</f>
        <v>0</v>
      </c>
      <c r="L91" s="145">
        <f>SUMIFS(Table2[NewPointsAway],Table2[GameDate], "&lt;=" &amp; $A91, Table2[AwayTeam], L$1)+SUMIFS(Table2[NewPointsHome],Table2[GameDate], "&lt;=" &amp; $A91, Table2[HomeTeam], L$1)</f>
        <v>1</v>
      </c>
      <c r="M91" s="145">
        <f>SUMIFS(Table2[NewPointsAway],Table2[GameDate], "&lt;=" &amp; $A91, Table2[AwayTeam], M$1)+SUMIFS(Table2[NewPointsHome],Table2[GameDate], "&lt;=" &amp; $A91, Table2[HomeTeam], M$1)</f>
        <v>2</v>
      </c>
      <c r="N91" s="145">
        <f>SUMIFS(Table2[NewPointsAway],Table2[GameDate], "&lt;=" &amp; $A91, Table2[AwayTeam], N$1)+SUMIFS(Table2[NewPointsHome],Table2[GameDate], "&lt;=" &amp; $A91, Table2[HomeTeam], N$1)</f>
        <v>2</v>
      </c>
      <c r="O91" s="145">
        <f>SUMIFS(Table2[NewPointsAway],Table2[GameDate], "&lt;=" &amp; $A91, Table2[AwayTeam], O$1)+SUMIFS(Table2[NewPointsHome],Table2[GameDate], "&lt;=" &amp; $A91, Table2[HomeTeam], O$1)</f>
        <v>0</v>
      </c>
      <c r="P91" s="145">
        <f>SUMIFS(Table2[NewPointsAway],Table2[GameDate], "&lt;=" &amp; $A91, Table2[AwayTeam], P$1)+SUMIFS(Table2[NewPointsHome],Table2[GameDate], "&lt;=" &amp; $A91, Table2[HomeTeam], P$1)</f>
        <v>0</v>
      </c>
      <c r="Q91" s="145">
        <f>SUMIFS(Table2[NewPointsAway],Table2[GameDate], "&lt;=" &amp; $A91, Table2[AwayTeam], Q$1)+SUMIFS(Table2[NewPointsHome],Table2[GameDate], "&lt;=" &amp; $A91, Table2[HomeTeam], Q$1)</f>
        <v>0</v>
      </c>
      <c r="R91" s="145">
        <f>SUMIFS(Table2[NewPointsAway],Table2[GameDate], "&lt;=" &amp; $A91, Table2[AwayTeam], R$1)+SUMIFS(Table2[NewPointsHome],Table2[GameDate], "&lt;=" &amp; $A91, Table2[HomeTeam], R$1)</f>
        <v>0</v>
      </c>
      <c r="S91" s="145">
        <f>SUMIFS(Table2[NewPointsAway],Table2[GameDate], "&lt;=" &amp; $A91, Table2[AwayTeam], S$1)+SUMIFS(Table2[NewPointsHome],Table2[GameDate], "&lt;=" &amp; $A91, Table2[HomeTeam], S$1)</f>
        <v>0</v>
      </c>
      <c r="T91" s="145">
        <f>SUMIFS(Table2[NewPointsAway],Table2[GameDate], "&lt;=" &amp; $A91, Table2[AwayTeam], T$1)+SUMIFS(Table2[NewPointsHome],Table2[GameDate], "&lt;=" &amp; $A91, Table2[HomeTeam], T$1)</f>
        <v>0</v>
      </c>
      <c r="U91" s="145">
        <f>SUMIFS(Table2[NewPointsAway],Table2[GameDate], "&lt;=" &amp; $A91, Table2[AwayTeam], U$1)+SUMIFS(Table2[NewPointsHome],Table2[GameDate], "&lt;=" &amp; $A91, Table2[HomeTeam], U$1)</f>
        <v>0</v>
      </c>
      <c r="V91" s="145">
        <f>SUMIFS(Table2[NewPointsAway],Table2[GameDate], "&lt;=" &amp; $A91, Table2[AwayTeam], V$1)+SUMIFS(Table2[NewPointsHome],Table2[GameDate], "&lt;=" &amp; $A91, Table2[HomeTeam], V$1)</f>
        <v>0</v>
      </c>
      <c r="W91" s="145">
        <f>SUMIFS(Table2[NewPointsAway],Table2[GameDate], "&lt;=" &amp; $A91, Table2[AwayTeam], W$1)+SUMIFS(Table2[NewPointsHome],Table2[GameDate], "&lt;=" &amp; $A91, Table2[HomeTeam], W$1)</f>
        <v>2</v>
      </c>
      <c r="X91" s="145">
        <f>SUMIFS(Table2[NewPointsAway],Table2[GameDate], "&lt;=" &amp; $A91, Table2[AwayTeam], X$1)+SUMIFS(Table2[NewPointsHome],Table2[GameDate], "&lt;=" &amp; $A91, Table2[HomeTeam], X$1)</f>
        <v>0</v>
      </c>
      <c r="Y91" s="145">
        <f>SUMIFS(Table2[NewPointsAway],Table2[GameDate], "&lt;=" &amp; $A91, Table2[AwayTeam], Y$1)+SUMIFS(Table2[NewPointsHome],Table2[GameDate], "&lt;=" &amp; $A91, Table2[HomeTeam], Y$1)</f>
        <v>0</v>
      </c>
      <c r="Z91" s="145">
        <f>SUMIFS(Table2[NewPointsAway],Table2[GameDate], "&lt;=" &amp; $A91, Table2[AwayTeam], Z$1)+SUMIFS(Table2[NewPointsHome],Table2[GameDate], "&lt;=" &amp; $A91, Table2[HomeTeam], Z$1)</f>
        <v>0</v>
      </c>
      <c r="AA91" s="145">
        <f>SUMIFS(Table2[NewPointsAway],Table2[GameDate], "&lt;=" &amp; $A91, Table2[AwayTeam], AA$1)+SUMIFS(Table2[NewPointsHome],Table2[GameDate], "&lt;=" &amp; $A91, Table2[HomeTeam], AA$1)</f>
        <v>0</v>
      </c>
      <c r="AB91" s="145">
        <f>SUMIFS(Table2[NewPointsAway],Table2[GameDate], "&lt;=" &amp; $A91, Table2[AwayTeam], AB$1)+SUMIFS(Table2[NewPointsHome],Table2[GameDate], "&lt;=" &amp; $A91, Table2[HomeTeam], AB$1)</f>
        <v>2</v>
      </c>
      <c r="AC91" s="145">
        <f>SUMIFS(Table2[NewPointsAway],Table2[GameDate], "&lt;=" &amp; $A91, Table2[AwayTeam], AC$1)+SUMIFS(Table2[NewPointsHome],Table2[GameDate], "&lt;=" &amp; $A91, Table2[HomeTeam], AC$1)</f>
        <v>0</v>
      </c>
      <c r="AD91" s="145">
        <f>SUMIFS(Table2[NewPointsAway],Table2[GameDate], "&lt;=" &amp; $A91, Table2[AwayTeam], AD$1)+SUMIFS(Table2[NewPointsHome],Table2[GameDate], "&lt;=" &amp; $A91, Table2[HomeTeam], AD$1)</f>
        <v>0</v>
      </c>
      <c r="AE91" s="145">
        <f>SUMIFS(Table2[NewPointsAway],Table2[GameDate], "&lt;=" &amp; $A91, Table2[AwayTeam], AE$1)+SUMIFS(Table2[NewPointsHome],Table2[GameDate], "&lt;=" &amp; $A91, Table2[HomeTeam], AE$1)</f>
        <v>1</v>
      </c>
      <c r="AF91" s="145">
        <f>SUMIFS(Table2[NewPointsAway],Table2[GameDate], "&lt;=" &amp; $A91, Table2[AwayTeam], AF$1)+SUMIFS(Table2[NewPointsHome],Table2[GameDate], "&lt;=" &amp; $A91, Table2[HomeTeam], AF$1)</f>
        <v>0</v>
      </c>
      <c r="AG91" s="145">
        <f>SUMIFS(Table2[NewPointsAway],Table2[GameDate], "&lt;=" &amp; $A91, Table2[AwayTeam], AG$1)+SUMIFS(Table2[NewPointsHome],Table2[GameDate], "&lt;=" &amp; $A91, Table2[HomeTeam], AG$1)</f>
        <v>0</v>
      </c>
    </row>
    <row r="92" spans="1:33" x14ac:dyDescent="0.25">
      <c r="A92" s="3">
        <v>46023</v>
      </c>
      <c r="B92" s="145">
        <f>SUMIFS(Table2[NewPointsAway],Table2[GameDate], "&lt;=" &amp; $A92, Table2[AwayTeam], B$1)+SUMIFS(Table2[NewPointsHome],Table2[GameDate], "&lt;=" &amp; $A92, Table2[HomeTeam], B$1)</f>
        <v>0</v>
      </c>
      <c r="C92" s="145">
        <f>SUMIFS(Table2[NewPointsAway],Table2[GameDate], "&lt;=" &amp; $A92, Table2[AwayTeam], C$1)+SUMIFS(Table2[NewPointsHome],Table2[GameDate], "&lt;=" &amp; $A92, Table2[HomeTeam], C$1)</f>
        <v>2</v>
      </c>
      <c r="D92" s="145">
        <f>SUMIFS(Table2[NewPointsAway],Table2[GameDate], "&lt;=" &amp; $A92, Table2[AwayTeam], D$1)+SUMIFS(Table2[NewPointsHome],Table2[GameDate], "&lt;=" &amp; $A92, Table2[HomeTeam], D$1)</f>
        <v>0</v>
      </c>
      <c r="E92" s="145">
        <f>SUMIFS(Table2[NewPointsAway],Table2[GameDate], "&lt;=" &amp; $A92, Table2[AwayTeam], E$1)+SUMIFS(Table2[NewPointsHome],Table2[GameDate], "&lt;=" &amp; $A92, Table2[HomeTeam], E$1)</f>
        <v>0</v>
      </c>
      <c r="F92" s="145">
        <f>SUMIFS(Table2[NewPointsAway],Table2[GameDate], "&lt;=" &amp; $A92, Table2[AwayTeam], F$1)+SUMIFS(Table2[NewPointsHome],Table2[GameDate], "&lt;=" &amp; $A92, Table2[HomeTeam], F$1)</f>
        <v>0</v>
      </c>
      <c r="G92" s="145">
        <f>SUMIFS(Table2[NewPointsAway],Table2[GameDate], "&lt;=" &amp; $A92, Table2[AwayTeam], G$1)+SUMIFS(Table2[NewPointsHome],Table2[GameDate], "&lt;=" &amp; $A92, Table2[HomeTeam], G$1)</f>
        <v>2</v>
      </c>
      <c r="H92" s="145">
        <f>SUMIFS(Table2[NewPointsAway],Table2[GameDate], "&lt;=" &amp; $A92, Table2[AwayTeam], H$1)+SUMIFS(Table2[NewPointsHome],Table2[GameDate], "&lt;=" &amp; $A92, Table2[HomeTeam], H$1)</f>
        <v>0</v>
      </c>
      <c r="I92" s="145">
        <f>SUMIFS(Table2[NewPointsAway],Table2[GameDate], "&lt;=" &amp; $A92, Table2[AwayTeam], I$1)+SUMIFS(Table2[NewPointsHome],Table2[GameDate], "&lt;=" &amp; $A92, Table2[HomeTeam], I$1)</f>
        <v>2</v>
      </c>
      <c r="J92" s="145">
        <f>SUMIFS(Table2[NewPointsAway],Table2[GameDate], "&lt;=" &amp; $A92, Table2[AwayTeam], J$1)+SUMIFS(Table2[NewPointsHome],Table2[GameDate], "&lt;=" &amp; $A92, Table2[HomeTeam], J$1)</f>
        <v>0</v>
      </c>
      <c r="K92" s="145">
        <f>SUMIFS(Table2[NewPointsAway],Table2[GameDate], "&lt;=" &amp; $A92, Table2[AwayTeam], K$1)+SUMIFS(Table2[NewPointsHome],Table2[GameDate], "&lt;=" &amp; $A92, Table2[HomeTeam], K$1)</f>
        <v>0</v>
      </c>
      <c r="L92" s="145">
        <f>SUMIFS(Table2[NewPointsAway],Table2[GameDate], "&lt;=" &amp; $A92, Table2[AwayTeam], L$1)+SUMIFS(Table2[NewPointsHome],Table2[GameDate], "&lt;=" &amp; $A92, Table2[HomeTeam], L$1)</f>
        <v>1</v>
      </c>
      <c r="M92" s="145">
        <f>SUMIFS(Table2[NewPointsAway],Table2[GameDate], "&lt;=" &amp; $A92, Table2[AwayTeam], M$1)+SUMIFS(Table2[NewPointsHome],Table2[GameDate], "&lt;=" &amp; $A92, Table2[HomeTeam], M$1)</f>
        <v>2</v>
      </c>
      <c r="N92" s="145">
        <f>SUMIFS(Table2[NewPointsAway],Table2[GameDate], "&lt;=" &amp; $A92, Table2[AwayTeam], N$1)+SUMIFS(Table2[NewPointsHome],Table2[GameDate], "&lt;=" &amp; $A92, Table2[HomeTeam], N$1)</f>
        <v>2</v>
      </c>
      <c r="O92" s="145">
        <f>SUMIFS(Table2[NewPointsAway],Table2[GameDate], "&lt;=" &amp; $A92, Table2[AwayTeam], O$1)+SUMIFS(Table2[NewPointsHome],Table2[GameDate], "&lt;=" &amp; $A92, Table2[HomeTeam], O$1)</f>
        <v>0</v>
      </c>
      <c r="P92" s="145">
        <f>SUMIFS(Table2[NewPointsAway],Table2[GameDate], "&lt;=" &amp; $A92, Table2[AwayTeam], P$1)+SUMIFS(Table2[NewPointsHome],Table2[GameDate], "&lt;=" &amp; $A92, Table2[HomeTeam], P$1)</f>
        <v>0</v>
      </c>
      <c r="Q92" s="145">
        <f>SUMIFS(Table2[NewPointsAway],Table2[GameDate], "&lt;=" &amp; $A92, Table2[AwayTeam], Q$1)+SUMIFS(Table2[NewPointsHome],Table2[GameDate], "&lt;=" &amp; $A92, Table2[HomeTeam], Q$1)</f>
        <v>0</v>
      </c>
      <c r="R92" s="145">
        <f>SUMIFS(Table2[NewPointsAway],Table2[GameDate], "&lt;=" &amp; $A92, Table2[AwayTeam], R$1)+SUMIFS(Table2[NewPointsHome],Table2[GameDate], "&lt;=" &amp; $A92, Table2[HomeTeam], R$1)</f>
        <v>0</v>
      </c>
      <c r="S92" s="145">
        <f>SUMIFS(Table2[NewPointsAway],Table2[GameDate], "&lt;=" &amp; $A92, Table2[AwayTeam], S$1)+SUMIFS(Table2[NewPointsHome],Table2[GameDate], "&lt;=" &amp; $A92, Table2[HomeTeam], S$1)</f>
        <v>0</v>
      </c>
      <c r="T92" s="145">
        <f>SUMIFS(Table2[NewPointsAway],Table2[GameDate], "&lt;=" &amp; $A92, Table2[AwayTeam], T$1)+SUMIFS(Table2[NewPointsHome],Table2[GameDate], "&lt;=" &amp; $A92, Table2[HomeTeam], T$1)</f>
        <v>0</v>
      </c>
      <c r="U92" s="145">
        <f>SUMIFS(Table2[NewPointsAway],Table2[GameDate], "&lt;=" &amp; $A92, Table2[AwayTeam], U$1)+SUMIFS(Table2[NewPointsHome],Table2[GameDate], "&lt;=" &amp; $A92, Table2[HomeTeam], U$1)</f>
        <v>0</v>
      </c>
      <c r="V92" s="145">
        <f>SUMIFS(Table2[NewPointsAway],Table2[GameDate], "&lt;=" &amp; $A92, Table2[AwayTeam], V$1)+SUMIFS(Table2[NewPointsHome],Table2[GameDate], "&lt;=" &amp; $A92, Table2[HomeTeam], V$1)</f>
        <v>0</v>
      </c>
      <c r="W92" s="145">
        <f>SUMIFS(Table2[NewPointsAway],Table2[GameDate], "&lt;=" &amp; $A92, Table2[AwayTeam], W$1)+SUMIFS(Table2[NewPointsHome],Table2[GameDate], "&lt;=" &amp; $A92, Table2[HomeTeam], W$1)</f>
        <v>2</v>
      </c>
      <c r="X92" s="145">
        <f>SUMIFS(Table2[NewPointsAway],Table2[GameDate], "&lt;=" &amp; $A92, Table2[AwayTeam], X$1)+SUMIFS(Table2[NewPointsHome],Table2[GameDate], "&lt;=" &amp; $A92, Table2[HomeTeam], X$1)</f>
        <v>0</v>
      </c>
      <c r="Y92" s="145">
        <f>SUMIFS(Table2[NewPointsAway],Table2[GameDate], "&lt;=" &amp; $A92, Table2[AwayTeam], Y$1)+SUMIFS(Table2[NewPointsHome],Table2[GameDate], "&lt;=" &amp; $A92, Table2[HomeTeam], Y$1)</f>
        <v>0</v>
      </c>
      <c r="Z92" s="145">
        <f>SUMIFS(Table2[NewPointsAway],Table2[GameDate], "&lt;=" &amp; $A92, Table2[AwayTeam], Z$1)+SUMIFS(Table2[NewPointsHome],Table2[GameDate], "&lt;=" &amp; $A92, Table2[HomeTeam], Z$1)</f>
        <v>0</v>
      </c>
      <c r="AA92" s="145">
        <f>SUMIFS(Table2[NewPointsAway],Table2[GameDate], "&lt;=" &amp; $A92, Table2[AwayTeam], AA$1)+SUMIFS(Table2[NewPointsHome],Table2[GameDate], "&lt;=" &amp; $A92, Table2[HomeTeam], AA$1)</f>
        <v>0</v>
      </c>
      <c r="AB92" s="145">
        <f>SUMIFS(Table2[NewPointsAway],Table2[GameDate], "&lt;=" &amp; $A92, Table2[AwayTeam], AB$1)+SUMIFS(Table2[NewPointsHome],Table2[GameDate], "&lt;=" &amp; $A92, Table2[HomeTeam], AB$1)</f>
        <v>2</v>
      </c>
      <c r="AC92" s="145">
        <f>SUMIFS(Table2[NewPointsAway],Table2[GameDate], "&lt;=" &amp; $A92, Table2[AwayTeam], AC$1)+SUMIFS(Table2[NewPointsHome],Table2[GameDate], "&lt;=" &amp; $A92, Table2[HomeTeam], AC$1)</f>
        <v>0</v>
      </c>
      <c r="AD92" s="145">
        <f>SUMIFS(Table2[NewPointsAway],Table2[GameDate], "&lt;=" &amp; $A92, Table2[AwayTeam], AD$1)+SUMIFS(Table2[NewPointsHome],Table2[GameDate], "&lt;=" &amp; $A92, Table2[HomeTeam], AD$1)</f>
        <v>0</v>
      </c>
      <c r="AE92" s="145">
        <f>SUMIFS(Table2[NewPointsAway],Table2[GameDate], "&lt;=" &amp; $A92, Table2[AwayTeam], AE$1)+SUMIFS(Table2[NewPointsHome],Table2[GameDate], "&lt;=" &amp; $A92, Table2[HomeTeam], AE$1)</f>
        <v>1</v>
      </c>
      <c r="AF92" s="145">
        <f>SUMIFS(Table2[NewPointsAway],Table2[GameDate], "&lt;=" &amp; $A92, Table2[AwayTeam], AF$1)+SUMIFS(Table2[NewPointsHome],Table2[GameDate], "&lt;=" &amp; $A92, Table2[HomeTeam], AF$1)</f>
        <v>0</v>
      </c>
      <c r="AG92" s="145">
        <f>SUMIFS(Table2[NewPointsAway],Table2[GameDate], "&lt;=" &amp; $A92, Table2[AwayTeam], AG$1)+SUMIFS(Table2[NewPointsHome],Table2[GameDate], "&lt;=" &amp; $A92, Table2[HomeTeam], AG$1)</f>
        <v>0</v>
      </c>
    </row>
    <row r="93" spans="1:33" x14ac:dyDescent="0.25">
      <c r="A93" s="3">
        <v>46024</v>
      </c>
      <c r="B93" s="145">
        <f>SUMIFS(Table2[NewPointsAway],Table2[GameDate], "&lt;=" &amp; $A93, Table2[AwayTeam], B$1)+SUMIFS(Table2[NewPointsHome],Table2[GameDate], "&lt;=" &amp; $A93, Table2[HomeTeam], B$1)</f>
        <v>0</v>
      </c>
      <c r="C93" s="145">
        <f>SUMIFS(Table2[NewPointsAway],Table2[GameDate], "&lt;=" &amp; $A93, Table2[AwayTeam], C$1)+SUMIFS(Table2[NewPointsHome],Table2[GameDate], "&lt;=" &amp; $A93, Table2[HomeTeam], C$1)</f>
        <v>2</v>
      </c>
      <c r="D93" s="145">
        <f>SUMIFS(Table2[NewPointsAway],Table2[GameDate], "&lt;=" &amp; $A93, Table2[AwayTeam], D$1)+SUMIFS(Table2[NewPointsHome],Table2[GameDate], "&lt;=" &amp; $A93, Table2[HomeTeam], D$1)</f>
        <v>0</v>
      </c>
      <c r="E93" s="145">
        <f>SUMIFS(Table2[NewPointsAway],Table2[GameDate], "&lt;=" &amp; $A93, Table2[AwayTeam], E$1)+SUMIFS(Table2[NewPointsHome],Table2[GameDate], "&lt;=" &amp; $A93, Table2[HomeTeam], E$1)</f>
        <v>0</v>
      </c>
      <c r="F93" s="145">
        <f>SUMIFS(Table2[NewPointsAway],Table2[GameDate], "&lt;=" &amp; $A93, Table2[AwayTeam], F$1)+SUMIFS(Table2[NewPointsHome],Table2[GameDate], "&lt;=" &amp; $A93, Table2[HomeTeam], F$1)</f>
        <v>0</v>
      </c>
      <c r="G93" s="145">
        <f>SUMIFS(Table2[NewPointsAway],Table2[GameDate], "&lt;=" &amp; $A93, Table2[AwayTeam], G$1)+SUMIFS(Table2[NewPointsHome],Table2[GameDate], "&lt;=" &amp; $A93, Table2[HomeTeam], G$1)</f>
        <v>2</v>
      </c>
      <c r="H93" s="145">
        <f>SUMIFS(Table2[NewPointsAway],Table2[GameDate], "&lt;=" &amp; $A93, Table2[AwayTeam], H$1)+SUMIFS(Table2[NewPointsHome],Table2[GameDate], "&lt;=" &amp; $A93, Table2[HomeTeam], H$1)</f>
        <v>0</v>
      </c>
      <c r="I93" s="145">
        <f>SUMIFS(Table2[NewPointsAway],Table2[GameDate], "&lt;=" &amp; $A93, Table2[AwayTeam], I$1)+SUMIFS(Table2[NewPointsHome],Table2[GameDate], "&lt;=" &amp; $A93, Table2[HomeTeam], I$1)</f>
        <v>2</v>
      </c>
      <c r="J93" s="145">
        <f>SUMIFS(Table2[NewPointsAway],Table2[GameDate], "&lt;=" &amp; $A93, Table2[AwayTeam], J$1)+SUMIFS(Table2[NewPointsHome],Table2[GameDate], "&lt;=" &amp; $A93, Table2[HomeTeam], J$1)</f>
        <v>0</v>
      </c>
      <c r="K93" s="145">
        <f>SUMIFS(Table2[NewPointsAway],Table2[GameDate], "&lt;=" &amp; $A93, Table2[AwayTeam], K$1)+SUMIFS(Table2[NewPointsHome],Table2[GameDate], "&lt;=" &amp; $A93, Table2[HomeTeam], K$1)</f>
        <v>0</v>
      </c>
      <c r="L93" s="145">
        <f>SUMIFS(Table2[NewPointsAway],Table2[GameDate], "&lt;=" &amp; $A93, Table2[AwayTeam], L$1)+SUMIFS(Table2[NewPointsHome],Table2[GameDate], "&lt;=" &amp; $A93, Table2[HomeTeam], L$1)</f>
        <v>1</v>
      </c>
      <c r="M93" s="145">
        <f>SUMIFS(Table2[NewPointsAway],Table2[GameDate], "&lt;=" &amp; $A93, Table2[AwayTeam], M$1)+SUMIFS(Table2[NewPointsHome],Table2[GameDate], "&lt;=" &amp; $A93, Table2[HomeTeam], M$1)</f>
        <v>2</v>
      </c>
      <c r="N93" s="145">
        <f>SUMIFS(Table2[NewPointsAway],Table2[GameDate], "&lt;=" &amp; $A93, Table2[AwayTeam], N$1)+SUMIFS(Table2[NewPointsHome],Table2[GameDate], "&lt;=" &amp; $A93, Table2[HomeTeam], N$1)</f>
        <v>2</v>
      </c>
      <c r="O93" s="145">
        <f>SUMIFS(Table2[NewPointsAway],Table2[GameDate], "&lt;=" &amp; $A93, Table2[AwayTeam], O$1)+SUMIFS(Table2[NewPointsHome],Table2[GameDate], "&lt;=" &amp; $A93, Table2[HomeTeam], O$1)</f>
        <v>0</v>
      </c>
      <c r="P93" s="145">
        <f>SUMIFS(Table2[NewPointsAway],Table2[GameDate], "&lt;=" &amp; $A93, Table2[AwayTeam], P$1)+SUMIFS(Table2[NewPointsHome],Table2[GameDate], "&lt;=" &amp; $A93, Table2[HomeTeam], P$1)</f>
        <v>0</v>
      </c>
      <c r="Q93" s="145">
        <f>SUMIFS(Table2[NewPointsAway],Table2[GameDate], "&lt;=" &amp; $A93, Table2[AwayTeam], Q$1)+SUMIFS(Table2[NewPointsHome],Table2[GameDate], "&lt;=" &amp; $A93, Table2[HomeTeam], Q$1)</f>
        <v>0</v>
      </c>
      <c r="R93" s="145">
        <f>SUMIFS(Table2[NewPointsAway],Table2[GameDate], "&lt;=" &amp; $A93, Table2[AwayTeam], R$1)+SUMIFS(Table2[NewPointsHome],Table2[GameDate], "&lt;=" &amp; $A93, Table2[HomeTeam], R$1)</f>
        <v>0</v>
      </c>
      <c r="S93" s="145">
        <f>SUMIFS(Table2[NewPointsAway],Table2[GameDate], "&lt;=" &amp; $A93, Table2[AwayTeam], S$1)+SUMIFS(Table2[NewPointsHome],Table2[GameDate], "&lt;=" &amp; $A93, Table2[HomeTeam], S$1)</f>
        <v>0</v>
      </c>
      <c r="T93" s="145">
        <f>SUMIFS(Table2[NewPointsAway],Table2[GameDate], "&lt;=" &amp; $A93, Table2[AwayTeam], T$1)+SUMIFS(Table2[NewPointsHome],Table2[GameDate], "&lt;=" &amp; $A93, Table2[HomeTeam], T$1)</f>
        <v>0</v>
      </c>
      <c r="U93" s="145">
        <f>SUMIFS(Table2[NewPointsAway],Table2[GameDate], "&lt;=" &amp; $A93, Table2[AwayTeam], U$1)+SUMIFS(Table2[NewPointsHome],Table2[GameDate], "&lt;=" &amp; $A93, Table2[HomeTeam], U$1)</f>
        <v>0</v>
      </c>
      <c r="V93" s="145">
        <f>SUMIFS(Table2[NewPointsAway],Table2[GameDate], "&lt;=" &amp; $A93, Table2[AwayTeam], V$1)+SUMIFS(Table2[NewPointsHome],Table2[GameDate], "&lt;=" &amp; $A93, Table2[HomeTeam], V$1)</f>
        <v>0</v>
      </c>
      <c r="W93" s="145">
        <f>SUMIFS(Table2[NewPointsAway],Table2[GameDate], "&lt;=" &amp; $A93, Table2[AwayTeam], W$1)+SUMIFS(Table2[NewPointsHome],Table2[GameDate], "&lt;=" &amp; $A93, Table2[HomeTeam], W$1)</f>
        <v>2</v>
      </c>
      <c r="X93" s="145">
        <f>SUMIFS(Table2[NewPointsAway],Table2[GameDate], "&lt;=" &amp; $A93, Table2[AwayTeam], X$1)+SUMIFS(Table2[NewPointsHome],Table2[GameDate], "&lt;=" &amp; $A93, Table2[HomeTeam], X$1)</f>
        <v>0</v>
      </c>
      <c r="Y93" s="145">
        <f>SUMIFS(Table2[NewPointsAway],Table2[GameDate], "&lt;=" &amp; $A93, Table2[AwayTeam], Y$1)+SUMIFS(Table2[NewPointsHome],Table2[GameDate], "&lt;=" &amp; $A93, Table2[HomeTeam], Y$1)</f>
        <v>0</v>
      </c>
      <c r="Z93" s="145">
        <f>SUMIFS(Table2[NewPointsAway],Table2[GameDate], "&lt;=" &amp; $A93, Table2[AwayTeam], Z$1)+SUMIFS(Table2[NewPointsHome],Table2[GameDate], "&lt;=" &amp; $A93, Table2[HomeTeam], Z$1)</f>
        <v>0</v>
      </c>
      <c r="AA93" s="145">
        <f>SUMIFS(Table2[NewPointsAway],Table2[GameDate], "&lt;=" &amp; $A93, Table2[AwayTeam], AA$1)+SUMIFS(Table2[NewPointsHome],Table2[GameDate], "&lt;=" &amp; $A93, Table2[HomeTeam], AA$1)</f>
        <v>0</v>
      </c>
      <c r="AB93" s="145">
        <f>SUMIFS(Table2[NewPointsAway],Table2[GameDate], "&lt;=" &amp; $A93, Table2[AwayTeam], AB$1)+SUMIFS(Table2[NewPointsHome],Table2[GameDate], "&lt;=" &amp; $A93, Table2[HomeTeam], AB$1)</f>
        <v>2</v>
      </c>
      <c r="AC93" s="145">
        <f>SUMIFS(Table2[NewPointsAway],Table2[GameDate], "&lt;=" &amp; $A93, Table2[AwayTeam], AC$1)+SUMIFS(Table2[NewPointsHome],Table2[GameDate], "&lt;=" &amp; $A93, Table2[HomeTeam], AC$1)</f>
        <v>0</v>
      </c>
      <c r="AD93" s="145">
        <f>SUMIFS(Table2[NewPointsAway],Table2[GameDate], "&lt;=" &amp; $A93, Table2[AwayTeam], AD$1)+SUMIFS(Table2[NewPointsHome],Table2[GameDate], "&lt;=" &amp; $A93, Table2[HomeTeam], AD$1)</f>
        <v>0</v>
      </c>
      <c r="AE93" s="145">
        <f>SUMIFS(Table2[NewPointsAway],Table2[GameDate], "&lt;=" &amp; $A93, Table2[AwayTeam], AE$1)+SUMIFS(Table2[NewPointsHome],Table2[GameDate], "&lt;=" &amp; $A93, Table2[HomeTeam], AE$1)</f>
        <v>1</v>
      </c>
      <c r="AF93" s="145">
        <f>SUMIFS(Table2[NewPointsAway],Table2[GameDate], "&lt;=" &amp; $A93, Table2[AwayTeam], AF$1)+SUMIFS(Table2[NewPointsHome],Table2[GameDate], "&lt;=" &amp; $A93, Table2[HomeTeam], AF$1)</f>
        <v>0</v>
      </c>
      <c r="AG93" s="145">
        <f>SUMIFS(Table2[NewPointsAway],Table2[GameDate], "&lt;=" &amp; $A93, Table2[AwayTeam], AG$1)+SUMIFS(Table2[NewPointsHome],Table2[GameDate], "&lt;=" &amp; $A93, Table2[HomeTeam], AG$1)</f>
        <v>0</v>
      </c>
    </row>
    <row r="94" spans="1:33" x14ac:dyDescent="0.25">
      <c r="A94" s="3">
        <v>46025</v>
      </c>
      <c r="B94" s="145">
        <f>SUMIFS(Table2[NewPointsAway],Table2[GameDate], "&lt;=" &amp; $A94, Table2[AwayTeam], B$1)+SUMIFS(Table2[NewPointsHome],Table2[GameDate], "&lt;=" &amp; $A94, Table2[HomeTeam], B$1)</f>
        <v>0</v>
      </c>
      <c r="C94" s="145">
        <f>SUMIFS(Table2[NewPointsAway],Table2[GameDate], "&lt;=" &amp; $A94, Table2[AwayTeam], C$1)+SUMIFS(Table2[NewPointsHome],Table2[GameDate], "&lt;=" &amp; $A94, Table2[HomeTeam], C$1)</f>
        <v>2</v>
      </c>
      <c r="D94" s="145">
        <f>SUMIFS(Table2[NewPointsAway],Table2[GameDate], "&lt;=" &amp; $A94, Table2[AwayTeam], D$1)+SUMIFS(Table2[NewPointsHome],Table2[GameDate], "&lt;=" &amp; $A94, Table2[HomeTeam], D$1)</f>
        <v>0</v>
      </c>
      <c r="E94" s="145">
        <f>SUMIFS(Table2[NewPointsAway],Table2[GameDate], "&lt;=" &amp; $A94, Table2[AwayTeam], E$1)+SUMIFS(Table2[NewPointsHome],Table2[GameDate], "&lt;=" &amp; $A94, Table2[HomeTeam], E$1)</f>
        <v>0</v>
      </c>
      <c r="F94" s="145">
        <f>SUMIFS(Table2[NewPointsAway],Table2[GameDate], "&lt;=" &amp; $A94, Table2[AwayTeam], F$1)+SUMIFS(Table2[NewPointsHome],Table2[GameDate], "&lt;=" &amp; $A94, Table2[HomeTeam], F$1)</f>
        <v>0</v>
      </c>
      <c r="G94" s="145">
        <f>SUMIFS(Table2[NewPointsAway],Table2[GameDate], "&lt;=" &amp; $A94, Table2[AwayTeam], G$1)+SUMIFS(Table2[NewPointsHome],Table2[GameDate], "&lt;=" &amp; $A94, Table2[HomeTeam], G$1)</f>
        <v>2</v>
      </c>
      <c r="H94" s="145">
        <f>SUMIFS(Table2[NewPointsAway],Table2[GameDate], "&lt;=" &amp; $A94, Table2[AwayTeam], H$1)+SUMIFS(Table2[NewPointsHome],Table2[GameDate], "&lt;=" &amp; $A94, Table2[HomeTeam], H$1)</f>
        <v>0</v>
      </c>
      <c r="I94" s="145">
        <f>SUMIFS(Table2[NewPointsAway],Table2[GameDate], "&lt;=" &amp; $A94, Table2[AwayTeam], I$1)+SUMIFS(Table2[NewPointsHome],Table2[GameDate], "&lt;=" &amp; $A94, Table2[HomeTeam], I$1)</f>
        <v>2</v>
      </c>
      <c r="J94" s="145">
        <f>SUMIFS(Table2[NewPointsAway],Table2[GameDate], "&lt;=" &amp; $A94, Table2[AwayTeam], J$1)+SUMIFS(Table2[NewPointsHome],Table2[GameDate], "&lt;=" &amp; $A94, Table2[HomeTeam], J$1)</f>
        <v>0</v>
      </c>
      <c r="K94" s="145">
        <f>SUMIFS(Table2[NewPointsAway],Table2[GameDate], "&lt;=" &amp; $A94, Table2[AwayTeam], K$1)+SUMIFS(Table2[NewPointsHome],Table2[GameDate], "&lt;=" &amp; $A94, Table2[HomeTeam], K$1)</f>
        <v>0</v>
      </c>
      <c r="L94" s="145">
        <f>SUMIFS(Table2[NewPointsAway],Table2[GameDate], "&lt;=" &amp; $A94, Table2[AwayTeam], L$1)+SUMIFS(Table2[NewPointsHome],Table2[GameDate], "&lt;=" &amp; $A94, Table2[HomeTeam], L$1)</f>
        <v>1</v>
      </c>
      <c r="M94" s="145">
        <f>SUMIFS(Table2[NewPointsAway],Table2[GameDate], "&lt;=" &amp; $A94, Table2[AwayTeam], M$1)+SUMIFS(Table2[NewPointsHome],Table2[GameDate], "&lt;=" &amp; $A94, Table2[HomeTeam], M$1)</f>
        <v>2</v>
      </c>
      <c r="N94" s="145">
        <f>SUMIFS(Table2[NewPointsAway],Table2[GameDate], "&lt;=" &amp; $A94, Table2[AwayTeam], N$1)+SUMIFS(Table2[NewPointsHome],Table2[GameDate], "&lt;=" &amp; $A94, Table2[HomeTeam], N$1)</f>
        <v>2</v>
      </c>
      <c r="O94" s="145">
        <f>SUMIFS(Table2[NewPointsAway],Table2[GameDate], "&lt;=" &amp; $A94, Table2[AwayTeam], O$1)+SUMIFS(Table2[NewPointsHome],Table2[GameDate], "&lt;=" &amp; $A94, Table2[HomeTeam], O$1)</f>
        <v>0</v>
      </c>
      <c r="P94" s="145">
        <f>SUMIFS(Table2[NewPointsAway],Table2[GameDate], "&lt;=" &amp; $A94, Table2[AwayTeam], P$1)+SUMIFS(Table2[NewPointsHome],Table2[GameDate], "&lt;=" &amp; $A94, Table2[HomeTeam], P$1)</f>
        <v>0</v>
      </c>
      <c r="Q94" s="145">
        <f>SUMIFS(Table2[NewPointsAway],Table2[GameDate], "&lt;=" &amp; $A94, Table2[AwayTeam], Q$1)+SUMIFS(Table2[NewPointsHome],Table2[GameDate], "&lt;=" &amp; $A94, Table2[HomeTeam], Q$1)</f>
        <v>0</v>
      </c>
      <c r="R94" s="145">
        <f>SUMIFS(Table2[NewPointsAway],Table2[GameDate], "&lt;=" &amp; $A94, Table2[AwayTeam], R$1)+SUMIFS(Table2[NewPointsHome],Table2[GameDate], "&lt;=" &amp; $A94, Table2[HomeTeam], R$1)</f>
        <v>0</v>
      </c>
      <c r="S94" s="145">
        <f>SUMIFS(Table2[NewPointsAway],Table2[GameDate], "&lt;=" &amp; $A94, Table2[AwayTeam], S$1)+SUMIFS(Table2[NewPointsHome],Table2[GameDate], "&lt;=" &amp; $A94, Table2[HomeTeam], S$1)</f>
        <v>0</v>
      </c>
      <c r="T94" s="145">
        <f>SUMIFS(Table2[NewPointsAway],Table2[GameDate], "&lt;=" &amp; $A94, Table2[AwayTeam], T$1)+SUMIFS(Table2[NewPointsHome],Table2[GameDate], "&lt;=" &amp; $A94, Table2[HomeTeam], T$1)</f>
        <v>0</v>
      </c>
      <c r="U94" s="145">
        <f>SUMIFS(Table2[NewPointsAway],Table2[GameDate], "&lt;=" &amp; $A94, Table2[AwayTeam], U$1)+SUMIFS(Table2[NewPointsHome],Table2[GameDate], "&lt;=" &amp; $A94, Table2[HomeTeam], U$1)</f>
        <v>0</v>
      </c>
      <c r="V94" s="145">
        <f>SUMIFS(Table2[NewPointsAway],Table2[GameDate], "&lt;=" &amp; $A94, Table2[AwayTeam], V$1)+SUMIFS(Table2[NewPointsHome],Table2[GameDate], "&lt;=" &amp; $A94, Table2[HomeTeam], V$1)</f>
        <v>0</v>
      </c>
      <c r="W94" s="145">
        <f>SUMIFS(Table2[NewPointsAway],Table2[GameDate], "&lt;=" &amp; $A94, Table2[AwayTeam], W$1)+SUMIFS(Table2[NewPointsHome],Table2[GameDate], "&lt;=" &amp; $A94, Table2[HomeTeam], W$1)</f>
        <v>2</v>
      </c>
      <c r="X94" s="145">
        <f>SUMIFS(Table2[NewPointsAway],Table2[GameDate], "&lt;=" &amp; $A94, Table2[AwayTeam], X$1)+SUMIFS(Table2[NewPointsHome],Table2[GameDate], "&lt;=" &amp; $A94, Table2[HomeTeam], X$1)</f>
        <v>0</v>
      </c>
      <c r="Y94" s="145">
        <f>SUMIFS(Table2[NewPointsAway],Table2[GameDate], "&lt;=" &amp; $A94, Table2[AwayTeam], Y$1)+SUMIFS(Table2[NewPointsHome],Table2[GameDate], "&lt;=" &amp; $A94, Table2[HomeTeam], Y$1)</f>
        <v>0</v>
      </c>
      <c r="Z94" s="145">
        <f>SUMIFS(Table2[NewPointsAway],Table2[GameDate], "&lt;=" &amp; $A94, Table2[AwayTeam], Z$1)+SUMIFS(Table2[NewPointsHome],Table2[GameDate], "&lt;=" &amp; $A94, Table2[HomeTeam], Z$1)</f>
        <v>0</v>
      </c>
      <c r="AA94" s="145">
        <f>SUMIFS(Table2[NewPointsAway],Table2[GameDate], "&lt;=" &amp; $A94, Table2[AwayTeam], AA$1)+SUMIFS(Table2[NewPointsHome],Table2[GameDate], "&lt;=" &amp; $A94, Table2[HomeTeam], AA$1)</f>
        <v>0</v>
      </c>
      <c r="AB94" s="145">
        <f>SUMIFS(Table2[NewPointsAway],Table2[GameDate], "&lt;=" &amp; $A94, Table2[AwayTeam], AB$1)+SUMIFS(Table2[NewPointsHome],Table2[GameDate], "&lt;=" &amp; $A94, Table2[HomeTeam], AB$1)</f>
        <v>2</v>
      </c>
      <c r="AC94" s="145">
        <f>SUMIFS(Table2[NewPointsAway],Table2[GameDate], "&lt;=" &amp; $A94, Table2[AwayTeam], AC$1)+SUMIFS(Table2[NewPointsHome],Table2[GameDate], "&lt;=" &amp; $A94, Table2[HomeTeam], AC$1)</f>
        <v>0</v>
      </c>
      <c r="AD94" s="145">
        <f>SUMIFS(Table2[NewPointsAway],Table2[GameDate], "&lt;=" &amp; $A94, Table2[AwayTeam], AD$1)+SUMIFS(Table2[NewPointsHome],Table2[GameDate], "&lt;=" &amp; $A94, Table2[HomeTeam], AD$1)</f>
        <v>0</v>
      </c>
      <c r="AE94" s="145">
        <f>SUMIFS(Table2[NewPointsAway],Table2[GameDate], "&lt;=" &amp; $A94, Table2[AwayTeam], AE$1)+SUMIFS(Table2[NewPointsHome],Table2[GameDate], "&lt;=" &amp; $A94, Table2[HomeTeam], AE$1)</f>
        <v>1</v>
      </c>
      <c r="AF94" s="145">
        <f>SUMIFS(Table2[NewPointsAway],Table2[GameDate], "&lt;=" &amp; $A94, Table2[AwayTeam], AF$1)+SUMIFS(Table2[NewPointsHome],Table2[GameDate], "&lt;=" &amp; $A94, Table2[HomeTeam], AF$1)</f>
        <v>0</v>
      </c>
      <c r="AG94" s="145">
        <f>SUMIFS(Table2[NewPointsAway],Table2[GameDate], "&lt;=" &amp; $A94, Table2[AwayTeam], AG$1)+SUMIFS(Table2[NewPointsHome],Table2[GameDate], "&lt;=" &amp; $A94, Table2[HomeTeam], AG$1)</f>
        <v>0</v>
      </c>
    </row>
    <row r="95" spans="1:33" x14ac:dyDescent="0.25">
      <c r="A95" s="3">
        <v>46026</v>
      </c>
      <c r="B95" s="145">
        <f>SUMIFS(Table2[NewPointsAway],Table2[GameDate], "&lt;=" &amp; $A95, Table2[AwayTeam], B$1)+SUMIFS(Table2[NewPointsHome],Table2[GameDate], "&lt;=" &amp; $A95, Table2[HomeTeam], B$1)</f>
        <v>0</v>
      </c>
      <c r="C95" s="145">
        <f>SUMIFS(Table2[NewPointsAway],Table2[GameDate], "&lt;=" &amp; $A95, Table2[AwayTeam], C$1)+SUMIFS(Table2[NewPointsHome],Table2[GameDate], "&lt;=" &amp; $A95, Table2[HomeTeam], C$1)</f>
        <v>2</v>
      </c>
      <c r="D95" s="145">
        <f>SUMIFS(Table2[NewPointsAway],Table2[GameDate], "&lt;=" &amp; $A95, Table2[AwayTeam], D$1)+SUMIFS(Table2[NewPointsHome],Table2[GameDate], "&lt;=" &amp; $A95, Table2[HomeTeam], D$1)</f>
        <v>0</v>
      </c>
      <c r="E95" s="145">
        <f>SUMIFS(Table2[NewPointsAway],Table2[GameDate], "&lt;=" &amp; $A95, Table2[AwayTeam], E$1)+SUMIFS(Table2[NewPointsHome],Table2[GameDate], "&lt;=" &amp; $A95, Table2[HomeTeam], E$1)</f>
        <v>0</v>
      </c>
      <c r="F95" s="145">
        <f>SUMIFS(Table2[NewPointsAway],Table2[GameDate], "&lt;=" &amp; $A95, Table2[AwayTeam], F$1)+SUMIFS(Table2[NewPointsHome],Table2[GameDate], "&lt;=" &amp; $A95, Table2[HomeTeam], F$1)</f>
        <v>0</v>
      </c>
      <c r="G95" s="145">
        <f>SUMIFS(Table2[NewPointsAway],Table2[GameDate], "&lt;=" &amp; $A95, Table2[AwayTeam], G$1)+SUMIFS(Table2[NewPointsHome],Table2[GameDate], "&lt;=" &amp; $A95, Table2[HomeTeam], G$1)</f>
        <v>2</v>
      </c>
      <c r="H95" s="145">
        <f>SUMIFS(Table2[NewPointsAway],Table2[GameDate], "&lt;=" &amp; $A95, Table2[AwayTeam], H$1)+SUMIFS(Table2[NewPointsHome],Table2[GameDate], "&lt;=" &amp; $A95, Table2[HomeTeam], H$1)</f>
        <v>0</v>
      </c>
      <c r="I95" s="145">
        <f>SUMIFS(Table2[NewPointsAway],Table2[GameDate], "&lt;=" &amp; $A95, Table2[AwayTeam], I$1)+SUMIFS(Table2[NewPointsHome],Table2[GameDate], "&lt;=" &amp; $A95, Table2[HomeTeam], I$1)</f>
        <v>2</v>
      </c>
      <c r="J95" s="145">
        <f>SUMIFS(Table2[NewPointsAway],Table2[GameDate], "&lt;=" &amp; $A95, Table2[AwayTeam], J$1)+SUMIFS(Table2[NewPointsHome],Table2[GameDate], "&lt;=" &amp; $A95, Table2[HomeTeam], J$1)</f>
        <v>0</v>
      </c>
      <c r="K95" s="145">
        <f>SUMIFS(Table2[NewPointsAway],Table2[GameDate], "&lt;=" &amp; $A95, Table2[AwayTeam], K$1)+SUMIFS(Table2[NewPointsHome],Table2[GameDate], "&lt;=" &amp; $A95, Table2[HomeTeam], K$1)</f>
        <v>0</v>
      </c>
      <c r="L95" s="145">
        <f>SUMIFS(Table2[NewPointsAway],Table2[GameDate], "&lt;=" &amp; $A95, Table2[AwayTeam], L$1)+SUMIFS(Table2[NewPointsHome],Table2[GameDate], "&lt;=" &amp; $A95, Table2[HomeTeam], L$1)</f>
        <v>1</v>
      </c>
      <c r="M95" s="145">
        <f>SUMIFS(Table2[NewPointsAway],Table2[GameDate], "&lt;=" &amp; $A95, Table2[AwayTeam], M$1)+SUMIFS(Table2[NewPointsHome],Table2[GameDate], "&lt;=" &amp; $A95, Table2[HomeTeam], M$1)</f>
        <v>2</v>
      </c>
      <c r="N95" s="145">
        <f>SUMIFS(Table2[NewPointsAway],Table2[GameDate], "&lt;=" &amp; $A95, Table2[AwayTeam], N$1)+SUMIFS(Table2[NewPointsHome],Table2[GameDate], "&lt;=" &amp; $A95, Table2[HomeTeam], N$1)</f>
        <v>2</v>
      </c>
      <c r="O95" s="145">
        <f>SUMIFS(Table2[NewPointsAway],Table2[GameDate], "&lt;=" &amp; $A95, Table2[AwayTeam], O$1)+SUMIFS(Table2[NewPointsHome],Table2[GameDate], "&lt;=" &amp; $A95, Table2[HomeTeam], O$1)</f>
        <v>0</v>
      </c>
      <c r="P95" s="145">
        <f>SUMIFS(Table2[NewPointsAway],Table2[GameDate], "&lt;=" &amp; $A95, Table2[AwayTeam], P$1)+SUMIFS(Table2[NewPointsHome],Table2[GameDate], "&lt;=" &amp; $A95, Table2[HomeTeam], P$1)</f>
        <v>0</v>
      </c>
      <c r="Q95" s="145">
        <f>SUMIFS(Table2[NewPointsAway],Table2[GameDate], "&lt;=" &amp; $A95, Table2[AwayTeam], Q$1)+SUMIFS(Table2[NewPointsHome],Table2[GameDate], "&lt;=" &amp; $A95, Table2[HomeTeam], Q$1)</f>
        <v>0</v>
      </c>
      <c r="R95" s="145">
        <f>SUMIFS(Table2[NewPointsAway],Table2[GameDate], "&lt;=" &amp; $A95, Table2[AwayTeam], R$1)+SUMIFS(Table2[NewPointsHome],Table2[GameDate], "&lt;=" &amp; $A95, Table2[HomeTeam], R$1)</f>
        <v>0</v>
      </c>
      <c r="S95" s="145">
        <f>SUMIFS(Table2[NewPointsAway],Table2[GameDate], "&lt;=" &amp; $A95, Table2[AwayTeam], S$1)+SUMIFS(Table2[NewPointsHome],Table2[GameDate], "&lt;=" &amp; $A95, Table2[HomeTeam], S$1)</f>
        <v>0</v>
      </c>
      <c r="T95" s="145">
        <f>SUMIFS(Table2[NewPointsAway],Table2[GameDate], "&lt;=" &amp; $A95, Table2[AwayTeam], T$1)+SUMIFS(Table2[NewPointsHome],Table2[GameDate], "&lt;=" &amp; $A95, Table2[HomeTeam], T$1)</f>
        <v>0</v>
      </c>
      <c r="U95" s="145">
        <f>SUMIFS(Table2[NewPointsAway],Table2[GameDate], "&lt;=" &amp; $A95, Table2[AwayTeam], U$1)+SUMIFS(Table2[NewPointsHome],Table2[GameDate], "&lt;=" &amp; $A95, Table2[HomeTeam], U$1)</f>
        <v>0</v>
      </c>
      <c r="V95" s="145">
        <f>SUMIFS(Table2[NewPointsAway],Table2[GameDate], "&lt;=" &amp; $A95, Table2[AwayTeam], V$1)+SUMIFS(Table2[NewPointsHome],Table2[GameDate], "&lt;=" &amp; $A95, Table2[HomeTeam], V$1)</f>
        <v>0</v>
      </c>
      <c r="W95" s="145">
        <f>SUMIFS(Table2[NewPointsAway],Table2[GameDate], "&lt;=" &amp; $A95, Table2[AwayTeam], W$1)+SUMIFS(Table2[NewPointsHome],Table2[GameDate], "&lt;=" &amp; $A95, Table2[HomeTeam], W$1)</f>
        <v>2</v>
      </c>
      <c r="X95" s="145">
        <f>SUMIFS(Table2[NewPointsAway],Table2[GameDate], "&lt;=" &amp; $A95, Table2[AwayTeam], X$1)+SUMIFS(Table2[NewPointsHome],Table2[GameDate], "&lt;=" &amp; $A95, Table2[HomeTeam], X$1)</f>
        <v>0</v>
      </c>
      <c r="Y95" s="145">
        <f>SUMIFS(Table2[NewPointsAway],Table2[GameDate], "&lt;=" &amp; $A95, Table2[AwayTeam], Y$1)+SUMIFS(Table2[NewPointsHome],Table2[GameDate], "&lt;=" &amp; $A95, Table2[HomeTeam], Y$1)</f>
        <v>0</v>
      </c>
      <c r="Z95" s="145">
        <f>SUMIFS(Table2[NewPointsAway],Table2[GameDate], "&lt;=" &amp; $A95, Table2[AwayTeam], Z$1)+SUMIFS(Table2[NewPointsHome],Table2[GameDate], "&lt;=" &amp; $A95, Table2[HomeTeam], Z$1)</f>
        <v>0</v>
      </c>
      <c r="AA95" s="145">
        <f>SUMIFS(Table2[NewPointsAway],Table2[GameDate], "&lt;=" &amp; $A95, Table2[AwayTeam], AA$1)+SUMIFS(Table2[NewPointsHome],Table2[GameDate], "&lt;=" &amp; $A95, Table2[HomeTeam], AA$1)</f>
        <v>0</v>
      </c>
      <c r="AB95" s="145">
        <f>SUMIFS(Table2[NewPointsAway],Table2[GameDate], "&lt;=" &amp; $A95, Table2[AwayTeam], AB$1)+SUMIFS(Table2[NewPointsHome],Table2[GameDate], "&lt;=" &amp; $A95, Table2[HomeTeam], AB$1)</f>
        <v>2</v>
      </c>
      <c r="AC95" s="145">
        <f>SUMIFS(Table2[NewPointsAway],Table2[GameDate], "&lt;=" &amp; $A95, Table2[AwayTeam], AC$1)+SUMIFS(Table2[NewPointsHome],Table2[GameDate], "&lt;=" &amp; $A95, Table2[HomeTeam], AC$1)</f>
        <v>0</v>
      </c>
      <c r="AD95" s="145">
        <f>SUMIFS(Table2[NewPointsAway],Table2[GameDate], "&lt;=" &amp; $A95, Table2[AwayTeam], AD$1)+SUMIFS(Table2[NewPointsHome],Table2[GameDate], "&lt;=" &amp; $A95, Table2[HomeTeam], AD$1)</f>
        <v>0</v>
      </c>
      <c r="AE95" s="145">
        <f>SUMIFS(Table2[NewPointsAway],Table2[GameDate], "&lt;=" &amp; $A95, Table2[AwayTeam], AE$1)+SUMIFS(Table2[NewPointsHome],Table2[GameDate], "&lt;=" &amp; $A95, Table2[HomeTeam], AE$1)</f>
        <v>1</v>
      </c>
      <c r="AF95" s="145">
        <f>SUMIFS(Table2[NewPointsAway],Table2[GameDate], "&lt;=" &amp; $A95, Table2[AwayTeam], AF$1)+SUMIFS(Table2[NewPointsHome],Table2[GameDate], "&lt;=" &amp; $A95, Table2[HomeTeam], AF$1)</f>
        <v>0</v>
      </c>
      <c r="AG95" s="145">
        <f>SUMIFS(Table2[NewPointsAway],Table2[GameDate], "&lt;=" &amp; $A95, Table2[AwayTeam], AG$1)+SUMIFS(Table2[NewPointsHome],Table2[GameDate], "&lt;=" &amp; $A95, Table2[HomeTeam], AG$1)</f>
        <v>0</v>
      </c>
    </row>
    <row r="96" spans="1:33" x14ac:dyDescent="0.25">
      <c r="A96" s="3">
        <v>46027</v>
      </c>
      <c r="B96" s="145">
        <f>SUMIFS(Table2[NewPointsAway],Table2[GameDate], "&lt;=" &amp; $A96, Table2[AwayTeam], B$1)+SUMIFS(Table2[NewPointsHome],Table2[GameDate], "&lt;=" &amp; $A96, Table2[HomeTeam], B$1)</f>
        <v>0</v>
      </c>
      <c r="C96" s="145">
        <f>SUMIFS(Table2[NewPointsAway],Table2[GameDate], "&lt;=" &amp; $A96, Table2[AwayTeam], C$1)+SUMIFS(Table2[NewPointsHome],Table2[GameDate], "&lt;=" &amp; $A96, Table2[HomeTeam], C$1)</f>
        <v>2</v>
      </c>
      <c r="D96" s="145">
        <f>SUMIFS(Table2[NewPointsAway],Table2[GameDate], "&lt;=" &amp; $A96, Table2[AwayTeam], D$1)+SUMIFS(Table2[NewPointsHome],Table2[GameDate], "&lt;=" &amp; $A96, Table2[HomeTeam], D$1)</f>
        <v>0</v>
      </c>
      <c r="E96" s="145">
        <f>SUMIFS(Table2[NewPointsAway],Table2[GameDate], "&lt;=" &amp; $A96, Table2[AwayTeam], E$1)+SUMIFS(Table2[NewPointsHome],Table2[GameDate], "&lt;=" &amp; $A96, Table2[HomeTeam], E$1)</f>
        <v>0</v>
      </c>
      <c r="F96" s="145">
        <f>SUMIFS(Table2[NewPointsAway],Table2[GameDate], "&lt;=" &amp; $A96, Table2[AwayTeam], F$1)+SUMIFS(Table2[NewPointsHome],Table2[GameDate], "&lt;=" &amp; $A96, Table2[HomeTeam], F$1)</f>
        <v>0</v>
      </c>
      <c r="G96" s="145">
        <f>SUMIFS(Table2[NewPointsAway],Table2[GameDate], "&lt;=" &amp; $A96, Table2[AwayTeam], G$1)+SUMIFS(Table2[NewPointsHome],Table2[GameDate], "&lt;=" &amp; $A96, Table2[HomeTeam], G$1)</f>
        <v>2</v>
      </c>
      <c r="H96" s="145">
        <f>SUMIFS(Table2[NewPointsAway],Table2[GameDate], "&lt;=" &amp; $A96, Table2[AwayTeam], H$1)+SUMIFS(Table2[NewPointsHome],Table2[GameDate], "&lt;=" &amp; $A96, Table2[HomeTeam], H$1)</f>
        <v>0</v>
      </c>
      <c r="I96" s="145">
        <f>SUMIFS(Table2[NewPointsAway],Table2[GameDate], "&lt;=" &amp; $A96, Table2[AwayTeam], I$1)+SUMIFS(Table2[NewPointsHome],Table2[GameDate], "&lt;=" &amp; $A96, Table2[HomeTeam], I$1)</f>
        <v>2</v>
      </c>
      <c r="J96" s="145">
        <f>SUMIFS(Table2[NewPointsAway],Table2[GameDate], "&lt;=" &amp; $A96, Table2[AwayTeam], J$1)+SUMIFS(Table2[NewPointsHome],Table2[GameDate], "&lt;=" &amp; $A96, Table2[HomeTeam], J$1)</f>
        <v>0</v>
      </c>
      <c r="K96" s="145">
        <f>SUMIFS(Table2[NewPointsAway],Table2[GameDate], "&lt;=" &amp; $A96, Table2[AwayTeam], K$1)+SUMIFS(Table2[NewPointsHome],Table2[GameDate], "&lt;=" &amp; $A96, Table2[HomeTeam], K$1)</f>
        <v>0</v>
      </c>
      <c r="L96" s="145">
        <f>SUMIFS(Table2[NewPointsAway],Table2[GameDate], "&lt;=" &amp; $A96, Table2[AwayTeam], L$1)+SUMIFS(Table2[NewPointsHome],Table2[GameDate], "&lt;=" &amp; $A96, Table2[HomeTeam], L$1)</f>
        <v>1</v>
      </c>
      <c r="M96" s="145">
        <f>SUMIFS(Table2[NewPointsAway],Table2[GameDate], "&lt;=" &amp; $A96, Table2[AwayTeam], M$1)+SUMIFS(Table2[NewPointsHome],Table2[GameDate], "&lt;=" &amp; $A96, Table2[HomeTeam], M$1)</f>
        <v>2</v>
      </c>
      <c r="N96" s="145">
        <f>SUMIFS(Table2[NewPointsAway],Table2[GameDate], "&lt;=" &amp; $A96, Table2[AwayTeam], N$1)+SUMIFS(Table2[NewPointsHome],Table2[GameDate], "&lt;=" &amp; $A96, Table2[HomeTeam], N$1)</f>
        <v>2</v>
      </c>
      <c r="O96" s="145">
        <f>SUMIFS(Table2[NewPointsAway],Table2[GameDate], "&lt;=" &amp; $A96, Table2[AwayTeam], O$1)+SUMIFS(Table2[NewPointsHome],Table2[GameDate], "&lt;=" &amp; $A96, Table2[HomeTeam], O$1)</f>
        <v>0</v>
      </c>
      <c r="P96" s="145">
        <f>SUMIFS(Table2[NewPointsAway],Table2[GameDate], "&lt;=" &amp; $A96, Table2[AwayTeam], P$1)+SUMIFS(Table2[NewPointsHome],Table2[GameDate], "&lt;=" &amp; $A96, Table2[HomeTeam], P$1)</f>
        <v>0</v>
      </c>
      <c r="Q96" s="145">
        <f>SUMIFS(Table2[NewPointsAway],Table2[GameDate], "&lt;=" &amp; $A96, Table2[AwayTeam], Q$1)+SUMIFS(Table2[NewPointsHome],Table2[GameDate], "&lt;=" &amp; $A96, Table2[HomeTeam], Q$1)</f>
        <v>0</v>
      </c>
      <c r="R96" s="145">
        <f>SUMIFS(Table2[NewPointsAway],Table2[GameDate], "&lt;=" &amp; $A96, Table2[AwayTeam], R$1)+SUMIFS(Table2[NewPointsHome],Table2[GameDate], "&lt;=" &amp; $A96, Table2[HomeTeam], R$1)</f>
        <v>0</v>
      </c>
      <c r="S96" s="145">
        <f>SUMIFS(Table2[NewPointsAway],Table2[GameDate], "&lt;=" &amp; $A96, Table2[AwayTeam], S$1)+SUMIFS(Table2[NewPointsHome],Table2[GameDate], "&lt;=" &amp; $A96, Table2[HomeTeam], S$1)</f>
        <v>0</v>
      </c>
      <c r="T96" s="145">
        <f>SUMIFS(Table2[NewPointsAway],Table2[GameDate], "&lt;=" &amp; $A96, Table2[AwayTeam], T$1)+SUMIFS(Table2[NewPointsHome],Table2[GameDate], "&lt;=" &amp; $A96, Table2[HomeTeam], T$1)</f>
        <v>0</v>
      </c>
      <c r="U96" s="145">
        <f>SUMIFS(Table2[NewPointsAway],Table2[GameDate], "&lt;=" &amp; $A96, Table2[AwayTeam], U$1)+SUMIFS(Table2[NewPointsHome],Table2[GameDate], "&lt;=" &amp; $A96, Table2[HomeTeam], U$1)</f>
        <v>0</v>
      </c>
      <c r="V96" s="145">
        <f>SUMIFS(Table2[NewPointsAway],Table2[GameDate], "&lt;=" &amp; $A96, Table2[AwayTeam], V$1)+SUMIFS(Table2[NewPointsHome],Table2[GameDate], "&lt;=" &amp; $A96, Table2[HomeTeam], V$1)</f>
        <v>0</v>
      </c>
      <c r="W96" s="145">
        <f>SUMIFS(Table2[NewPointsAway],Table2[GameDate], "&lt;=" &amp; $A96, Table2[AwayTeam], W$1)+SUMIFS(Table2[NewPointsHome],Table2[GameDate], "&lt;=" &amp; $A96, Table2[HomeTeam], W$1)</f>
        <v>2</v>
      </c>
      <c r="X96" s="145">
        <f>SUMIFS(Table2[NewPointsAway],Table2[GameDate], "&lt;=" &amp; $A96, Table2[AwayTeam], X$1)+SUMIFS(Table2[NewPointsHome],Table2[GameDate], "&lt;=" &amp; $A96, Table2[HomeTeam], X$1)</f>
        <v>0</v>
      </c>
      <c r="Y96" s="145">
        <f>SUMIFS(Table2[NewPointsAway],Table2[GameDate], "&lt;=" &amp; $A96, Table2[AwayTeam], Y$1)+SUMIFS(Table2[NewPointsHome],Table2[GameDate], "&lt;=" &amp; $A96, Table2[HomeTeam], Y$1)</f>
        <v>0</v>
      </c>
      <c r="Z96" s="145">
        <f>SUMIFS(Table2[NewPointsAway],Table2[GameDate], "&lt;=" &amp; $A96, Table2[AwayTeam], Z$1)+SUMIFS(Table2[NewPointsHome],Table2[GameDate], "&lt;=" &amp; $A96, Table2[HomeTeam], Z$1)</f>
        <v>0</v>
      </c>
      <c r="AA96" s="145">
        <f>SUMIFS(Table2[NewPointsAway],Table2[GameDate], "&lt;=" &amp; $A96, Table2[AwayTeam], AA$1)+SUMIFS(Table2[NewPointsHome],Table2[GameDate], "&lt;=" &amp; $A96, Table2[HomeTeam], AA$1)</f>
        <v>0</v>
      </c>
      <c r="AB96" s="145">
        <f>SUMIFS(Table2[NewPointsAway],Table2[GameDate], "&lt;=" &amp; $A96, Table2[AwayTeam], AB$1)+SUMIFS(Table2[NewPointsHome],Table2[GameDate], "&lt;=" &amp; $A96, Table2[HomeTeam], AB$1)</f>
        <v>2</v>
      </c>
      <c r="AC96" s="145">
        <f>SUMIFS(Table2[NewPointsAway],Table2[GameDate], "&lt;=" &amp; $A96, Table2[AwayTeam], AC$1)+SUMIFS(Table2[NewPointsHome],Table2[GameDate], "&lt;=" &amp; $A96, Table2[HomeTeam], AC$1)</f>
        <v>0</v>
      </c>
      <c r="AD96" s="145">
        <f>SUMIFS(Table2[NewPointsAway],Table2[GameDate], "&lt;=" &amp; $A96, Table2[AwayTeam], AD$1)+SUMIFS(Table2[NewPointsHome],Table2[GameDate], "&lt;=" &amp; $A96, Table2[HomeTeam], AD$1)</f>
        <v>0</v>
      </c>
      <c r="AE96" s="145">
        <f>SUMIFS(Table2[NewPointsAway],Table2[GameDate], "&lt;=" &amp; $A96, Table2[AwayTeam], AE$1)+SUMIFS(Table2[NewPointsHome],Table2[GameDate], "&lt;=" &amp; $A96, Table2[HomeTeam], AE$1)</f>
        <v>1</v>
      </c>
      <c r="AF96" s="145">
        <f>SUMIFS(Table2[NewPointsAway],Table2[GameDate], "&lt;=" &amp; $A96, Table2[AwayTeam], AF$1)+SUMIFS(Table2[NewPointsHome],Table2[GameDate], "&lt;=" &amp; $A96, Table2[HomeTeam], AF$1)</f>
        <v>0</v>
      </c>
      <c r="AG96" s="145">
        <f>SUMIFS(Table2[NewPointsAway],Table2[GameDate], "&lt;=" &amp; $A96, Table2[AwayTeam], AG$1)+SUMIFS(Table2[NewPointsHome],Table2[GameDate], "&lt;=" &amp; $A96, Table2[HomeTeam], AG$1)</f>
        <v>0</v>
      </c>
    </row>
    <row r="97" spans="1:33" x14ac:dyDescent="0.25">
      <c r="A97" s="3">
        <v>46028</v>
      </c>
      <c r="B97" s="145">
        <f>SUMIFS(Table2[NewPointsAway],Table2[GameDate], "&lt;=" &amp; $A97, Table2[AwayTeam], B$1)+SUMIFS(Table2[NewPointsHome],Table2[GameDate], "&lt;=" &amp; $A97, Table2[HomeTeam], B$1)</f>
        <v>0</v>
      </c>
      <c r="C97" s="145">
        <f>SUMIFS(Table2[NewPointsAway],Table2[GameDate], "&lt;=" &amp; $A97, Table2[AwayTeam], C$1)+SUMIFS(Table2[NewPointsHome],Table2[GameDate], "&lt;=" &amp; $A97, Table2[HomeTeam], C$1)</f>
        <v>2</v>
      </c>
      <c r="D97" s="145">
        <f>SUMIFS(Table2[NewPointsAway],Table2[GameDate], "&lt;=" &amp; $A97, Table2[AwayTeam], D$1)+SUMIFS(Table2[NewPointsHome],Table2[GameDate], "&lt;=" &amp; $A97, Table2[HomeTeam], D$1)</f>
        <v>0</v>
      </c>
      <c r="E97" s="145">
        <f>SUMIFS(Table2[NewPointsAway],Table2[GameDate], "&lt;=" &amp; $A97, Table2[AwayTeam], E$1)+SUMIFS(Table2[NewPointsHome],Table2[GameDate], "&lt;=" &amp; $A97, Table2[HomeTeam], E$1)</f>
        <v>0</v>
      </c>
      <c r="F97" s="145">
        <f>SUMIFS(Table2[NewPointsAway],Table2[GameDate], "&lt;=" &amp; $A97, Table2[AwayTeam], F$1)+SUMIFS(Table2[NewPointsHome],Table2[GameDate], "&lt;=" &amp; $A97, Table2[HomeTeam], F$1)</f>
        <v>0</v>
      </c>
      <c r="G97" s="145">
        <f>SUMIFS(Table2[NewPointsAway],Table2[GameDate], "&lt;=" &amp; $A97, Table2[AwayTeam], G$1)+SUMIFS(Table2[NewPointsHome],Table2[GameDate], "&lt;=" &amp; $A97, Table2[HomeTeam], G$1)</f>
        <v>2</v>
      </c>
      <c r="H97" s="145">
        <f>SUMIFS(Table2[NewPointsAway],Table2[GameDate], "&lt;=" &amp; $A97, Table2[AwayTeam], H$1)+SUMIFS(Table2[NewPointsHome],Table2[GameDate], "&lt;=" &amp; $A97, Table2[HomeTeam], H$1)</f>
        <v>0</v>
      </c>
      <c r="I97" s="145">
        <f>SUMIFS(Table2[NewPointsAway],Table2[GameDate], "&lt;=" &amp; $A97, Table2[AwayTeam], I$1)+SUMIFS(Table2[NewPointsHome],Table2[GameDate], "&lt;=" &amp; $A97, Table2[HomeTeam], I$1)</f>
        <v>2</v>
      </c>
      <c r="J97" s="145">
        <f>SUMIFS(Table2[NewPointsAway],Table2[GameDate], "&lt;=" &amp; $A97, Table2[AwayTeam], J$1)+SUMIFS(Table2[NewPointsHome],Table2[GameDate], "&lt;=" &amp; $A97, Table2[HomeTeam], J$1)</f>
        <v>0</v>
      </c>
      <c r="K97" s="145">
        <f>SUMIFS(Table2[NewPointsAway],Table2[GameDate], "&lt;=" &amp; $A97, Table2[AwayTeam], K$1)+SUMIFS(Table2[NewPointsHome],Table2[GameDate], "&lt;=" &amp; $A97, Table2[HomeTeam], K$1)</f>
        <v>0</v>
      </c>
      <c r="L97" s="145">
        <f>SUMIFS(Table2[NewPointsAway],Table2[GameDate], "&lt;=" &amp; $A97, Table2[AwayTeam], L$1)+SUMIFS(Table2[NewPointsHome],Table2[GameDate], "&lt;=" &amp; $A97, Table2[HomeTeam], L$1)</f>
        <v>1</v>
      </c>
      <c r="M97" s="145">
        <f>SUMIFS(Table2[NewPointsAway],Table2[GameDate], "&lt;=" &amp; $A97, Table2[AwayTeam], M$1)+SUMIFS(Table2[NewPointsHome],Table2[GameDate], "&lt;=" &amp; $A97, Table2[HomeTeam], M$1)</f>
        <v>2</v>
      </c>
      <c r="N97" s="145">
        <f>SUMIFS(Table2[NewPointsAway],Table2[GameDate], "&lt;=" &amp; $A97, Table2[AwayTeam], N$1)+SUMIFS(Table2[NewPointsHome],Table2[GameDate], "&lt;=" &amp; $A97, Table2[HomeTeam], N$1)</f>
        <v>2</v>
      </c>
      <c r="O97" s="145">
        <f>SUMIFS(Table2[NewPointsAway],Table2[GameDate], "&lt;=" &amp; $A97, Table2[AwayTeam], O$1)+SUMIFS(Table2[NewPointsHome],Table2[GameDate], "&lt;=" &amp; $A97, Table2[HomeTeam], O$1)</f>
        <v>0</v>
      </c>
      <c r="P97" s="145">
        <f>SUMIFS(Table2[NewPointsAway],Table2[GameDate], "&lt;=" &amp; $A97, Table2[AwayTeam], P$1)+SUMIFS(Table2[NewPointsHome],Table2[GameDate], "&lt;=" &amp; $A97, Table2[HomeTeam], P$1)</f>
        <v>0</v>
      </c>
      <c r="Q97" s="145">
        <f>SUMIFS(Table2[NewPointsAway],Table2[GameDate], "&lt;=" &amp; $A97, Table2[AwayTeam], Q$1)+SUMIFS(Table2[NewPointsHome],Table2[GameDate], "&lt;=" &amp; $A97, Table2[HomeTeam], Q$1)</f>
        <v>0</v>
      </c>
      <c r="R97" s="145">
        <f>SUMIFS(Table2[NewPointsAway],Table2[GameDate], "&lt;=" &amp; $A97, Table2[AwayTeam], R$1)+SUMIFS(Table2[NewPointsHome],Table2[GameDate], "&lt;=" &amp; $A97, Table2[HomeTeam], R$1)</f>
        <v>0</v>
      </c>
      <c r="S97" s="145">
        <f>SUMIFS(Table2[NewPointsAway],Table2[GameDate], "&lt;=" &amp; $A97, Table2[AwayTeam], S$1)+SUMIFS(Table2[NewPointsHome],Table2[GameDate], "&lt;=" &amp; $A97, Table2[HomeTeam], S$1)</f>
        <v>0</v>
      </c>
      <c r="T97" s="145">
        <f>SUMIFS(Table2[NewPointsAway],Table2[GameDate], "&lt;=" &amp; $A97, Table2[AwayTeam], T$1)+SUMIFS(Table2[NewPointsHome],Table2[GameDate], "&lt;=" &amp; $A97, Table2[HomeTeam], T$1)</f>
        <v>0</v>
      </c>
      <c r="U97" s="145">
        <f>SUMIFS(Table2[NewPointsAway],Table2[GameDate], "&lt;=" &amp; $A97, Table2[AwayTeam], U$1)+SUMIFS(Table2[NewPointsHome],Table2[GameDate], "&lt;=" &amp; $A97, Table2[HomeTeam], U$1)</f>
        <v>0</v>
      </c>
      <c r="V97" s="145">
        <f>SUMIFS(Table2[NewPointsAway],Table2[GameDate], "&lt;=" &amp; $A97, Table2[AwayTeam], V$1)+SUMIFS(Table2[NewPointsHome],Table2[GameDate], "&lt;=" &amp; $A97, Table2[HomeTeam], V$1)</f>
        <v>0</v>
      </c>
      <c r="W97" s="145">
        <f>SUMIFS(Table2[NewPointsAway],Table2[GameDate], "&lt;=" &amp; $A97, Table2[AwayTeam], W$1)+SUMIFS(Table2[NewPointsHome],Table2[GameDate], "&lt;=" &amp; $A97, Table2[HomeTeam], W$1)</f>
        <v>2</v>
      </c>
      <c r="X97" s="145">
        <f>SUMIFS(Table2[NewPointsAway],Table2[GameDate], "&lt;=" &amp; $A97, Table2[AwayTeam], X$1)+SUMIFS(Table2[NewPointsHome],Table2[GameDate], "&lt;=" &amp; $A97, Table2[HomeTeam], X$1)</f>
        <v>0</v>
      </c>
      <c r="Y97" s="145">
        <f>SUMIFS(Table2[NewPointsAway],Table2[GameDate], "&lt;=" &amp; $A97, Table2[AwayTeam], Y$1)+SUMIFS(Table2[NewPointsHome],Table2[GameDate], "&lt;=" &amp; $A97, Table2[HomeTeam], Y$1)</f>
        <v>0</v>
      </c>
      <c r="Z97" s="145">
        <f>SUMIFS(Table2[NewPointsAway],Table2[GameDate], "&lt;=" &amp; $A97, Table2[AwayTeam], Z$1)+SUMIFS(Table2[NewPointsHome],Table2[GameDate], "&lt;=" &amp; $A97, Table2[HomeTeam], Z$1)</f>
        <v>0</v>
      </c>
      <c r="AA97" s="145">
        <f>SUMIFS(Table2[NewPointsAway],Table2[GameDate], "&lt;=" &amp; $A97, Table2[AwayTeam], AA$1)+SUMIFS(Table2[NewPointsHome],Table2[GameDate], "&lt;=" &amp; $A97, Table2[HomeTeam], AA$1)</f>
        <v>0</v>
      </c>
      <c r="AB97" s="145">
        <f>SUMIFS(Table2[NewPointsAway],Table2[GameDate], "&lt;=" &amp; $A97, Table2[AwayTeam], AB$1)+SUMIFS(Table2[NewPointsHome],Table2[GameDate], "&lt;=" &amp; $A97, Table2[HomeTeam], AB$1)</f>
        <v>2</v>
      </c>
      <c r="AC97" s="145">
        <f>SUMIFS(Table2[NewPointsAway],Table2[GameDate], "&lt;=" &amp; $A97, Table2[AwayTeam], AC$1)+SUMIFS(Table2[NewPointsHome],Table2[GameDate], "&lt;=" &amp; $A97, Table2[HomeTeam], AC$1)</f>
        <v>0</v>
      </c>
      <c r="AD97" s="145">
        <f>SUMIFS(Table2[NewPointsAway],Table2[GameDate], "&lt;=" &amp; $A97, Table2[AwayTeam], AD$1)+SUMIFS(Table2[NewPointsHome],Table2[GameDate], "&lt;=" &amp; $A97, Table2[HomeTeam], AD$1)</f>
        <v>0</v>
      </c>
      <c r="AE97" s="145">
        <f>SUMIFS(Table2[NewPointsAway],Table2[GameDate], "&lt;=" &amp; $A97, Table2[AwayTeam], AE$1)+SUMIFS(Table2[NewPointsHome],Table2[GameDate], "&lt;=" &amp; $A97, Table2[HomeTeam], AE$1)</f>
        <v>1</v>
      </c>
      <c r="AF97" s="145">
        <f>SUMIFS(Table2[NewPointsAway],Table2[GameDate], "&lt;=" &amp; $A97, Table2[AwayTeam], AF$1)+SUMIFS(Table2[NewPointsHome],Table2[GameDate], "&lt;=" &amp; $A97, Table2[HomeTeam], AF$1)</f>
        <v>0</v>
      </c>
      <c r="AG97" s="145">
        <f>SUMIFS(Table2[NewPointsAway],Table2[GameDate], "&lt;=" &amp; $A97, Table2[AwayTeam], AG$1)+SUMIFS(Table2[NewPointsHome],Table2[GameDate], "&lt;=" &amp; $A97, Table2[HomeTeam], AG$1)</f>
        <v>0</v>
      </c>
    </row>
    <row r="98" spans="1:33" x14ac:dyDescent="0.25">
      <c r="A98" s="3">
        <v>46029</v>
      </c>
      <c r="B98" s="145">
        <f>SUMIFS(Table2[NewPointsAway],Table2[GameDate], "&lt;=" &amp; $A98, Table2[AwayTeam], B$1)+SUMIFS(Table2[NewPointsHome],Table2[GameDate], "&lt;=" &amp; $A98, Table2[HomeTeam], B$1)</f>
        <v>0</v>
      </c>
      <c r="C98" s="145">
        <f>SUMIFS(Table2[NewPointsAway],Table2[GameDate], "&lt;=" &amp; $A98, Table2[AwayTeam], C$1)+SUMIFS(Table2[NewPointsHome],Table2[GameDate], "&lt;=" &amp; $A98, Table2[HomeTeam], C$1)</f>
        <v>2</v>
      </c>
      <c r="D98" s="145">
        <f>SUMIFS(Table2[NewPointsAway],Table2[GameDate], "&lt;=" &amp; $A98, Table2[AwayTeam], D$1)+SUMIFS(Table2[NewPointsHome],Table2[GameDate], "&lt;=" &amp; $A98, Table2[HomeTeam], D$1)</f>
        <v>0</v>
      </c>
      <c r="E98" s="145">
        <f>SUMIFS(Table2[NewPointsAway],Table2[GameDate], "&lt;=" &amp; $A98, Table2[AwayTeam], E$1)+SUMIFS(Table2[NewPointsHome],Table2[GameDate], "&lt;=" &amp; $A98, Table2[HomeTeam], E$1)</f>
        <v>0</v>
      </c>
      <c r="F98" s="145">
        <f>SUMIFS(Table2[NewPointsAway],Table2[GameDate], "&lt;=" &amp; $A98, Table2[AwayTeam], F$1)+SUMIFS(Table2[NewPointsHome],Table2[GameDate], "&lt;=" &amp; $A98, Table2[HomeTeam], F$1)</f>
        <v>0</v>
      </c>
      <c r="G98" s="145">
        <f>SUMIFS(Table2[NewPointsAway],Table2[GameDate], "&lt;=" &amp; $A98, Table2[AwayTeam], G$1)+SUMIFS(Table2[NewPointsHome],Table2[GameDate], "&lt;=" &amp; $A98, Table2[HomeTeam], G$1)</f>
        <v>2</v>
      </c>
      <c r="H98" s="145">
        <f>SUMIFS(Table2[NewPointsAway],Table2[GameDate], "&lt;=" &amp; $A98, Table2[AwayTeam], H$1)+SUMIFS(Table2[NewPointsHome],Table2[GameDate], "&lt;=" &amp; $A98, Table2[HomeTeam], H$1)</f>
        <v>0</v>
      </c>
      <c r="I98" s="145">
        <f>SUMIFS(Table2[NewPointsAway],Table2[GameDate], "&lt;=" &amp; $A98, Table2[AwayTeam], I$1)+SUMIFS(Table2[NewPointsHome],Table2[GameDate], "&lt;=" &amp; $A98, Table2[HomeTeam], I$1)</f>
        <v>2</v>
      </c>
      <c r="J98" s="145">
        <f>SUMIFS(Table2[NewPointsAway],Table2[GameDate], "&lt;=" &amp; $A98, Table2[AwayTeam], J$1)+SUMIFS(Table2[NewPointsHome],Table2[GameDate], "&lt;=" &amp; $A98, Table2[HomeTeam], J$1)</f>
        <v>0</v>
      </c>
      <c r="K98" s="145">
        <f>SUMIFS(Table2[NewPointsAway],Table2[GameDate], "&lt;=" &amp; $A98, Table2[AwayTeam], K$1)+SUMIFS(Table2[NewPointsHome],Table2[GameDate], "&lt;=" &amp; $A98, Table2[HomeTeam], K$1)</f>
        <v>0</v>
      </c>
      <c r="L98" s="145">
        <f>SUMIFS(Table2[NewPointsAway],Table2[GameDate], "&lt;=" &amp; $A98, Table2[AwayTeam], L$1)+SUMIFS(Table2[NewPointsHome],Table2[GameDate], "&lt;=" &amp; $A98, Table2[HomeTeam], L$1)</f>
        <v>1</v>
      </c>
      <c r="M98" s="145">
        <f>SUMIFS(Table2[NewPointsAway],Table2[GameDate], "&lt;=" &amp; $A98, Table2[AwayTeam], M$1)+SUMIFS(Table2[NewPointsHome],Table2[GameDate], "&lt;=" &amp; $A98, Table2[HomeTeam], M$1)</f>
        <v>2</v>
      </c>
      <c r="N98" s="145">
        <f>SUMIFS(Table2[NewPointsAway],Table2[GameDate], "&lt;=" &amp; $A98, Table2[AwayTeam], N$1)+SUMIFS(Table2[NewPointsHome],Table2[GameDate], "&lt;=" &amp; $A98, Table2[HomeTeam], N$1)</f>
        <v>2</v>
      </c>
      <c r="O98" s="145">
        <f>SUMIFS(Table2[NewPointsAway],Table2[GameDate], "&lt;=" &amp; $A98, Table2[AwayTeam], O$1)+SUMIFS(Table2[NewPointsHome],Table2[GameDate], "&lt;=" &amp; $A98, Table2[HomeTeam], O$1)</f>
        <v>0</v>
      </c>
      <c r="P98" s="145">
        <f>SUMIFS(Table2[NewPointsAway],Table2[GameDate], "&lt;=" &amp; $A98, Table2[AwayTeam], P$1)+SUMIFS(Table2[NewPointsHome],Table2[GameDate], "&lt;=" &amp; $A98, Table2[HomeTeam], P$1)</f>
        <v>0</v>
      </c>
      <c r="Q98" s="145">
        <f>SUMIFS(Table2[NewPointsAway],Table2[GameDate], "&lt;=" &amp; $A98, Table2[AwayTeam], Q$1)+SUMIFS(Table2[NewPointsHome],Table2[GameDate], "&lt;=" &amp; $A98, Table2[HomeTeam], Q$1)</f>
        <v>0</v>
      </c>
      <c r="R98" s="145">
        <f>SUMIFS(Table2[NewPointsAway],Table2[GameDate], "&lt;=" &amp; $A98, Table2[AwayTeam], R$1)+SUMIFS(Table2[NewPointsHome],Table2[GameDate], "&lt;=" &amp; $A98, Table2[HomeTeam], R$1)</f>
        <v>0</v>
      </c>
      <c r="S98" s="145">
        <f>SUMIFS(Table2[NewPointsAway],Table2[GameDate], "&lt;=" &amp; $A98, Table2[AwayTeam], S$1)+SUMIFS(Table2[NewPointsHome],Table2[GameDate], "&lt;=" &amp; $A98, Table2[HomeTeam], S$1)</f>
        <v>0</v>
      </c>
      <c r="T98" s="145">
        <f>SUMIFS(Table2[NewPointsAway],Table2[GameDate], "&lt;=" &amp; $A98, Table2[AwayTeam], T$1)+SUMIFS(Table2[NewPointsHome],Table2[GameDate], "&lt;=" &amp; $A98, Table2[HomeTeam], T$1)</f>
        <v>0</v>
      </c>
      <c r="U98" s="145">
        <f>SUMIFS(Table2[NewPointsAway],Table2[GameDate], "&lt;=" &amp; $A98, Table2[AwayTeam], U$1)+SUMIFS(Table2[NewPointsHome],Table2[GameDate], "&lt;=" &amp; $A98, Table2[HomeTeam], U$1)</f>
        <v>0</v>
      </c>
      <c r="V98" s="145">
        <f>SUMIFS(Table2[NewPointsAway],Table2[GameDate], "&lt;=" &amp; $A98, Table2[AwayTeam], V$1)+SUMIFS(Table2[NewPointsHome],Table2[GameDate], "&lt;=" &amp; $A98, Table2[HomeTeam], V$1)</f>
        <v>0</v>
      </c>
      <c r="W98" s="145">
        <f>SUMIFS(Table2[NewPointsAway],Table2[GameDate], "&lt;=" &amp; $A98, Table2[AwayTeam], W$1)+SUMIFS(Table2[NewPointsHome],Table2[GameDate], "&lt;=" &amp; $A98, Table2[HomeTeam], W$1)</f>
        <v>2</v>
      </c>
      <c r="X98" s="145">
        <f>SUMIFS(Table2[NewPointsAway],Table2[GameDate], "&lt;=" &amp; $A98, Table2[AwayTeam], X$1)+SUMIFS(Table2[NewPointsHome],Table2[GameDate], "&lt;=" &amp; $A98, Table2[HomeTeam], X$1)</f>
        <v>0</v>
      </c>
      <c r="Y98" s="145">
        <f>SUMIFS(Table2[NewPointsAway],Table2[GameDate], "&lt;=" &amp; $A98, Table2[AwayTeam], Y$1)+SUMIFS(Table2[NewPointsHome],Table2[GameDate], "&lt;=" &amp; $A98, Table2[HomeTeam], Y$1)</f>
        <v>0</v>
      </c>
      <c r="Z98" s="145">
        <f>SUMIFS(Table2[NewPointsAway],Table2[GameDate], "&lt;=" &amp; $A98, Table2[AwayTeam], Z$1)+SUMIFS(Table2[NewPointsHome],Table2[GameDate], "&lt;=" &amp; $A98, Table2[HomeTeam], Z$1)</f>
        <v>0</v>
      </c>
      <c r="AA98" s="145">
        <f>SUMIFS(Table2[NewPointsAway],Table2[GameDate], "&lt;=" &amp; $A98, Table2[AwayTeam], AA$1)+SUMIFS(Table2[NewPointsHome],Table2[GameDate], "&lt;=" &amp; $A98, Table2[HomeTeam], AA$1)</f>
        <v>0</v>
      </c>
      <c r="AB98" s="145">
        <f>SUMIFS(Table2[NewPointsAway],Table2[GameDate], "&lt;=" &amp; $A98, Table2[AwayTeam], AB$1)+SUMIFS(Table2[NewPointsHome],Table2[GameDate], "&lt;=" &amp; $A98, Table2[HomeTeam], AB$1)</f>
        <v>2</v>
      </c>
      <c r="AC98" s="145">
        <f>SUMIFS(Table2[NewPointsAway],Table2[GameDate], "&lt;=" &amp; $A98, Table2[AwayTeam], AC$1)+SUMIFS(Table2[NewPointsHome],Table2[GameDate], "&lt;=" &amp; $A98, Table2[HomeTeam], AC$1)</f>
        <v>0</v>
      </c>
      <c r="AD98" s="145">
        <f>SUMIFS(Table2[NewPointsAway],Table2[GameDate], "&lt;=" &amp; $A98, Table2[AwayTeam], AD$1)+SUMIFS(Table2[NewPointsHome],Table2[GameDate], "&lt;=" &amp; $A98, Table2[HomeTeam], AD$1)</f>
        <v>0</v>
      </c>
      <c r="AE98" s="145">
        <f>SUMIFS(Table2[NewPointsAway],Table2[GameDate], "&lt;=" &amp; $A98, Table2[AwayTeam], AE$1)+SUMIFS(Table2[NewPointsHome],Table2[GameDate], "&lt;=" &amp; $A98, Table2[HomeTeam], AE$1)</f>
        <v>1</v>
      </c>
      <c r="AF98" s="145">
        <f>SUMIFS(Table2[NewPointsAway],Table2[GameDate], "&lt;=" &amp; $A98, Table2[AwayTeam], AF$1)+SUMIFS(Table2[NewPointsHome],Table2[GameDate], "&lt;=" &amp; $A98, Table2[HomeTeam], AF$1)</f>
        <v>0</v>
      </c>
      <c r="AG98" s="145">
        <f>SUMIFS(Table2[NewPointsAway],Table2[GameDate], "&lt;=" &amp; $A98, Table2[AwayTeam], AG$1)+SUMIFS(Table2[NewPointsHome],Table2[GameDate], "&lt;=" &amp; $A98, Table2[HomeTeam], AG$1)</f>
        <v>0</v>
      </c>
    </row>
    <row r="99" spans="1:33" x14ac:dyDescent="0.25">
      <c r="A99" s="3">
        <v>46030</v>
      </c>
      <c r="B99" s="145">
        <f>SUMIFS(Table2[NewPointsAway],Table2[GameDate], "&lt;=" &amp; $A99, Table2[AwayTeam], B$1)+SUMIFS(Table2[NewPointsHome],Table2[GameDate], "&lt;=" &amp; $A99, Table2[HomeTeam], B$1)</f>
        <v>0</v>
      </c>
      <c r="C99" s="145">
        <f>SUMIFS(Table2[NewPointsAway],Table2[GameDate], "&lt;=" &amp; $A99, Table2[AwayTeam], C$1)+SUMIFS(Table2[NewPointsHome],Table2[GameDate], "&lt;=" &amp; $A99, Table2[HomeTeam], C$1)</f>
        <v>2</v>
      </c>
      <c r="D99" s="145">
        <f>SUMIFS(Table2[NewPointsAway],Table2[GameDate], "&lt;=" &amp; $A99, Table2[AwayTeam], D$1)+SUMIFS(Table2[NewPointsHome],Table2[GameDate], "&lt;=" &amp; $A99, Table2[HomeTeam], D$1)</f>
        <v>0</v>
      </c>
      <c r="E99" s="145">
        <f>SUMIFS(Table2[NewPointsAway],Table2[GameDate], "&lt;=" &amp; $A99, Table2[AwayTeam], E$1)+SUMIFS(Table2[NewPointsHome],Table2[GameDate], "&lt;=" &amp; $A99, Table2[HomeTeam], E$1)</f>
        <v>0</v>
      </c>
      <c r="F99" s="145">
        <f>SUMIFS(Table2[NewPointsAway],Table2[GameDate], "&lt;=" &amp; $A99, Table2[AwayTeam], F$1)+SUMIFS(Table2[NewPointsHome],Table2[GameDate], "&lt;=" &amp; $A99, Table2[HomeTeam], F$1)</f>
        <v>0</v>
      </c>
      <c r="G99" s="145">
        <f>SUMIFS(Table2[NewPointsAway],Table2[GameDate], "&lt;=" &amp; $A99, Table2[AwayTeam], G$1)+SUMIFS(Table2[NewPointsHome],Table2[GameDate], "&lt;=" &amp; $A99, Table2[HomeTeam], G$1)</f>
        <v>2</v>
      </c>
      <c r="H99" s="145">
        <f>SUMIFS(Table2[NewPointsAway],Table2[GameDate], "&lt;=" &amp; $A99, Table2[AwayTeam], H$1)+SUMIFS(Table2[NewPointsHome],Table2[GameDate], "&lt;=" &amp; $A99, Table2[HomeTeam], H$1)</f>
        <v>0</v>
      </c>
      <c r="I99" s="145">
        <f>SUMIFS(Table2[NewPointsAway],Table2[GameDate], "&lt;=" &amp; $A99, Table2[AwayTeam], I$1)+SUMIFS(Table2[NewPointsHome],Table2[GameDate], "&lt;=" &amp; $A99, Table2[HomeTeam], I$1)</f>
        <v>2</v>
      </c>
      <c r="J99" s="145">
        <f>SUMIFS(Table2[NewPointsAway],Table2[GameDate], "&lt;=" &amp; $A99, Table2[AwayTeam], J$1)+SUMIFS(Table2[NewPointsHome],Table2[GameDate], "&lt;=" &amp; $A99, Table2[HomeTeam], J$1)</f>
        <v>0</v>
      </c>
      <c r="K99" s="145">
        <f>SUMIFS(Table2[NewPointsAway],Table2[GameDate], "&lt;=" &amp; $A99, Table2[AwayTeam], K$1)+SUMIFS(Table2[NewPointsHome],Table2[GameDate], "&lt;=" &amp; $A99, Table2[HomeTeam], K$1)</f>
        <v>0</v>
      </c>
      <c r="L99" s="145">
        <f>SUMIFS(Table2[NewPointsAway],Table2[GameDate], "&lt;=" &amp; $A99, Table2[AwayTeam], L$1)+SUMIFS(Table2[NewPointsHome],Table2[GameDate], "&lt;=" &amp; $A99, Table2[HomeTeam], L$1)</f>
        <v>1</v>
      </c>
      <c r="M99" s="145">
        <f>SUMIFS(Table2[NewPointsAway],Table2[GameDate], "&lt;=" &amp; $A99, Table2[AwayTeam], M$1)+SUMIFS(Table2[NewPointsHome],Table2[GameDate], "&lt;=" &amp; $A99, Table2[HomeTeam], M$1)</f>
        <v>2</v>
      </c>
      <c r="N99" s="145">
        <f>SUMIFS(Table2[NewPointsAway],Table2[GameDate], "&lt;=" &amp; $A99, Table2[AwayTeam], N$1)+SUMIFS(Table2[NewPointsHome],Table2[GameDate], "&lt;=" &amp; $A99, Table2[HomeTeam], N$1)</f>
        <v>2</v>
      </c>
      <c r="O99" s="145">
        <f>SUMIFS(Table2[NewPointsAway],Table2[GameDate], "&lt;=" &amp; $A99, Table2[AwayTeam], O$1)+SUMIFS(Table2[NewPointsHome],Table2[GameDate], "&lt;=" &amp; $A99, Table2[HomeTeam], O$1)</f>
        <v>0</v>
      </c>
      <c r="P99" s="145">
        <f>SUMIFS(Table2[NewPointsAway],Table2[GameDate], "&lt;=" &amp; $A99, Table2[AwayTeam], P$1)+SUMIFS(Table2[NewPointsHome],Table2[GameDate], "&lt;=" &amp; $A99, Table2[HomeTeam], P$1)</f>
        <v>0</v>
      </c>
      <c r="Q99" s="145">
        <f>SUMIFS(Table2[NewPointsAway],Table2[GameDate], "&lt;=" &amp; $A99, Table2[AwayTeam], Q$1)+SUMIFS(Table2[NewPointsHome],Table2[GameDate], "&lt;=" &amp; $A99, Table2[HomeTeam], Q$1)</f>
        <v>0</v>
      </c>
      <c r="R99" s="145">
        <f>SUMIFS(Table2[NewPointsAway],Table2[GameDate], "&lt;=" &amp; $A99, Table2[AwayTeam], R$1)+SUMIFS(Table2[NewPointsHome],Table2[GameDate], "&lt;=" &amp; $A99, Table2[HomeTeam], R$1)</f>
        <v>0</v>
      </c>
      <c r="S99" s="145">
        <f>SUMIFS(Table2[NewPointsAway],Table2[GameDate], "&lt;=" &amp; $A99, Table2[AwayTeam], S$1)+SUMIFS(Table2[NewPointsHome],Table2[GameDate], "&lt;=" &amp; $A99, Table2[HomeTeam], S$1)</f>
        <v>0</v>
      </c>
      <c r="T99" s="145">
        <f>SUMIFS(Table2[NewPointsAway],Table2[GameDate], "&lt;=" &amp; $A99, Table2[AwayTeam], T$1)+SUMIFS(Table2[NewPointsHome],Table2[GameDate], "&lt;=" &amp; $A99, Table2[HomeTeam], T$1)</f>
        <v>0</v>
      </c>
      <c r="U99" s="145">
        <f>SUMIFS(Table2[NewPointsAway],Table2[GameDate], "&lt;=" &amp; $A99, Table2[AwayTeam], U$1)+SUMIFS(Table2[NewPointsHome],Table2[GameDate], "&lt;=" &amp; $A99, Table2[HomeTeam], U$1)</f>
        <v>0</v>
      </c>
      <c r="V99" s="145">
        <f>SUMIFS(Table2[NewPointsAway],Table2[GameDate], "&lt;=" &amp; $A99, Table2[AwayTeam], V$1)+SUMIFS(Table2[NewPointsHome],Table2[GameDate], "&lt;=" &amp; $A99, Table2[HomeTeam], V$1)</f>
        <v>0</v>
      </c>
      <c r="W99" s="145">
        <f>SUMIFS(Table2[NewPointsAway],Table2[GameDate], "&lt;=" &amp; $A99, Table2[AwayTeam], W$1)+SUMIFS(Table2[NewPointsHome],Table2[GameDate], "&lt;=" &amp; $A99, Table2[HomeTeam], W$1)</f>
        <v>2</v>
      </c>
      <c r="X99" s="145">
        <f>SUMIFS(Table2[NewPointsAway],Table2[GameDate], "&lt;=" &amp; $A99, Table2[AwayTeam], X$1)+SUMIFS(Table2[NewPointsHome],Table2[GameDate], "&lt;=" &amp; $A99, Table2[HomeTeam], X$1)</f>
        <v>0</v>
      </c>
      <c r="Y99" s="145">
        <f>SUMIFS(Table2[NewPointsAway],Table2[GameDate], "&lt;=" &amp; $A99, Table2[AwayTeam], Y$1)+SUMIFS(Table2[NewPointsHome],Table2[GameDate], "&lt;=" &amp; $A99, Table2[HomeTeam], Y$1)</f>
        <v>0</v>
      </c>
      <c r="Z99" s="145">
        <f>SUMIFS(Table2[NewPointsAway],Table2[GameDate], "&lt;=" &amp; $A99, Table2[AwayTeam], Z$1)+SUMIFS(Table2[NewPointsHome],Table2[GameDate], "&lt;=" &amp; $A99, Table2[HomeTeam], Z$1)</f>
        <v>0</v>
      </c>
      <c r="AA99" s="145">
        <f>SUMIFS(Table2[NewPointsAway],Table2[GameDate], "&lt;=" &amp; $A99, Table2[AwayTeam], AA$1)+SUMIFS(Table2[NewPointsHome],Table2[GameDate], "&lt;=" &amp; $A99, Table2[HomeTeam], AA$1)</f>
        <v>0</v>
      </c>
      <c r="AB99" s="145">
        <f>SUMIFS(Table2[NewPointsAway],Table2[GameDate], "&lt;=" &amp; $A99, Table2[AwayTeam], AB$1)+SUMIFS(Table2[NewPointsHome],Table2[GameDate], "&lt;=" &amp; $A99, Table2[HomeTeam], AB$1)</f>
        <v>2</v>
      </c>
      <c r="AC99" s="145">
        <f>SUMIFS(Table2[NewPointsAway],Table2[GameDate], "&lt;=" &amp; $A99, Table2[AwayTeam], AC$1)+SUMIFS(Table2[NewPointsHome],Table2[GameDate], "&lt;=" &amp; $A99, Table2[HomeTeam], AC$1)</f>
        <v>0</v>
      </c>
      <c r="AD99" s="145">
        <f>SUMIFS(Table2[NewPointsAway],Table2[GameDate], "&lt;=" &amp; $A99, Table2[AwayTeam], AD$1)+SUMIFS(Table2[NewPointsHome],Table2[GameDate], "&lt;=" &amp; $A99, Table2[HomeTeam], AD$1)</f>
        <v>0</v>
      </c>
      <c r="AE99" s="145">
        <f>SUMIFS(Table2[NewPointsAway],Table2[GameDate], "&lt;=" &amp; $A99, Table2[AwayTeam], AE$1)+SUMIFS(Table2[NewPointsHome],Table2[GameDate], "&lt;=" &amp; $A99, Table2[HomeTeam], AE$1)</f>
        <v>1</v>
      </c>
      <c r="AF99" s="145">
        <f>SUMIFS(Table2[NewPointsAway],Table2[GameDate], "&lt;=" &amp; $A99, Table2[AwayTeam], AF$1)+SUMIFS(Table2[NewPointsHome],Table2[GameDate], "&lt;=" &amp; $A99, Table2[HomeTeam], AF$1)</f>
        <v>0</v>
      </c>
      <c r="AG99" s="145">
        <f>SUMIFS(Table2[NewPointsAway],Table2[GameDate], "&lt;=" &amp; $A99, Table2[AwayTeam], AG$1)+SUMIFS(Table2[NewPointsHome],Table2[GameDate], "&lt;=" &amp; $A99, Table2[HomeTeam], AG$1)</f>
        <v>0</v>
      </c>
    </row>
    <row r="100" spans="1:33" x14ac:dyDescent="0.25">
      <c r="A100" s="3">
        <v>46031</v>
      </c>
      <c r="B100" s="145">
        <f>SUMIFS(Table2[NewPointsAway],Table2[GameDate], "&lt;=" &amp; $A100, Table2[AwayTeam], B$1)+SUMIFS(Table2[NewPointsHome],Table2[GameDate], "&lt;=" &amp; $A100, Table2[HomeTeam], B$1)</f>
        <v>0</v>
      </c>
      <c r="C100" s="145">
        <f>SUMIFS(Table2[NewPointsAway],Table2[GameDate], "&lt;=" &amp; $A100, Table2[AwayTeam], C$1)+SUMIFS(Table2[NewPointsHome],Table2[GameDate], "&lt;=" &amp; $A100, Table2[HomeTeam], C$1)</f>
        <v>2</v>
      </c>
      <c r="D100" s="145">
        <f>SUMIFS(Table2[NewPointsAway],Table2[GameDate], "&lt;=" &amp; $A100, Table2[AwayTeam], D$1)+SUMIFS(Table2[NewPointsHome],Table2[GameDate], "&lt;=" &amp; $A100, Table2[HomeTeam], D$1)</f>
        <v>0</v>
      </c>
      <c r="E100" s="145">
        <f>SUMIFS(Table2[NewPointsAway],Table2[GameDate], "&lt;=" &amp; $A100, Table2[AwayTeam], E$1)+SUMIFS(Table2[NewPointsHome],Table2[GameDate], "&lt;=" &amp; $A100, Table2[HomeTeam], E$1)</f>
        <v>0</v>
      </c>
      <c r="F100" s="145">
        <f>SUMIFS(Table2[NewPointsAway],Table2[GameDate], "&lt;=" &amp; $A100, Table2[AwayTeam], F$1)+SUMIFS(Table2[NewPointsHome],Table2[GameDate], "&lt;=" &amp; $A100, Table2[HomeTeam], F$1)</f>
        <v>0</v>
      </c>
      <c r="G100" s="145">
        <f>SUMIFS(Table2[NewPointsAway],Table2[GameDate], "&lt;=" &amp; $A100, Table2[AwayTeam], G$1)+SUMIFS(Table2[NewPointsHome],Table2[GameDate], "&lt;=" &amp; $A100, Table2[HomeTeam], G$1)</f>
        <v>2</v>
      </c>
      <c r="H100" s="145">
        <f>SUMIFS(Table2[NewPointsAway],Table2[GameDate], "&lt;=" &amp; $A100, Table2[AwayTeam], H$1)+SUMIFS(Table2[NewPointsHome],Table2[GameDate], "&lt;=" &amp; $A100, Table2[HomeTeam], H$1)</f>
        <v>0</v>
      </c>
      <c r="I100" s="145">
        <f>SUMIFS(Table2[NewPointsAway],Table2[GameDate], "&lt;=" &amp; $A100, Table2[AwayTeam], I$1)+SUMIFS(Table2[NewPointsHome],Table2[GameDate], "&lt;=" &amp; $A100, Table2[HomeTeam], I$1)</f>
        <v>2</v>
      </c>
      <c r="J100" s="145">
        <f>SUMIFS(Table2[NewPointsAway],Table2[GameDate], "&lt;=" &amp; $A100, Table2[AwayTeam], J$1)+SUMIFS(Table2[NewPointsHome],Table2[GameDate], "&lt;=" &amp; $A100, Table2[HomeTeam], J$1)</f>
        <v>0</v>
      </c>
      <c r="K100" s="145">
        <f>SUMIFS(Table2[NewPointsAway],Table2[GameDate], "&lt;=" &amp; $A100, Table2[AwayTeam], K$1)+SUMIFS(Table2[NewPointsHome],Table2[GameDate], "&lt;=" &amp; $A100, Table2[HomeTeam], K$1)</f>
        <v>0</v>
      </c>
      <c r="L100" s="145">
        <f>SUMIFS(Table2[NewPointsAway],Table2[GameDate], "&lt;=" &amp; $A100, Table2[AwayTeam], L$1)+SUMIFS(Table2[NewPointsHome],Table2[GameDate], "&lt;=" &amp; $A100, Table2[HomeTeam], L$1)</f>
        <v>1</v>
      </c>
      <c r="M100" s="145">
        <f>SUMIFS(Table2[NewPointsAway],Table2[GameDate], "&lt;=" &amp; $A100, Table2[AwayTeam], M$1)+SUMIFS(Table2[NewPointsHome],Table2[GameDate], "&lt;=" &amp; $A100, Table2[HomeTeam], M$1)</f>
        <v>2</v>
      </c>
      <c r="N100" s="145">
        <f>SUMIFS(Table2[NewPointsAway],Table2[GameDate], "&lt;=" &amp; $A100, Table2[AwayTeam], N$1)+SUMIFS(Table2[NewPointsHome],Table2[GameDate], "&lt;=" &amp; $A100, Table2[HomeTeam], N$1)</f>
        <v>2</v>
      </c>
      <c r="O100" s="145">
        <f>SUMIFS(Table2[NewPointsAway],Table2[GameDate], "&lt;=" &amp; $A100, Table2[AwayTeam], O$1)+SUMIFS(Table2[NewPointsHome],Table2[GameDate], "&lt;=" &amp; $A100, Table2[HomeTeam], O$1)</f>
        <v>0</v>
      </c>
      <c r="P100" s="145">
        <f>SUMIFS(Table2[NewPointsAway],Table2[GameDate], "&lt;=" &amp; $A100, Table2[AwayTeam], P$1)+SUMIFS(Table2[NewPointsHome],Table2[GameDate], "&lt;=" &amp; $A100, Table2[HomeTeam], P$1)</f>
        <v>0</v>
      </c>
      <c r="Q100" s="145">
        <f>SUMIFS(Table2[NewPointsAway],Table2[GameDate], "&lt;=" &amp; $A100, Table2[AwayTeam], Q$1)+SUMIFS(Table2[NewPointsHome],Table2[GameDate], "&lt;=" &amp; $A100, Table2[HomeTeam], Q$1)</f>
        <v>0</v>
      </c>
      <c r="R100" s="145">
        <f>SUMIFS(Table2[NewPointsAway],Table2[GameDate], "&lt;=" &amp; $A100, Table2[AwayTeam], R$1)+SUMIFS(Table2[NewPointsHome],Table2[GameDate], "&lt;=" &amp; $A100, Table2[HomeTeam], R$1)</f>
        <v>0</v>
      </c>
      <c r="S100" s="145">
        <f>SUMIFS(Table2[NewPointsAway],Table2[GameDate], "&lt;=" &amp; $A100, Table2[AwayTeam], S$1)+SUMIFS(Table2[NewPointsHome],Table2[GameDate], "&lt;=" &amp; $A100, Table2[HomeTeam], S$1)</f>
        <v>0</v>
      </c>
      <c r="T100" s="145">
        <f>SUMIFS(Table2[NewPointsAway],Table2[GameDate], "&lt;=" &amp; $A100, Table2[AwayTeam], T$1)+SUMIFS(Table2[NewPointsHome],Table2[GameDate], "&lt;=" &amp; $A100, Table2[HomeTeam], T$1)</f>
        <v>0</v>
      </c>
      <c r="U100" s="145">
        <f>SUMIFS(Table2[NewPointsAway],Table2[GameDate], "&lt;=" &amp; $A100, Table2[AwayTeam], U$1)+SUMIFS(Table2[NewPointsHome],Table2[GameDate], "&lt;=" &amp; $A100, Table2[HomeTeam], U$1)</f>
        <v>0</v>
      </c>
      <c r="V100" s="145">
        <f>SUMIFS(Table2[NewPointsAway],Table2[GameDate], "&lt;=" &amp; $A100, Table2[AwayTeam], V$1)+SUMIFS(Table2[NewPointsHome],Table2[GameDate], "&lt;=" &amp; $A100, Table2[HomeTeam], V$1)</f>
        <v>0</v>
      </c>
      <c r="W100" s="145">
        <f>SUMIFS(Table2[NewPointsAway],Table2[GameDate], "&lt;=" &amp; $A100, Table2[AwayTeam], W$1)+SUMIFS(Table2[NewPointsHome],Table2[GameDate], "&lt;=" &amp; $A100, Table2[HomeTeam], W$1)</f>
        <v>2</v>
      </c>
      <c r="X100" s="145">
        <f>SUMIFS(Table2[NewPointsAway],Table2[GameDate], "&lt;=" &amp; $A100, Table2[AwayTeam], X$1)+SUMIFS(Table2[NewPointsHome],Table2[GameDate], "&lt;=" &amp; $A100, Table2[HomeTeam], X$1)</f>
        <v>0</v>
      </c>
      <c r="Y100" s="145">
        <f>SUMIFS(Table2[NewPointsAway],Table2[GameDate], "&lt;=" &amp; $A100, Table2[AwayTeam], Y$1)+SUMIFS(Table2[NewPointsHome],Table2[GameDate], "&lt;=" &amp; $A100, Table2[HomeTeam], Y$1)</f>
        <v>0</v>
      </c>
      <c r="Z100" s="145">
        <f>SUMIFS(Table2[NewPointsAway],Table2[GameDate], "&lt;=" &amp; $A100, Table2[AwayTeam], Z$1)+SUMIFS(Table2[NewPointsHome],Table2[GameDate], "&lt;=" &amp; $A100, Table2[HomeTeam], Z$1)</f>
        <v>0</v>
      </c>
      <c r="AA100" s="145">
        <f>SUMIFS(Table2[NewPointsAway],Table2[GameDate], "&lt;=" &amp; $A100, Table2[AwayTeam], AA$1)+SUMIFS(Table2[NewPointsHome],Table2[GameDate], "&lt;=" &amp; $A100, Table2[HomeTeam], AA$1)</f>
        <v>0</v>
      </c>
      <c r="AB100" s="145">
        <f>SUMIFS(Table2[NewPointsAway],Table2[GameDate], "&lt;=" &amp; $A100, Table2[AwayTeam], AB$1)+SUMIFS(Table2[NewPointsHome],Table2[GameDate], "&lt;=" &amp; $A100, Table2[HomeTeam], AB$1)</f>
        <v>2</v>
      </c>
      <c r="AC100" s="145">
        <f>SUMIFS(Table2[NewPointsAway],Table2[GameDate], "&lt;=" &amp; $A100, Table2[AwayTeam], AC$1)+SUMIFS(Table2[NewPointsHome],Table2[GameDate], "&lt;=" &amp; $A100, Table2[HomeTeam], AC$1)</f>
        <v>0</v>
      </c>
      <c r="AD100" s="145">
        <f>SUMIFS(Table2[NewPointsAway],Table2[GameDate], "&lt;=" &amp; $A100, Table2[AwayTeam], AD$1)+SUMIFS(Table2[NewPointsHome],Table2[GameDate], "&lt;=" &amp; $A100, Table2[HomeTeam], AD$1)</f>
        <v>0</v>
      </c>
      <c r="AE100" s="145">
        <f>SUMIFS(Table2[NewPointsAway],Table2[GameDate], "&lt;=" &amp; $A100, Table2[AwayTeam], AE$1)+SUMIFS(Table2[NewPointsHome],Table2[GameDate], "&lt;=" &amp; $A100, Table2[HomeTeam], AE$1)</f>
        <v>1</v>
      </c>
      <c r="AF100" s="145">
        <f>SUMIFS(Table2[NewPointsAway],Table2[GameDate], "&lt;=" &amp; $A100, Table2[AwayTeam], AF$1)+SUMIFS(Table2[NewPointsHome],Table2[GameDate], "&lt;=" &amp; $A100, Table2[HomeTeam], AF$1)</f>
        <v>0</v>
      </c>
      <c r="AG100" s="145">
        <f>SUMIFS(Table2[NewPointsAway],Table2[GameDate], "&lt;=" &amp; $A100, Table2[AwayTeam], AG$1)+SUMIFS(Table2[NewPointsHome],Table2[GameDate], "&lt;=" &amp; $A100, Table2[HomeTeam], AG$1)</f>
        <v>0</v>
      </c>
    </row>
    <row r="101" spans="1:33" x14ac:dyDescent="0.25">
      <c r="A101" s="3">
        <v>46032</v>
      </c>
      <c r="B101" s="145">
        <f>SUMIFS(Table2[NewPointsAway],Table2[GameDate], "&lt;=" &amp; $A101, Table2[AwayTeam], B$1)+SUMIFS(Table2[NewPointsHome],Table2[GameDate], "&lt;=" &amp; $A101, Table2[HomeTeam], B$1)</f>
        <v>0</v>
      </c>
      <c r="C101" s="145">
        <f>SUMIFS(Table2[NewPointsAway],Table2[GameDate], "&lt;=" &amp; $A101, Table2[AwayTeam], C$1)+SUMIFS(Table2[NewPointsHome],Table2[GameDate], "&lt;=" &amp; $A101, Table2[HomeTeam], C$1)</f>
        <v>2</v>
      </c>
      <c r="D101" s="145">
        <f>SUMIFS(Table2[NewPointsAway],Table2[GameDate], "&lt;=" &amp; $A101, Table2[AwayTeam], D$1)+SUMIFS(Table2[NewPointsHome],Table2[GameDate], "&lt;=" &amp; $A101, Table2[HomeTeam], D$1)</f>
        <v>0</v>
      </c>
      <c r="E101" s="145">
        <f>SUMIFS(Table2[NewPointsAway],Table2[GameDate], "&lt;=" &amp; $A101, Table2[AwayTeam], E$1)+SUMIFS(Table2[NewPointsHome],Table2[GameDate], "&lt;=" &amp; $A101, Table2[HomeTeam], E$1)</f>
        <v>0</v>
      </c>
      <c r="F101" s="145">
        <f>SUMIFS(Table2[NewPointsAway],Table2[GameDate], "&lt;=" &amp; $A101, Table2[AwayTeam], F$1)+SUMIFS(Table2[NewPointsHome],Table2[GameDate], "&lt;=" &amp; $A101, Table2[HomeTeam], F$1)</f>
        <v>0</v>
      </c>
      <c r="G101" s="145">
        <f>SUMIFS(Table2[NewPointsAway],Table2[GameDate], "&lt;=" &amp; $A101, Table2[AwayTeam], G$1)+SUMIFS(Table2[NewPointsHome],Table2[GameDate], "&lt;=" &amp; $A101, Table2[HomeTeam], G$1)</f>
        <v>2</v>
      </c>
      <c r="H101" s="145">
        <f>SUMIFS(Table2[NewPointsAway],Table2[GameDate], "&lt;=" &amp; $A101, Table2[AwayTeam], H$1)+SUMIFS(Table2[NewPointsHome],Table2[GameDate], "&lt;=" &amp; $A101, Table2[HomeTeam], H$1)</f>
        <v>0</v>
      </c>
      <c r="I101" s="145">
        <f>SUMIFS(Table2[NewPointsAway],Table2[GameDate], "&lt;=" &amp; $A101, Table2[AwayTeam], I$1)+SUMIFS(Table2[NewPointsHome],Table2[GameDate], "&lt;=" &amp; $A101, Table2[HomeTeam], I$1)</f>
        <v>2</v>
      </c>
      <c r="J101" s="145">
        <f>SUMIFS(Table2[NewPointsAway],Table2[GameDate], "&lt;=" &amp; $A101, Table2[AwayTeam], J$1)+SUMIFS(Table2[NewPointsHome],Table2[GameDate], "&lt;=" &amp; $A101, Table2[HomeTeam], J$1)</f>
        <v>0</v>
      </c>
      <c r="K101" s="145">
        <f>SUMIFS(Table2[NewPointsAway],Table2[GameDate], "&lt;=" &amp; $A101, Table2[AwayTeam], K$1)+SUMIFS(Table2[NewPointsHome],Table2[GameDate], "&lt;=" &amp; $A101, Table2[HomeTeam], K$1)</f>
        <v>0</v>
      </c>
      <c r="L101" s="145">
        <f>SUMIFS(Table2[NewPointsAway],Table2[GameDate], "&lt;=" &amp; $A101, Table2[AwayTeam], L$1)+SUMIFS(Table2[NewPointsHome],Table2[GameDate], "&lt;=" &amp; $A101, Table2[HomeTeam], L$1)</f>
        <v>1</v>
      </c>
      <c r="M101" s="145">
        <f>SUMIFS(Table2[NewPointsAway],Table2[GameDate], "&lt;=" &amp; $A101, Table2[AwayTeam], M$1)+SUMIFS(Table2[NewPointsHome],Table2[GameDate], "&lt;=" &amp; $A101, Table2[HomeTeam], M$1)</f>
        <v>2</v>
      </c>
      <c r="N101" s="145">
        <f>SUMIFS(Table2[NewPointsAway],Table2[GameDate], "&lt;=" &amp; $A101, Table2[AwayTeam], N$1)+SUMIFS(Table2[NewPointsHome],Table2[GameDate], "&lt;=" &amp; $A101, Table2[HomeTeam], N$1)</f>
        <v>2</v>
      </c>
      <c r="O101" s="145">
        <f>SUMIFS(Table2[NewPointsAway],Table2[GameDate], "&lt;=" &amp; $A101, Table2[AwayTeam], O$1)+SUMIFS(Table2[NewPointsHome],Table2[GameDate], "&lt;=" &amp; $A101, Table2[HomeTeam], O$1)</f>
        <v>0</v>
      </c>
      <c r="P101" s="145">
        <f>SUMIFS(Table2[NewPointsAway],Table2[GameDate], "&lt;=" &amp; $A101, Table2[AwayTeam], P$1)+SUMIFS(Table2[NewPointsHome],Table2[GameDate], "&lt;=" &amp; $A101, Table2[HomeTeam], P$1)</f>
        <v>0</v>
      </c>
      <c r="Q101" s="145">
        <f>SUMIFS(Table2[NewPointsAway],Table2[GameDate], "&lt;=" &amp; $A101, Table2[AwayTeam], Q$1)+SUMIFS(Table2[NewPointsHome],Table2[GameDate], "&lt;=" &amp; $A101, Table2[HomeTeam], Q$1)</f>
        <v>0</v>
      </c>
      <c r="R101" s="145">
        <f>SUMIFS(Table2[NewPointsAway],Table2[GameDate], "&lt;=" &amp; $A101, Table2[AwayTeam], R$1)+SUMIFS(Table2[NewPointsHome],Table2[GameDate], "&lt;=" &amp; $A101, Table2[HomeTeam], R$1)</f>
        <v>0</v>
      </c>
      <c r="S101" s="145">
        <f>SUMIFS(Table2[NewPointsAway],Table2[GameDate], "&lt;=" &amp; $A101, Table2[AwayTeam], S$1)+SUMIFS(Table2[NewPointsHome],Table2[GameDate], "&lt;=" &amp; $A101, Table2[HomeTeam], S$1)</f>
        <v>0</v>
      </c>
      <c r="T101" s="145">
        <f>SUMIFS(Table2[NewPointsAway],Table2[GameDate], "&lt;=" &amp; $A101, Table2[AwayTeam], T$1)+SUMIFS(Table2[NewPointsHome],Table2[GameDate], "&lt;=" &amp; $A101, Table2[HomeTeam], T$1)</f>
        <v>0</v>
      </c>
      <c r="U101" s="145">
        <f>SUMIFS(Table2[NewPointsAway],Table2[GameDate], "&lt;=" &amp; $A101, Table2[AwayTeam], U$1)+SUMIFS(Table2[NewPointsHome],Table2[GameDate], "&lt;=" &amp; $A101, Table2[HomeTeam], U$1)</f>
        <v>0</v>
      </c>
      <c r="V101" s="145">
        <f>SUMIFS(Table2[NewPointsAway],Table2[GameDate], "&lt;=" &amp; $A101, Table2[AwayTeam], V$1)+SUMIFS(Table2[NewPointsHome],Table2[GameDate], "&lt;=" &amp; $A101, Table2[HomeTeam], V$1)</f>
        <v>0</v>
      </c>
      <c r="W101" s="145">
        <f>SUMIFS(Table2[NewPointsAway],Table2[GameDate], "&lt;=" &amp; $A101, Table2[AwayTeam], W$1)+SUMIFS(Table2[NewPointsHome],Table2[GameDate], "&lt;=" &amp; $A101, Table2[HomeTeam], W$1)</f>
        <v>2</v>
      </c>
      <c r="X101" s="145">
        <f>SUMIFS(Table2[NewPointsAway],Table2[GameDate], "&lt;=" &amp; $A101, Table2[AwayTeam], X$1)+SUMIFS(Table2[NewPointsHome],Table2[GameDate], "&lt;=" &amp; $A101, Table2[HomeTeam], X$1)</f>
        <v>0</v>
      </c>
      <c r="Y101" s="145">
        <f>SUMIFS(Table2[NewPointsAway],Table2[GameDate], "&lt;=" &amp; $A101, Table2[AwayTeam], Y$1)+SUMIFS(Table2[NewPointsHome],Table2[GameDate], "&lt;=" &amp; $A101, Table2[HomeTeam], Y$1)</f>
        <v>0</v>
      </c>
      <c r="Z101" s="145">
        <f>SUMIFS(Table2[NewPointsAway],Table2[GameDate], "&lt;=" &amp; $A101, Table2[AwayTeam], Z$1)+SUMIFS(Table2[NewPointsHome],Table2[GameDate], "&lt;=" &amp; $A101, Table2[HomeTeam], Z$1)</f>
        <v>0</v>
      </c>
      <c r="AA101" s="145">
        <f>SUMIFS(Table2[NewPointsAway],Table2[GameDate], "&lt;=" &amp; $A101, Table2[AwayTeam], AA$1)+SUMIFS(Table2[NewPointsHome],Table2[GameDate], "&lt;=" &amp; $A101, Table2[HomeTeam], AA$1)</f>
        <v>0</v>
      </c>
      <c r="AB101" s="145">
        <f>SUMIFS(Table2[NewPointsAway],Table2[GameDate], "&lt;=" &amp; $A101, Table2[AwayTeam], AB$1)+SUMIFS(Table2[NewPointsHome],Table2[GameDate], "&lt;=" &amp; $A101, Table2[HomeTeam], AB$1)</f>
        <v>2</v>
      </c>
      <c r="AC101" s="145">
        <f>SUMIFS(Table2[NewPointsAway],Table2[GameDate], "&lt;=" &amp; $A101, Table2[AwayTeam], AC$1)+SUMIFS(Table2[NewPointsHome],Table2[GameDate], "&lt;=" &amp; $A101, Table2[HomeTeam], AC$1)</f>
        <v>0</v>
      </c>
      <c r="AD101" s="145">
        <f>SUMIFS(Table2[NewPointsAway],Table2[GameDate], "&lt;=" &amp; $A101, Table2[AwayTeam], AD$1)+SUMIFS(Table2[NewPointsHome],Table2[GameDate], "&lt;=" &amp; $A101, Table2[HomeTeam], AD$1)</f>
        <v>0</v>
      </c>
      <c r="AE101" s="145">
        <f>SUMIFS(Table2[NewPointsAway],Table2[GameDate], "&lt;=" &amp; $A101, Table2[AwayTeam], AE$1)+SUMIFS(Table2[NewPointsHome],Table2[GameDate], "&lt;=" &amp; $A101, Table2[HomeTeam], AE$1)</f>
        <v>1</v>
      </c>
      <c r="AF101" s="145">
        <f>SUMIFS(Table2[NewPointsAway],Table2[GameDate], "&lt;=" &amp; $A101, Table2[AwayTeam], AF$1)+SUMIFS(Table2[NewPointsHome],Table2[GameDate], "&lt;=" &amp; $A101, Table2[HomeTeam], AF$1)</f>
        <v>0</v>
      </c>
      <c r="AG101" s="145">
        <f>SUMIFS(Table2[NewPointsAway],Table2[GameDate], "&lt;=" &amp; $A101, Table2[AwayTeam], AG$1)+SUMIFS(Table2[NewPointsHome],Table2[GameDate], "&lt;=" &amp; $A101, Table2[HomeTeam], AG$1)</f>
        <v>0</v>
      </c>
    </row>
    <row r="102" spans="1:33" x14ac:dyDescent="0.25">
      <c r="A102" s="3">
        <v>46033</v>
      </c>
      <c r="B102" s="145">
        <f>SUMIFS(Table2[NewPointsAway],Table2[GameDate], "&lt;=" &amp; $A102, Table2[AwayTeam], B$1)+SUMIFS(Table2[NewPointsHome],Table2[GameDate], "&lt;=" &amp; $A102, Table2[HomeTeam], B$1)</f>
        <v>0</v>
      </c>
      <c r="C102" s="145">
        <f>SUMIFS(Table2[NewPointsAway],Table2[GameDate], "&lt;=" &amp; $A102, Table2[AwayTeam], C$1)+SUMIFS(Table2[NewPointsHome],Table2[GameDate], "&lt;=" &amp; $A102, Table2[HomeTeam], C$1)</f>
        <v>2</v>
      </c>
      <c r="D102" s="145">
        <f>SUMIFS(Table2[NewPointsAway],Table2[GameDate], "&lt;=" &amp; $A102, Table2[AwayTeam], D$1)+SUMIFS(Table2[NewPointsHome],Table2[GameDate], "&lt;=" &amp; $A102, Table2[HomeTeam], D$1)</f>
        <v>0</v>
      </c>
      <c r="E102" s="145">
        <f>SUMIFS(Table2[NewPointsAway],Table2[GameDate], "&lt;=" &amp; $A102, Table2[AwayTeam], E$1)+SUMIFS(Table2[NewPointsHome],Table2[GameDate], "&lt;=" &amp; $A102, Table2[HomeTeam], E$1)</f>
        <v>0</v>
      </c>
      <c r="F102" s="145">
        <f>SUMIFS(Table2[NewPointsAway],Table2[GameDate], "&lt;=" &amp; $A102, Table2[AwayTeam], F$1)+SUMIFS(Table2[NewPointsHome],Table2[GameDate], "&lt;=" &amp; $A102, Table2[HomeTeam], F$1)</f>
        <v>0</v>
      </c>
      <c r="G102" s="145">
        <f>SUMIFS(Table2[NewPointsAway],Table2[GameDate], "&lt;=" &amp; $A102, Table2[AwayTeam], G$1)+SUMIFS(Table2[NewPointsHome],Table2[GameDate], "&lt;=" &amp; $A102, Table2[HomeTeam], G$1)</f>
        <v>2</v>
      </c>
      <c r="H102" s="145">
        <f>SUMIFS(Table2[NewPointsAway],Table2[GameDate], "&lt;=" &amp; $A102, Table2[AwayTeam], H$1)+SUMIFS(Table2[NewPointsHome],Table2[GameDate], "&lt;=" &amp; $A102, Table2[HomeTeam], H$1)</f>
        <v>0</v>
      </c>
      <c r="I102" s="145">
        <f>SUMIFS(Table2[NewPointsAway],Table2[GameDate], "&lt;=" &amp; $A102, Table2[AwayTeam], I$1)+SUMIFS(Table2[NewPointsHome],Table2[GameDate], "&lt;=" &amp; $A102, Table2[HomeTeam], I$1)</f>
        <v>2</v>
      </c>
      <c r="J102" s="145">
        <f>SUMIFS(Table2[NewPointsAway],Table2[GameDate], "&lt;=" &amp; $A102, Table2[AwayTeam], J$1)+SUMIFS(Table2[NewPointsHome],Table2[GameDate], "&lt;=" &amp; $A102, Table2[HomeTeam], J$1)</f>
        <v>0</v>
      </c>
      <c r="K102" s="145">
        <f>SUMIFS(Table2[NewPointsAway],Table2[GameDate], "&lt;=" &amp; $A102, Table2[AwayTeam], K$1)+SUMIFS(Table2[NewPointsHome],Table2[GameDate], "&lt;=" &amp; $A102, Table2[HomeTeam], K$1)</f>
        <v>0</v>
      </c>
      <c r="L102" s="145">
        <f>SUMIFS(Table2[NewPointsAway],Table2[GameDate], "&lt;=" &amp; $A102, Table2[AwayTeam], L$1)+SUMIFS(Table2[NewPointsHome],Table2[GameDate], "&lt;=" &amp; $A102, Table2[HomeTeam], L$1)</f>
        <v>1</v>
      </c>
      <c r="M102" s="145">
        <f>SUMIFS(Table2[NewPointsAway],Table2[GameDate], "&lt;=" &amp; $A102, Table2[AwayTeam], M$1)+SUMIFS(Table2[NewPointsHome],Table2[GameDate], "&lt;=" &amp; $A102, Table2[HomeTeam], M$1)</f>
        <v>2</v>
      </c>
      <c r="N102" s="145">
        <f>SUMIFS(Table2[NewPointsAway],Table2[GameDate], "&lt;=" &amp; $A102, Table2[AwayTeam], N$1)+SUMIFS(Table2[NewPointsHome],Table2[GameDate], "&lt;=" &amp; $A102, Table2[HomeTeam], N$1)</f>
        <v>2</v>
      </c>
      <c r="O102" s="145">
        <f>SUMIFS(Table2[NewPointsAway],Table2[GameDate], "&lt;=" &amp; $A102, Table2[AwayTeam], O$1)+SUMIFS(Table2[NewPointsHome],Table2[GameDate], "&lt;=" &amp; $A102, Table2[HomeTeam], O$1)</f>
        <v>0</v>
      </c>
      <c r="P102" s="145">
        <f>SUMIFS(Table2[NewPointsAway],Table2[GameDate], "&lt;=" &amp; $A102, Table2[AwayTeam], P$1)+SUMIFS(Table2[NewPointsHome],Table2[GameDate], "&lt;=" &amp; $A102, Table2[HomeTeam], P$1)</f>
        <v>0</v>
      </c>
      <c r="Q102" s="145">
        <f>SUMIFS(Table2[NewPointsAway],Table2[GameDate], "&lt;=" &amp; $A102, Table2[AwayTeam], Q$1)+SUMIFS(Table2[NewPointsHome],Table2[GameDate], "&lt;=" &amp; $A102, Table2[HomeTeam], Q$1)</f>
        <v>0</v>
      </c>
      <c r="R102" s="145">
        <f>SUMIFS(Table2[NewPointsAway],Table2[GameDate], "&lt;=" &amp; $A102, Table2[AwayTeam], R$1)+SUMIFS(Table2[NewPointsHome],Table2[GameDate], "&lt;=" &amp; $A102, Table2[HomeTeam], R$1)</f>
        <v>0</v>
      </c>
      <c r="S102" s="145">
        <f>SUMIFS(Table2[NewPointsAway],Table2[GameDate], "&lt;=" &amp; $A102, Table2[AwayTeam], S$1)+SUMIFS(Table2[NewPointsHome],Table2[GameDate], "&lt;=" &amp; $A102, Table2[HomeTeam], S$1)</f>
        <v>0</v>
      </c>
      <c r="T102" s="145">
        <f>SUMIFS(Table2[NewPointsAway],Table2[GameDate], "&lt;=" &amp; $A102, Table2[AwayTeam], T$1)+SUMIFS(Table2[NewPointsHome],Table2[GameDate], "&lt;=" &amp; $A102, Table2[HomeTeam], T$1)</f>
        <v>0</v>
      </c>
      <c r="U102" s="145">
        <f>SUMIFS(Table2[NewPointsAway],Table2[GameDate], "&lt;=" &amp; $A102, Table2[AwayTeam], U$1)+SUMIFS(Table2[NewPointsHome],Table2[GameDate], "&lt;=" &amp; $A102, Table2[HomeTeam], U$1)</f>
        <v>0</v>
      </c>
      <c r="V102" s="145">
        <f>SUMIFS(Table2[NewPointsAway],Table2[GameDate], "&lt;=" &amp; $A102, Table2[AwayTeam], V$1)+SUMIFS(Table2[NewPointsHome],Table2[GameDate], "&lt;=" &amp; $A102, Table2[HomeTeam], V$1)</f>
        <v>0</v>
      </c>
      <c r="W102" s="145">
        <f>SUMIFS(Table2[NewPointsAway],Table2[GameDate], "&lt;=" &amp; $A102, Table2[AwayTeam], W$1)+SUMIFS(Table2[NewPointsHome],Table2[GameDate], "&lt;=" &amp; $A102, Table2[HomeTeam], W$1)</f>
        <v>2</v>
      </c>
      <c r="X102" s="145">
        <f>SUMIFS(Table2[NewPointsAway],Table2[GameDate], "&lt;=" &amp; $A102, Table2[AwayTeam], X$1)+SUMIFS(Table2[NewPointsHome],Table2[GameDate], "&lt;=" &amp; $A102, Table2[HomeTeam], X$1)</f>
        <v>0</v>
      </c>
      <c r="Y102" s="145">
        <f>SUMIFS(Table2[NewPointsAway],Table2[GameDate], "&lt;=" &amp; $A102, Table2[AwayTeam], Y$1)+SUMIFS(Table2[NewPointsHome],Table2[GameDate], "&lt;=" &amp; $A102, Table2[HomeTeam], Y$1)</f>
        <v>0</v>
      </c>
      <c r="Z102" s="145">
        <f>SUMIFS(Table2[NewPointsAway],Table2[GameDate], "&lt;=" &amp; $A102, Table2[AwayTeam], Z$1)+SUMIFS(Table2[NewPointsHome],Table2[GameDate], "&lt;=" &amp; $A102, Table2[HomeTeam], Z$1)</f>
        <v>0</v>
      </c>
      <c r="AA102" s="145">
        <f>SUMIFS(Table2[NewPointsAway],Table2[GameDate], "&lt;=" &amp; $A102, Table2[AwayTeam], AA$1)+SUMIFS(Table2[NewPointsHome],Table2[GameDate], "&lt;=" &amp; $A102, Table2[HomeTeam], AA$1)</f>
        <v>0</v>
      </c>
      <c r="AB102" s="145">
        <f>SUMIFS(Table2[NewPointsAway],Table2[GameDate], "&lt;=" &amp; $A102, Table2[AwayTeam], AB$1)+SUMIFS(Table2[NewPointsHome],Table2[GameDate], "&lt;=" &amp; $A102, Table2[HomeTeam], AB$1)</f>
        <v>2</v>
      </c>
      <c r="AC102" s="145">
        <f>SUMIFS(Table2[NewPointsAway],Table2[GameDate], "&lt;=" &amp; $A102, Table2[AwayTeam], AC$1)+SUMIFS(Table2[NewPointsHome],Table2[GameDate], "&lt;=" &amp; $A102, Table2[HomeTeam], AC$1)</f>
        <v>0</v>
      </c>
      <c r="AD102" s="145">
        <f>SUMIFS(Table2[NewPointsAway],Table2[GameDate], "&lt;=" &amp; $A102, Table2[AwayTeam], AD$1)+SUMIFS(Table2[NewPointsHome],Table2[GameDate], "&lt;=" &amp; $A102, Table2[HomeTeam], AD$1)</f>
        <v>0</v>
      </c>
      <c r="AE102" s="145">
        <f>SUMIFS(Table2[NewPointsAway],Table2[GameDate], "&lt;=" &amp; $A102, Table2[AwayTeam], AE$1)+SUMIFS(Table2[NewPointsHome],Table2[GameDate], "&lt;=" &amp; $A102, Table2[HomeTeam], AE$1)</f>
        <v>1</v>
      </c>
      <c r="AF102" s="145">
        <f>SUMIFS(Table2[NewPointsAway],Table2[GameDate], "&lt;=" &amp; $A102, Table2[AwayTeam], AF$1)+SUMIFS(Table2[NewPointsHome],Table2[GameDate], "&lt;=" &amp; $A102, Table2[HomeTeam], AF$1)</f>
        <v>0</v>
      </c>
      <c r="AG102" s="145">
        <f>SUMIFS(Table2[NewPointsAway],Table2[GameDate], "&lt;=" &amp; $A102, Table2[AwayTeam], AG$1)+SUMIFS(Table2[NewPointsHome],Table2[GameDate], "&lt;=" &amp; $A102, Table2[HomeTeam], AG$1)</f>
        <v>0</v>
      </c>
    </row>
    <row r="103" spans="1:33" x14ac:dyDescent="0.25">
      <c r="A103" s="3">
        <v>46034</v>
      </c>
      <c r="B103" s="145">
        <f>SUMIFS(Table2[NewPointsAway],Table2[GameDate], "&lt;=" &amp; $A103, Table2[AwayTeam], B$1)+SUMIFS(Table2[NewPointsHome],Table2[GameDate], "&lt;=" &amp; $A103, Table2[HomeTeam], B$1)</f>
        <v>0</v>
      </c>
      <c r="C103" s="145">
        <f>SUMIFS(Table2[NewPointsAway],Table2[GameDate], "&lt;=" &amp; $A103, Table2[AwayTeam], C$1)+SUMIFS(Table2[NewPointsHome],Table2[GameDate], "&lt;=" &amp; $A103, Table2[HomeTeam], C$1)</f>
        <v>2</v>
      </c>
      <c r="D103" s="145">
        <f>SUMIFS(Table2[NewPointsAway],Table2[GameDate], "&lt;=" &amp; $A103, Table2[AwayTeam], D$1)+SUMIFS(Table2[NewPointsHome],Table2[GameDate], "&lt;=" &amp; $A103, Table2[HomeTeam], D$1)</f>
        <v>0</v>
      </c>
      <c r="E103" s="145">
        <f>SUMIFS(Table2[NewPointsAway],Table2[GameDate], "&lt;=" &amp; $A103, Table2[AwayTeam], E$1)+SUMIFS(Table2[NewPointsHome],Table2[GameDate], "&lt;=" &amp; $A103, Table2[HomeTeam], E$1)</f>
        <v>0</v>
      </c>
      <c r="F103" s="145">
        <f>SUMIFS(Table2[NewPointsAway],Table2[GameDate], "&lt;=" &amp; $A103, Table2[AwayTeam], F$1)+SUMIFS(Table2[NewPointsHome],Table2[GameDate], "&lt;=" &amp; $A103, Table2[HomeTeam], F$1)</f>
        <v>0</v>
      </c>
      <c r="G103" s="145">
        <f>SUMIFS(Table2[NewPointsAway],Table2[GameDate], "&lt;=" &amp; $A103, Table2[AwayTeam], G$1)+SUMIFS(Table2[NewPointsHome],Table2[GameDate], "&lt;=" &amp; $A103, Table2[HomeTeam], G$1)</f>
        <v>2</v>
      </c>
      <c r="H103" s="145">
        <f>SUMIFS(Table2[NewPointsAway],Table2[GameDate], "&lt;=" &amp; $A103, Table2[AwayTeam], H$1)+SUMIFS(Table2[NewPointsHome],Table2[GameDate], "&lt;=" &amp; $A103, Table2[HomeTeam], H$1)</f>
        <v>0</v>
      </c>
      <c r="I103" s="145">
        <f>SUMIFS(Table2[NewPointsAway],Table2[GameDate], "&lt;=" &amp; $A103, Table2[AwayTeam], I$1)+SUMIFS(Table2[NewPointsHome],Table2[GameDate], "&lt;=" &amp; $A103, Table2[HomeTeam], I$1)</f>
        <v>2</v>
      </c>
      <c r="J103" s="145">
        <f>SUMIFS(Table2[NewPointsAway],Table2[GameDate], "&lt;=" &amp; $A103, Table2[AwayTeam], J$1)+SUMIFS(Table2[NewPointsHome],Table2[GameDate], "&lt;=" &amp; $A103, Table2[HomeTeam], J$1)</f>
        <v>0</v>
      </c>
      <c r="K103" s="145">
        <f>SUMIFS(Table2[NewPointsAway],Table2[GameDate], "&lt;=" &amp; $A103, Table2[AwayTeam], K$1)+SUMIFS(Table2[NewPointsHome],Table2[GameDate], "&lt;=" &amp; $A103, Table2[HomeTeam], K$1)</f>
        <v>0</v>
      </c>
      <c r="L103" s="145">
        <f>SUMIFS(Table2[NewPointsAway],Table2[GameDate], "&lt;=" &amp; $A103, Table2[AwayTeam], L$1)+SUMIFS(Table2[NewPointsHome],Table2[GameDate], "&lt;=" &amp; $A103, Table2[HomeTeam], L$1)</f>
        <v>1</v>
      </c>
      <c r="M103" s="145">
        <f>SUMIFS(Table2[NewPointsAway],Table2[GameDate], "&lt;=" &amp; $A103, Table2[AwayTeam], M$1)+SUMIFS(Table2[NewPointsHome],Table2[GameDate], "&lt;=" &amp; $A103, Table2[HomeTeam], M$1)</f>
        <v>2</v>
      </c>
      <c r="N103" s="145">
        <f>SUMIFS(Table2[NewPointsAway],Table2[GameDate], "&lt;=" &amp; $A103, Table2[AwayTeam], N$1)+SUMIFS(Table2[NewPointsHome],Table2[GameDate], "&lt;=" &amp; $A103, Table2[HomeTeam], N$1)</f>
        <v>2</v>
      </c>
      <c r="O103" s="145">
        <f>SUMIFS(Table2[NewPointsAway],Table2[GameDate], "&lt;=" &amp; $A103, Table2[AwayTeam], O$1)+SUMIFS(Table2[NewPointsHome],Table2[GameDate], "&lt;=" &amp; $A103, Table2[HomeTeam], O$1)</f>
        <v>0</v>
      </c>
      <c r="P103" s="145">
        <f>SUMIFS(Table2[NewPointsAway],Table2[GameDate], "&lt;=" &amp; $A103, Table2[AwayTeam], P$1)+SUMIFS(Table2[NewPointsHome],Table2[GameDate], "&lt;=" &amp; $A103, Table2[HomeTeam], P$1)</f>
        <v>0</v>
      </c>
      <c r="Q103" s="145">
        <f>SUMIFS(Table2[NewPointsAway],Table2[GameDate], "&lt;=" &amp; $A103, Table2[AwayTeam], Q$1)+SUMIFS(Table2[NewPointsHome],Table2[GameDate], "&lt;=" &amp; $A103, Table2[HomeTeam], Q$1)</f>
        <v>0</v>
      </c>
      <c r="R103" s="145">
        <f>SUMIFS(Table2[NewPointsAway],Table2[GameDate], "&lt;=" &amp; $A103, Table2[AwayTeam], R$1)+SUMIFS(Table2[NewPointsHome],Table2[GameDate], "&lt;=" &amp; $A103, Table2[HomeTeam], R$1)</f>
        <v>0</v>
      </c>
      <c r="S103" s="145">
        <f>SUMIFS(Table2[NewPointsAway],Table2[GameDate], "&lt;=" &amp; $A103, Table2[AwayTeam], S$1)+SUMIFS(Table2[NewPointsHome],Table2[GameDate], "&lt;=" &amp; $A103, Table2[HomeTeam], S$1)</f>
        <v>0</v>
      </c>
      <c r="T103" s="145">
        <f>SUMIFS(Table2[NewPointsAway],Table2[GameDate], "&lt;=" &amp; $A103, Table2[AwayTeam], T$1)+SUMIFS(Table2[NewPointsHome],Table2[GameDate], "&lt;=" &amp; $A103, Table2[HomeTeam], T$1)</f>
        <v>0</v>
      </c>
      <c r="U103" s="145">
        <f>SUMIFS(Table2[NewPointsAway],Table2[GameDate], "&lt;=" &amp; $A103, Table2[AwayTeam], U$1)+SUMIFS(Table2[NewPointsHome],Table2[GameDate], "&lt;=" &amp; $A103, Table2[HomeTeam], U$1)</f>
        <v>0</v>
      </c>
      <c r="V103" s="145">
        <f>SUMIFS(Table2[NewPointsAway],Table2[GameDate], "&lt;=" &amp; $A103, Table2[AwayTeam], V$1)+SUMIFS(Table2[NewPointsHome],Table2[GameDate], "&lt;=" &amp; $A103, Table2[HomeTeam], V$1)</f>
        <v>0</v>
      </c>
      <c r="W103" s="145">
        <f>SUMIFS(Table2[NewPointsAway],Table2[GameDate], "&lt;=" &amp; $A103, Table2[AwayTeam], W$1)+SUMIFS(Table2[NewPointsHome],Table2[GameDate], "&lt;=" &amp; $A103, Table2[HomeTeam], W$1)</f>
        <v>2</v>
      </c>
      <c r="X103" s="145">
        <f>SUMIFS(Table2[NewPointsAway],Table2[GameDate], "&lt;=" &amp; $A103, Table2[AwayTeam], X$1)+SUMIFS(Table2[NewPointsHome],Table2[GameDate], "&lt;=" &amp; $A103, Table2[HomeTeam], X$1)</f>
        <v>0</v>
      </c>
      <c r="Y103" s="145">
        <f>SUMIFS(Table2[NewPointsAway],Table2[GameDate], "&lt;=" &amp; $A103, Table2[AwayTeam], Y$1)+SUMIFS(Table2[NewPointsHome],Table2[GameDate], "&lt;=" &amp; $A103, Table2[HomeTeam], Y$1)</f>
        <v>0</v>
      </c>
      <c r="Z103" s="145">
        <f>SUMIFS(Table2[NewPointsAway],Table2[GameDate], "&lt;=" &amp; $A103, Table2[AwayTeam], Z$1)+SUMIFS(Table2[NewPointsHome],Table2[GameDate], "&lt;=" &amp; $A103, Table2[HomeTeam], Z$1)</f>
        <v>0</v>
      </c>
      <c r="AA103" s="145">
        <f>SUMIFS(Table2[NewPointsAway],Table2[GameDate], "&lt;=" &amp; $A103, Table2[AwayTeam], AA$1)+SUMIFS(Table2[NewPointsHome],Table2[GameDate], "&lt;=" &amp; $A103, Table2[HomeTeam], AA$1)</f>
        <v>0</v>
      </c>
      <c r="AB103" s="145">
        <f>SUMIFS(Table2[NewPointsAway],Table2[GameDate], "&lt;=" &amp; $A103, Table2[AwayTeam], AB$1)+SUMIFS(Table2[NewPointsHome],Table2[GameDate], "&lt;=" &amp; $A103, Table2[HomeTeam], AB$1)</f>
        <v>2</v>
      </c>
      <c r="AC103" s="145">
        <f>SUMIFS(Table2[NewPointsAway],Table2[GameDate], "&lt;=" &amp; $A103, Table2[AwayTeam], AC$1)+SUMIFS(Table2[NewPointsHome],Table2[GameDate], "&lt;=" &amp; $A103, Table2[HomeTeam], AC$1)</f>
        <v>0</v>
      </c>
      <c r="AD103" s="145">
        <f>SUMIFS(Table2[NewPointsAway],Table2[GameDate], "&lt;=" &amp; $A103, Table2[AwayTeam], AD$1)+SUMIFS(Table2[NewPointsHome],Table2[GameDate], "&lt;=" &amp; $A103, Table2[HomeTeam], AD$1)</f>
        <v>0</v>
      </c>
      <c r="AE103" s="145">
        <f>SUMIFS(Table2[NewPointsAway],Table2[GameDate], "&lt;=" &amp; $A103, Table2[AwayTeam], AE$1)+SUMIFS(Table2[NewPointsHome],Table2[GameDate], "&lt;=" &amp; $A103, Table2[HomeTeam], AE$1)</f>
        <v>1</v>
      </c>
      <c r="AF103" s="145">
        <f>SUMIFS(Table2[NewPointsAway],Table2[GameDate], "&lt;=" &amp; $A103, Table2[AwayTeam], AF$1)+SUMIFS(Table2[NewPointsHome],Table2[GameDate], "&lt;=" &amp; $A103, Table2[HomeTeam], AF$1)</f>
        <v>0</v>
      </c>
      <c r="AG103" s="145">
        <f>SUMIFS(Table2[NewPointsAway],Table2[GameDate], "&lt;=" &amp; $A103, Table2[AwayTeam], AG$1)+SUMIFS(Table2[NewPointsHome],Table2[GameDate], "&lt;=" &amp; $A103, Table2[HomeTeam], AG$1)</f>
        <v>0</v>
      </c>
    </row>
    <row r="104" spans="1:33" x14ac:dyDescent="0.25">
      <c r="A104" s="3">
        <v>46035</v>
      </c>
      <c r="B104" s="145">
        <f>SUMIFS(Table2[NewPointsAway],Table2[GameDate], "&lt;=" &amp; $A104, Table2[AwayTeam], B$1)+SUMIFS(Table2[NewPointsHome],Table2[GameDate], "&lt;=" &amp; $A104, Table2[HomeTeam], B$1)</f>
        <v>0</v>
      </c>
      <c r="C104" s="145">
        <f>SUMIFS(Table2[NewPointsAway],Table2[GameDate], "&lt;=" &amp; $A104, Table2[AwayTeam], C$1)+SUMIFS(Table2[NewPointsHome],Table2[GameDate], "&lt;=" &amp; $A104, Table2[HomeTeam], C$1)</f>
        <v>2</v>
      </c>
      <c r="D104" s="145">
        <f>SUMIFS(Table2[NewPointsAway],Table2[GameDate], "&lt;=" &amp; $A104, Table2[AwayTeam], D$1)+SUMIFS(Table2[NewPointsHome],Table2[GameDate], "&lt;=" &amp; $A104, Table2[HomeTeam], D$1)</f>
        <v>0</v>
      </c>
      <c r="E104" s="145">
        <f>SUMIFS(Table2[NewPointsAway],Table2[GameDate], "&lt;=" &amp; $A104, Table2[AwayTeam], E$1)+SUMIFS(Table2[NewPointsHome],Table2[GameDate], "&lt;=" &amp; $A104, Table2[HomeTeam], E$1)</f>
        <v>0</v>
      </c>
      <c r="F104" s="145">
        <f>SUMIFS(Table2[NewPointsAway],Table2[GameDate], "&lt;=" &amp; $A104, Table2[AwayTeam], F$1)+SUMIFS(Table2[NewPointsHome],Table2[GameDate], "&lt;=" &amp; $A104, Table2[HomeTeam], F$1)</f>
        <v>0</v>
      </c>
      <c r="G104" s="145">
        <f>SUMIFS(Table2[NewPointsAway],Table2[GameDate], "&lt;=" &amp; $A104, Table2[AwayTeam], G$1)+SUMIFS(Table2[NewPointsHome],Table2[GameDate], "&lt;=" &amp; $A104, Table2[HomeTeam], G$1)</f>
        <v>2</v>
      </c>
      <c r="H104" s="145">
        <f>SUMIFS(Table2[NewPointsAway],Table2[GameDate], "&lt;=" &amp; $A104, Table2[AwayTeam], H$1)+SUMIFS(Table2[NewPointsHome],Table2[GameDate], "&lt;=" &amp; $A104, Table2[HomeTeam], H$1)</f>
        <v>0</v>
      </c>
      <c r="I104" s="145">
        <f>SUMIFS(Table2[NewPointsAway],Table2[GameDate], "&lt;=" &amp; $A104, Table2[AwayTeam], I$1)+SUMIFS(Table2[NewPointsHome],Table2[GameDate], "&lt;=" &amp; $A104, Table2[HomeTeam], I$1)</f>
        <v>2</v>
      </c>
      <c r="J104" s="145">
        <f>SUMIFS(Table2[NewPointsAway],Table2[GameDate], "&lt;=" &amp; $A104, Table2[AwayTeam], J$1)+SUMIFS(Table2[NewPointsHome],Table2[GameDate], "&lt;=" &amp; $A104, Table2[HomeTeam], J$1)</f>
        <v>0</v>
      </c>
      <c r="K104" s="145">
        <f>SUMIFS(Table2[NewPointsAway],Table2[GameDate], "&lt;=" &amp; $A104, Table2[AwayTeam], K$1)+SUMIFS(Table2[NewPointsHome],Table2[GameDate], "&lt;=" &amp; $A104, Table2[HomeTeam], K$1)</f>
        <v>0</v>
      </c>
      <c r="L104" s="145">
        <f>SUMIFS(Table2[NewPointsAway],Table2[GameDate], "&lt;=" &amp; $A104, Table2[AwayTeam], L$1)+SUMIFS(Table2[NewPointsHome],Table2[GameDate], "&lt;=" &amp; $A104, Table2[HomeTeam], L$1)</f>
        <v>1</v>
      </c>
      <c r="M104" s="145">
        <f>SUMIFS(Table2[NewPointsAway],Table2[GameDate], "&lt;=" &amp; $A104, Table2[AwayTeam], M$1)+SUMIFS(Table2[NewPointsHome],Table2[GameDate], "&lt;=" &amp; $A104, Table2[HomeTeam], M$1)</f>
        <v>2</v>
      </c>
      <c r="N104" s="145">
        <f>SUMIFS(Table2[NewPointsAway],Table2[GameDate], "&lt;=" &amp; $A104, Table2[AwayTeam], N$1)+SUMIFS(Table2[NewPointsHome],Table2[GameDate], "&lt;=" &amp; $A104, Table2[HomeTeam], N$1)</f>
        <v>2</v>
      </c>
      <c r="O104" s="145">
        <f>SUMIFS(Table2[NewPointsAway],Table2[GameDate], "&lt;=" &amp; $A104, Table2[AwayTeam], O$1)+SUMIFS(Table2[NewPointsHome],Table2[GameDate], "&lt;=" &amp; $A104, Table2[HomeTeam], O$1)</f>
        <v>0</v>
      </c>
      <c r="P104" s="145">
        <f>SUMIFS(Table2[NewPointsAway],Table2[GameDate], "&lt;=" &amp; $A104, Table2[AwayTeam], P$1)+SUMIFS(Table2[NewPointsHome],Table2[GameDate], "&lt;=" &amp; $A104, Table2[HomeTeam], P$1)</f>
        <v>0</v>
      </c>
      <c r="Q104" s="145">
        <f>SUMIFS(Table2[NewPointsAway],Table2[GameDate], "&lt;=" &amp; $A104, Table2[AwayTeam], Q$1)+SUMIFS(Table2[NewPointsHome],Table2[GameDate], "&lt;=" &amp; $A104, Table2[HomeTeam], Q$1)</f>
        <v>0</v>
      </c>
      <c r="R104" s="145">
        <f>SUMIFS(Table2[NewPointsAway],Table2[GameDate], "&lt;=" &amp; $A104, Table2[AwayTeam], R$1)+SUMIFS(Table2[NewPointsHome],Table2[GameDate], "&lt;=" &amp; $A104, Table2[HomeTeam], R$1)</f>
        <v>0</v>
      </c>
      <c r="S104" s="145">
        <f>SUMIFS(Table2[NewPointsAway],Table2[GameDate], "&lt;=" &amp; $A104, Table2[AwayTeam], S$1)+SUMIFS(Table2[NewPointsHome],Table2[GameDate], "&lt;=" &amp; $A104, Table2[HomeTeam], S$1)</f>
        <v>0</v>
      </c>
      <c r="T104" s="145">
        <f>SUMIFS(Table2[NewPointsAway],Table2[GameDate], "&lt;=" &amp; $A104, Table2[AwayTeam], T$1)+SUMIFS(Table2[NewPointsHome],Table2[GameDate], "&lt;=" &amp; $A104, Table2[HomeTeam], T$1)</f>
        <v>0</v>
      </c>
      <c r="U104" s="145">
        <f>SUMIFS(Table2[NewPointsAway],Table2[GameDate], "&lt;=" &amp; $A104, Table2[AwayTeam], U$1)+SUMIFS(Table2[NewPointsHome],Table2[GameDate], "&lt;=" &amp; $A104, Table2[HomeTeam], U$1)</f>
        <v>0</v>
      </c>
      <c r="V104" s="145">
        <f>SUMIFS(Table2[NewPointsAway],Table2[GameDate], "&lt;=" &amp; $A104, Table2[AwayTeam], V$1)+SUMIFS(Table2[NewPointsHome],Table2[GameDate], "&lt;=" &amp; $A104, Table2[HomeTeam], V$1)</f>
        <v>0</v>
      </c>
      <c r="W104" s="145">
        <f>SUMIFS(Table2[NewPointsAway],Table2[GameDate], "&lt;=" &amp; $A104, Table2[AwayTeam], W$1)+SUMIFS(Table2[NewPointsHome],Table2[GameDate], "&lt;=" &amp; $A104, Table2[HomeTeam], W$1)</f>
        <v>2</v>
      </c>
      <c r="X104" s="145">
        <f>SUMIFS(Table2[NewPointsAway],Table2[GameDate], "&lt;=" &amp; $A104, Table2[AwayTeam], X$1)+SUMIFS(Table2[NewPointsHome],Table2[GameDate], "&lt;=" &amp; $A104, Table2[HomeTeam], X$1)</f>
        <v>0</v>
      </c>
      <c r="Y104" s="145">
        <f>SUMIFS(Table2[NewPointsAway],Table2[GameDate], "&lt;=" &amp; $A104, Table2[AwayTeam], Y$1)+SUMIFS(Table2[NewPointsHome],Table2[GameDate], "&lt;=" &amp; $A104, Table2[HomeTeam], Y$1)</f>
        <v>0</v>
      </c>
      <c r="Z104" s="145">
        <f>SUMIFS(Table2[NewPointsAway],Table2[GameDate], "&lt;=" &amp; $A104, Table2[AwayTeam], Z$1)+SUMIFS(Table2[NewPointsHome],Table2[GameDate], "&lt;=" &amp; $A104, Table2[HomeTeam], Z$1)</f>
        <v>0</v>
      </c>
      <c r="AA104" s="145">
        <f>SUMIFS(Table2[NewPointsAway],Table2[GameDate], "&lt;=" &amp; $A104, Table2[AwayTeam], AA$1)+SUMIFS(Table2[NewPointsHome],Table2[GameDate], "&lt;=" &amp; $A104, Table2[HomeTeam], AA$1)</f>
        <v>0</v>
      </c>
      <c r="AB104" s="145">
        <f>SUMIFS(Table2[NewPointsAway],Table2[GameDate], "&lt;=" &amp; $A104, Table2[AwayTeam], AB$1)+SUMIFS(Table2[NewPointsHome],Table2[GameDate], "&lt;=" &amp; $A104, Table2[HomeTeam], AB$1)</f>
        <v>2</v>
      </c>
      <c r="AC104" s="145">
        <f>SUMIFS(Table2[NewPointsAway],Table2[GameDate], "&lt;=" &amp; $A104, Table2[AwayTeam], AC$1)+SUMIFS(Table2[NewPointsHome],Table2[GameDate], "&lt;=" &amp; $A104, Table2[HomeTeam], AC$1)</f>
        <v>0</v>
      </c>
      <c r="AD104" s="145">
        <f>SUMIFS(Table2[NewPointsAway],Table2[GameDate], "&lt;=" &amp; $A104, Table2[AwayTeam], AD$1)+SUMIFS(Table2[NewPointsHome],Table2[GameDate], "&lt;=" &amp; $A104, Table2[HomeTeam], AD$1)</f>
        <v>0</v>
      </c>
      <c r="AE104" s="145">
        <f>SUMIFS(Table2[NewPointsAway],Table2[GameDate], "&lt;=" &amp; $A104, Table2[AwayTeam], AE$1)+SUMIFS(Table2[NewPointsHome],Table2[GameDate], "&lt;=" &amp; $A104, Table2[HomeTeam], AE$1)</f>
        <v>1</v>
      </c>
      <c r="AF104" s="145">
        <f>SUMIFS(Table2[NewPointsAway],Table2[GameDate], "&lt;=" &amp; $A104, Table2[AwayTeam], AF$1)+SUMIFS(Table2[NewPointsHome],Table2[GameDate], "&lt;=" &amp; $A104, Table2[HomeTeam], AF$1)</f>
        <v>0</v>
      </c>
      <c r="AG104" s="145">
        <f>SUMIFS(Table2[NewPointsAway],Table2[GameDate], "&lt;=" &amp; $A104, Table2[AwayTeam], AG$1)+SUMIFS(Table2[NewPointsHome],Table2[GameDate], "&lt;=" &amp; $A104, Table2[HomeTeam], AG$1)</f>
        <v>0</v>
      </c>
    </row>
    <row r="105" spans="1:33" x14ac:dyDescent="0.25">
      <c r="A105" s="3">
        <v>46036</v>
      </c>
      <c r="B105" s="145">
        <f>SUMIFS(Table2[NewPointsAway],Table2[GameDate], "&lt;=" &amp; $A105, Table2[AwayTeam], B$1)+SUMIFS(Table2[NewPointsHome],Table2[GameDate], "&lt;=" &amp; $A105, Table2[HomeTeam], B$1)</f>
        <v>0</v>
      </c>
      <c r="C105" s="145">
        <f>SUMIFS(Table2[NewPointsAway],Table2[GameDate], "&lt;=" &amp; $A105, Table2[AwayTeam], C$1)+SUMIFS(Table2[NewPointsHome],Table2[GameDate], "&lt;=" &amp; $A105, Table2[HomeTeam], C$1)</f>
        <v>2</v>
      </c>
      <c r="D105" s="145">
        <f>SUMIFS(Table2[NewPointsAway],Table2[GameDate], "&lt;=" &amp; $A105, Table2[AwayTeam], D$1)+SUMIFS(Table2[NewPointsHome],Table2[GameDate], "&lt;=" &amp; $A105, Table2[HomeTeam], D$1)</f>
        <v>0</v>
      </c>
      <c r="E105" s="145">
        <f>SUMIFS(Table2[NewPointsAway],Table2[GameDate], "&lt;=" &amp; $A105, Table2[AwayTeam], E$1)+SUMIFS(Table2[NewPointsHome],Table2[GameDate], "&lt;=" &amp; $A105, Table2[HomeTeam], E$1)</f>
        <v>0</v>
      </c>
      <c r="F105" s="145">
        <f>SUMIFS(Table2[NewPointsAway],Table2[GameDate], "&lt;=" &amp; $A105, Table2[AwayTeam], F$1)+SUMIFS(Table2[NewPointsHome],Table2[GameDate], "&lt;=" &amp; $A105, Table2[HomeTeam], F$1)</f>
        <v>0</v>
      </c>
      <c r="G105" s="145">
        <f>SUMIFS(Table2[NewPointsAway],Table2[GameDate], "&lt;=" &amp; $A105, Table2[AwayTeam], G$1)+SUMIFS(Table2[NewPointsHome],Table2[GameDate], "&lt;=" &amp; $A105, Table2[HomeTeam], G$1)</f>
        <v>2</v>
      </c>
      <c r="H105" s="145">
        <f>SUMIFS(Table2[NewPointsAway],Table2[GameDate], "&lt;=" &amp; $A105, Table2[AwayTeam], H$1)+SUMIFS(Table2[NewPointsHome],Table2[GameDate], "&lt;=" &amp; $A105, Table2[HomeTeam], H$1)</f>
        <v>0</v>
      </c>
      <c r="I105" s="145">
        <f>SUMIFS(Table2[NewPointsAway],Table2[GameDate], "&lt;=" &amp; $A105, Table2[AwayTeam], I$1)+SUMIFS(Table2[NewPointsHome],Table2[GameDate], "&lt;=" &amp; $A105, Table2[HomeTeam], I$1)</f>
        <v>2</v>
      </c>
      <c r="J105" s="145">
        <f>SUMIFS(Table2[NewPointsAway],Table2[GameDate], "&lt;=" &amp; $A105, Table2[AwayTeam], J$1)+SUMIFS(Table2[NewPointsHome],Table2[GameDate], "&lt;=" &amp; $A105, Table2[HomeTeam], J$1)</f>
        <v>0</v>
      </c>
      <c r="K105" s="145">
        <f>SUMIFS(Table2[NewPointsAway],Table2[GameDate], "&lt;=" &amp; $A105, Table2[AwayTeam], K$1)+SUMIFS(Table2[NewPointsHome],Table2[GameDate], "&lt;=" &amp; $A105, Table2[HomeTeam], K$1)</f>
        <v>0</v>
      </c>
      <c r="L105" s="145">
        <f>SUMIFS(Table2[NewPointsAway],Table2[GameDate], "&lt;=" &amp; $A105, Table2[AwayTeam], L$1)+SUMIFS(Table2[NewPointsHome],Table2[GameDate], "&lt;=" &amp; $A105, Table2[HomeTeam], L$1)</f>
        <v>1</v>
      </c>
      <c r="M105" s="145">
        <f>SUMIFS(Table2[NewPointsAway],Table2[GameDate], "&lt;=" &amp; $A105, Table2[AwayTeam], M$1)+SUMIFS(Table2[NewPointsHome],Table2[GameDate], "&lt;=" &amp; $A105, Table2[HomeTeam], M$1)</f>
        <v>2</v>
      </c>
      <c r="N105" s="145">
        <f>SUMIFS(Table2[NewPointsAway],Table2[GameDate], "&lt;=" &amp; $A105, Table2[AwayTeam], N$1)+SUMIFS(Table2[NewPointsHome],Table2[GameDate], "&lt;=" &amp; $A105, Table2[HomeTeam], N$1)</f>
        <v>2</v>
      </c>
      <c r="O105" s="145">
        <f>SUMIFS(Table2[NewPointsAway],Table2[GameDate], "&lt;=" &amp; $A105, Table2[AwayTeam], O$1)+SUMIFS(Table2[NewPointsHome],Table2[GameDate], "&lt;=" &amp; $A105, Table2[HomeTeam], O$1)</f>
        <v>0</v>
      </c>
      <c r="P105" s="145">
        <f>SUMIFS(Table2[NewPointsAway],Table2[GameDate], "&lt;=" &amp; $A105, Table2[AwayTeam], P$1)+SUMIFS(Table2[NewPointsHome],Table2[GameDate], "&lt;=" &amp; $A105, Table2[HomeTeam], P$1)</f>
        <v>0</v>
      </c>
      <c r="Q105" s="145">
        <f>SUMIFS(Table2[NewPointsAway],Table2[GameDate], "&lt;=" &amp; $A105, Table2[AwayTeam], Q$1)+SUMIFS(Table2[NewPointsHome],Table2[GameDate], "&lt;=" &amp; $A105, Table2[HomeTeam], Q$1)</f>
        <v>0</v>
      </c>
      <c r="R105" s="145">
        <f>SUMIFS(Table2[NewPointsAway],Table2[GameDate], "&lt;=" &amp; $A105, Table2[AwayTeam], R$1)+SUMIFS(Table2[NewPointsHome],Table2[GameDate], "&lt;=" &amp; $A105, Table2[HomeTeam], R$1)</f>
        <v>0</v>
      </c>
      <c r="S105" s="145">
        <f>SUMIFS(Table2[NewPointsAway],Table2[GameDate], "&lt;=" &amp; $A105, Table2[AwayTeam], S$1)+SUMIFS(Table2[NewPointsHome],Table2[GameDate], "&lt;=" &amp; $A105, Table2[HomeTeam], S$1)</f>
        <v>0</v>
      </c>
      <c r="T105" s="145">
        <f>SUMIFS(Table2[NewPointsAway],Table2[GameDate], "&lt;=" &amp; $A105, Table2[AwayTeam], T$1)+SUMIFS(Table2[NewPointsHome],Table2[GameDate], "&lt;=" &amp; $A105, Table2[HomeTeam], T$1)</f>
        <v>0</v>
      </c>
      <c r="U105" s="145">
        <f>SUMIFS(Table2[NewPointsAway],Table2[GameDate], "&lt;=" &amp; $A105, Table2[AwayTeam], U$1)+SUMIFS(Table2[NewPointsHome],Table2[GameDate], "&lt;=" &amp; $A105, Table2[HomeTeam], U$1)</f>
        <v>0</v>
      </c>
      <c r="V105" s="145">
        <f>SUMIFS(Table2[NewPointsAway],Table2[GameDate], "&lt;=" &amp; $A105, Table2[AwayTeam], V$1)+SUMIFS(Table2[NewPointsHome],Table2[GameDate], "&lt;=" &amp; $A105, Table2[HomeTeam], V$1)</f>
        <v>0</v>
      </c>
      <c r="W105" s="145">
        <f>SUMIFS(Table2[NewPointsAway],Table2[GameDate], "&lt;=" &amp; $A105, Table2[AwayTeam], W$1)+SUMIFS(Table2[NewPointsHome],Table2[GameDate], "&lt;=" &amp; $A105, Table2[HomeTeam], W$1)</f>
        <v>2</v>
      </c>
      <c r="X105" s="145">
        <f>SUMIFS(Table2[NewPointsAway],Table2[GameDate], "&lt;=" &amp; $A105, Table2[AwayTeam], X$1)+SUMIFS(Table2[NewPointsHome],Table2[GameDate], "&lt;=" &amp; $A105, Table2[HomeTeam], X$1)</f>
        <v>0</v>
      </c>
      <c r="Y105" s="145">
        <f>SUMIFS(Table2[NewPointsAway],Table2[GameDate], "&lt;=" &amp; $A105, Table2[AwayTeam], Y$1)+SUMIFS(Table2[NewPointsHome],Table2[GameDate], "&lt;=" &amp; $A105, Table2[HomeTeam], Y$1)</f>
        <v>0</v>
      </c>
      <c r="Z105" s="145">
        <f>SUMIFS(Table2[NewPointsAway],Table2[GameDate], "&lt;=" &amp; $A105, Table2[AwayTeam], Z$1)+SUMIFS(Table2[NewPointsHome],Table2[GameDate], "&lt;=" &amp; $A105, Table2[HomeTeam], Z$1)</f>
        <v>0</v>
      </c>
      <c r="AA105" s="145">
        <f>SUMIFS(Table2[NewPointsAway],Table2[GameDate], "&lt;=" &amp; $A105, Table2[AwayTeam], AA$1)+SUMIFS(Table2[NewPointsHome],Table2[GameDate], "&lt;=" &amp; $A105, Table2[HomeTeam], AA$1)</f>
        <v>0</v>
      </c>
      <c r="AB105" s="145">
        <f>SUMIFS(Table2[NewPointsAway],Table2[GameDate], "&lt;=" &amp; $A105, Table2[AwayTeam], AB$1)+SUMIFS(Table2[NewPointsHome],Table2[GameDate], "&lt;=" &amp; $A105, Table2[HomeTeam], AB$1)</f>
        <v>2</v>
      </c>
      <c r="AC105" s="145">
        <f>SUMIFS(Table2[NewPointsAway],Table2[GameDate], "&lt;=" &amp; $A105, Table2[AwayTeam], AC$1)+SUMIFS(Table2[NewPointsHome],Table2[GameDate], "&lt;=" &amp; $A105, Table2[HomeTeam], AC$1)</f>
        <v>0</v>
      </c>
      <c r="AD105" s="145">
        <f>SUMIFS(Table2[NewPointsAway],Table2[GameDate], "&lt;=" &amp; $A105, Table2[AwayTeam], AD$1)+SUMIFS(Table2[NewPointsHome],Table2[GameDate], "&lt;=" &amp; $A105, Table2[HomeTeam], AD$1)</f>
        <v>0</v>
      </c>
      <c r="AE105" s="145">
        <f>SUMIFS(Table2[NewPointsAway],Table2[GameDate], "&lt;=" &amp; $A105, Table2[AwayTeam], AE$1)+SUMIFS(Table2[NewPointsHome],Table2[GameDate], "&lt;=" &amp; $A105, Table2[HomeTeam], AE$1)</f>
        <v>1</v>
      </c>
      <c r="AF105" s="145">
        <f>SUMIFS(Table2[NewPointsAway],Table2[GameDate], "&lt;=" &amp; $A105, Table2[AwayTeam], AF$1)+SUMIFS(Table2[NewPointsHome],Table2[GameDate], "&lt;=" &amp; $A105, Table2[HomeTeam], AF$1)</f>
        <v>0</v>
      </c>
      <c r="AG105" s="145">
        <f>SUMIFS(Table2[NewPointsAway],Table2[GameDate], "&lt;=" &amp; $A105, Table2[AwayTeam], AG$1)+SUMIFS(Table2[NewPointsHome],Table2[GameDate], "&lt;=" &amp; $A105, Table2[HomeTeam], AG$1)</f>
        <v>0</v>
      </c>
    </row>
    <row r="106" spans="1:33" x14ac:dyDescent="0.25">
      <c r="A106" s="3">
        <v>46037</v>
      </c>
      <c r="B106" s="145">
        <f>SUMIFS(Table2[NewPointsAway],Table2[GameDate], "&lt;=" &amp; $A106, Table2[AwayTeam], B$1)+SUMIFS(Table2[NewPointsHome],Table2[GameDate], "&lt;=" &amp; $A106, Table2[HomeTeam], B$1)</f>
        <v>0</v>
      </c>
      <c r="C106" s="145">
        <f>SUMIFS(Table2[NewPointsAway],Table2[GameDate], "&lt;=" &amp; $A106, Table2[AwayTeam], C$1)+SUMIFS(Table2[NewPointsHome],Table2[GameDate], "&lt;=" &amp; $A106, Table2[HomeTeam], C$1)</f>
        <v>2</v>
      </c>
      <c r="D106" s="145">
        <f>SUMIFS(Table2[NewPointsAway],Table2[GameDate], "&lt;=" &amp; $A106, Table2[AwayTeam], D$1)+SUMIFS(Table2[NewPointsHome],Table2[GameDate], "&lt;=" &amp; $A106, Table2[HomeTeam], D$1)</f>
        <v>0</v>
      </c>
      <c r="E106" s="145">
        <f>SUMIFS(Table2[NewPointsAway],Table2[GameDate], "&lt;=" &amp; $A106, Table2[AwayTeam], E$1)+SUMIFS(Table2[NewPointsHome],Table2[GameDate], "&lt;=" &amp; $A106, Table2[HomeTeam], E$1)</f>
        <v>0</v>
      </c>
      <c r="F106" s="145">
        <f>SUMIFS(Table2[NewPointsAway],Table2[GameDate], "&lt;=" &amp; $A106, Table2[AwayTeam], F$1)+SUMIFS(Table2[NewPointsHome],Table2[GameDate], "&lt;=" &amp; $A106, Table2[HomeTeam], F$1)</f>
        <v>0</v>
      </c>
      <c r="G106" s="145">
        <f>SUMIFS(Table2[NewPointsAway],Table2[GameDate], "&lt;=" &amp; $A106, Table2[AwayTeam], G$1)+SUMIFS(Table2[NewPointsHome],Table2[GameDate], "&lt;=" &amp; $A106, Table2[HomeTeam], G$1)</f>
        <v>2</v>
      </c>
      <c r="H106" s="145">
        <f>SUMIFS(Table2[NewPointsAway],Table2[GameDate], "&lt;=" &amp; $A106, Table2[AwayTeam], H$1)+SUMIFS(Table2[NewPointsHome],Table2[GameDate], "&lt;=" &amp; $A106, Table2[HomeTeam], H$1)</f>
        <v>0</v>
      </c>
      <c r="I106" s="145">
        <f>SUMIFS(Table2[NewPointsAway],Table2[GameDate], "&lt;=" &amp; $A106, Table2[AwayTeam], I$1)+SUMIFS(Table2[NewPointsHome],Table2[GameDate], "&lt;=" &amp; $A106, Table2[HomeTeam], I$1)</f>
        <v>2</v>
      </c>
      <c r="J106" s="145">
        <f>SUMIFS(Table2[NewPointsAway],Table2[GameDate], "&lt;=" &amp; $A106, Table2[AwayTeam], J$1)+SUMIFS(Table2[NewPointsHome],Table2[GameDate], "&lt;=" &amp; $A106, Table2[HomeTeam], J$1)</f>
        <v>0</v>
      </c>
      <c r="K106" s="145">
        <f>SUMIFS(Table2[NewPointsAway],Table2[GameDate], "&lt;=" &amp; $A106, Table2[AwayTeam], K$1)+SUMIFS(Table2[NewPointsHome],Table2[GameDate], "&lt;=" &amp; $A106, Table2[HomeTeam], K$1)</f>
        <v>0</v>
      </c>
      <c r="L106" s="145">
        <f>SUMIFS(Table2[NewPointsAway],Table2[GameDate], "&lt;=" &amp; $A106, Table2[AwayTeam], L$1)+SUMIFS(Table2[NewPointsHome],Table2[GameDate], "&lt;=" &amp; $A106, Table2[HomeTeam], L$1)</f>
        <v>1</v>
      </c>
      <c r="M106" s="145">
        <f>SUMIFS(Table2[NewPointsAway],Table2[GameDate], "&lt;=" &amp; $A106, Table2[AwayTeam], M$1)+SUMIFS(Table2[NewPointsHome],Table2[GameDate], "&lt;=" &amp; $A106, Table2[HomeTeam], M$1)</f>
        <v>2</v>
      </c>
      <c r="N106" s="145">
        <f>SUMIFS(Table2[NewPointsAway],Table2[GameDate], "&lt;=" &amp; $A106, Table2[AwayTeam], N$1)+SUMIFS(Table2[NewPointsHome],Table2[GameDate], "&lt;=" &amp; $A106, Table2[HomeTeam], N$1)</f>
        <v>2</v>
      </c>
      <c r="O106" s="145">
        <f>SUMIFS(Table2[NewPointsAway],Table2[GameDate], "&lt;=" &amp; $A106, Table2[AwayTeam], O$1)+SUMIFS(Table2[NewPointsHome],Table2[GameDate], "&lt;=" &amp; $A106, Table2[HomeTeam], O$1)</f>
        <v>0</v>
      </c>
      <c r="P106" s="145">
        <f>SUMIFS(Table2[NewPointsAway],Table2[GameDate], "&lt;=" &amp; $A106, Table2[AwayTeam], P$1)+SUMIFS(Table2[NewPointsHome],Table2[GameDate], "&lt;=" &amp; $A106, Table2[HomeTeam], P$1)</f>
        <v>0</v>
      </c>
      <c r="Q106" s="145">
        <f>SUMIFS(Table2[NewPointsAway],Table2[GameDate], "&lt;=" &amp; $A106, Table2[AwayTeam], Q$1)+SUMIFS(Table2[NewPointsHome],Table2[GameDate], "&lt;=" &amp; $A106, Table2[HomeTeam], Q$1)</f>
        <v>0</v>
      </c>
      <c r="R106" s="145">
        <f>SUMIFS(Table2[NewPointsAway],Table2[GameDate], "&lt;=" &amp; $A106, Table2[AwayTeam], R$1)+SUMIFS(Table2[NewPointsHome],Table2[GameDate], "&lt;=" &amp; $A106, Table2[HomeTeam], R$1)</f>
        <v>0</v>
      </c>
      <c r="S106" s="145">
        <f>SUMIFS(Table2[NewPointsAway],Table2[GameDate], "&lt;=" &amp; $A106, Table2[AwayTeam], S$1)+SUMIFS(Table2[NewPointsHome],Table2[GameDate], "&lt;=" &amp; $A106, Table2[HomeTeam], S$1)</f>
        <v>0</v>
      </c>
      <c r="T106" s="145">
        <f>SUMIFS(Table2[NewPointsAway],Table2[GameDate], "&lt;=" &amp; $A106, Table2[AwayTeam], T$1)+SUMIFS(Table2[NewPointsHome],Table2[GameDate], "&lt;=" &amp; $A106, Table2[HomeTeam], T$1)</f>
        <v>0</v>
      </c>
      <c r="U106" s="145">
        <f>SUMIFS(Table2[NewPointsAway],Table2[GameDate], "&lt;=" &amp; $A106, Table2[AwayTeam], U$1)+SUMIFS(Table2[NewPointsHome],Table2[GameDate], "&lt;=" &amp; $A106, Table2[HomeTeam], U$1)</f>
        <v>0</v>
      </c>
      <c r="V106" s="145">
        <f>SUMIFS(Table2[NewPointsAway],Table2[GameDate], "&lt;=" &amp; $A106, Table2[AwayTeam], V$1)+SUMIFS(Table2[NewPointsHome],Table2[GameDate], "&lt;=" &amp; $A106, Table2[HomeTeam], V$1)</f>
        <v>0</v>
      </c>
      <c r="W106" s="145">
        <f>SUMIFS(Table2[NewPointsAway],Table2[GameDate], "&lt;=" &amp; $A106, Table2[AwayTeam], W$1)+SUMIFS(Table2[NewPointsHome],Table2[GameDate], "&lt;=" &amp; $A106, Table2[HomeTeam], W$1)</f>
        <v>2</v>
      </c>
      <c r="X106" s="145">
        <f>SUMIFS(Table2[NewPointsAway],Table2[GameDate], "&lt;=" &amp; $A106, Table2[AwayTeam], X$1)+SUMIFS(Table2[NewPointsHome],Table2[GameDate], "&lt;=" &amp; $A106, Table2[HomeTeam], X$1)</f>
        <v>0</v>
      </c>
      <c r="Y106" s="145">
        <f>SUMIFS(Table2[NewPointsAway],Table2[GameDate], "&lt;=" &amp; $A106, Table2[AwayTeam], Y$1)+SUMIFS(Table2[NewPointsHome],Table2[GameDate], "&lt;=" &amp; $A106, Table2[HomeTeam], Y$1)</f>
        <v>0</v>
      </c>
      <c r="Z106" s="145">
        <f>SUMIFS(Table2[NewPointsAway],Table2[GameDate], "&lt;=" &amp; $A106, Table2[AwayTeam], Z$1)+SUMIFS(Table2[NewPointsHome],Table2[GameDate], "&lt;=" &amp; $A106, Table2[HomeTeam], Z$1)</f>
        <v>0</v>
      </c>
      <c r="AA106" s="145">
        <f>SUMIFS(Table2[NewPointsAway],Table2[GameDate], "&lt;=" &amp; $A106, Table2[AwayTeam], AA$1)+SUMIFS(Table2[NewPointsHome],Table2[GameDate], "&lt;=" &amp; $A106, Table2[HomeTeam], AA$1)</f>
        <v>0</v>
      </c>
      <c r="AB106" s="145">
        <f>SUMIFS(Table2[NewPointsAway],Table2[GameDate], "&lt;=" &amp; $A106, Table2[AwayTeam], AB$1)+SUMIFS(Table2[NewPointsHome],Table2[GameDate], "&lt;=" &amp; $A106, Table2[HomeTeam], AB$1)</f>
        <v>2</v>
      </c>
      <c r="AC106" s="145">
        <f>SUMIFS(Table2[NewPointsAway],Table2[GameDate], "&lt;=" &amp; $A106, Table2[AwayTeam], AC$1)+SUMIFS(Table2[NewPointsHome],Table2[GameDate], "&lt;=" &amp; $A106, Table2[HomeTeam], AC$1)</f>
        <v>0</v>
      </c>
      <c r="AD106" s="145">
        <f>SUMIFS(Table2[NewPointsAway],Table2[GameDate], "&lt;=" &amp; $A106, Table2[AwayTeam], AD$1)+SUMIFS(Table2[NewPointsHome],Table2[GameDate], "&lt;=" &amp; $A106, Table2[HomeTeam], AD$1)</f>
        <v>0</v>
      </c>
      <c r="AE106" s="145">
        <f>SUMIFS(Table2[NewPointsAway],Table2[GameDate], "&lt;=" &amp; $A106, Table2[AwayTeam], AE$1)+SUMIFS(Table2[NewPointsHome],Table2[GameDate], "&lt;=" &amp; $A106, Table2[HomeTeam], AE$1)</f>
        <v>1</v>
      </c>
      <c r="AF106" s="145">
        <f>SUMIFS(Table2[NewPointsAway],Table2[GameDate], "&lt;=" &amp; $A106, Table2[AwayTeam], AF$1)+SUMIFS(Table2[NewPointsHome],Table2[GameDate], "&lt;=" &amp; $A106, Table2[HomeTeam], AF$1)</f>
        <v>0</v>
      </c>
      <c r="AG106" s="145">
        <f>SUMIFS(Table2[NewPointsAway],Table2[GameDate], "&lt;=" &amp; $A106, Table2[AwayTeam], AG$1)+SUMIFS(Table2[NewPointsHome],Table2[GameDate], "&lt;=" &amp; $A106, Table2[HomeTeam], AG$1)</f>
        <v>0</v>
      </c>
    </row>
    <row r="107" spans="1:33" x14ac:dyDescent="0.25">
      <c r="A107" s="3">
        <v>46038</v>
      </c>
      <c r="B107" s="145">
        <f>SUMIFS(Table2[NewPointsAway],Table2[GameDate], "&lt;=" &amp; $A107, Table2[AwayTeam], B$1)+SUMIFS(Table2[NewPointsHome],Table2[GameDate], "&lt;=" &amp; $A107, Table2[HomeTeam], B$1)</f>
        <v>0</v>
      </c>
      <c r="C107" s="145">
        <f>SUMIFS(Table2[NewPointsAway],Table2[GameDate], "&lt;=" &amp; $A107, Table2[AwayTeam], C$1)+SUMIFS(Table2[NewPointsHome],Table2[GameDate], "&lt;=" &amp; $A107, Table2[HomeTeam], C$1)</f>
        <v>2</v>
      </c>
      <c r="D107" s="145">
        <f>SUMIFS(Table2[NewPointsAway],Table2[GameDate], "&lt;=" &amp; $A107, Table2[AwayTeam], D$1)+SUMIFS(Table2[NewPointsHome],Table2[GameDate], "&lt;=" &amp; $A107, Table2[HomeTeam], D$1)</f>
        <v>0</v>
      </c>
      <c r="E107" s="145">
        <f>SUMIFS(Table2[NewPointsAway],Table2[GameDate], "&lt;=" &amp; $A107, Table2[AwayTeam], E$1)+SUMIFS(Table2[NewPointsHome],Table2[GameDate], "&lt;=" &amp; $A107, Table2[HomeTeam], E$1)</f>
        <v>0</v>
      </c>
      <c r="F107" s="145">
        <f>SUMIFS(Table2[NewPointsAway],Table2[GameDate], "&lt;=" &amp; $A107, Table2[AwayTeam], F$1)+SUMIFS(Table2[NewPointsHome],Table2[GameDate], "&lt;=" &amp; $A107, Table2[HomeTeam], F$1)</f>
        <v>0</v>
      </c>
      <c r="G107" s="145">
        <f>SUMIFS(Table2[NewPointsAway],Table2[GameDate], "&lt;=" &amp; $A107, Table2[AwayTeam], G$1)+SUMIFS(Table2[NewPointsHome],Table2[GameDate], "&lt;=" &amp; $A107, Table2[HomeTeam], G$1)</f>
        <v>2</v>
      </c>
      <c r="H107" s="145">
        <f>SUMIFS(Table2[NewPointsAway],Table2[GameDate], "&lt;=" &amp; $A107, Table2[AwayTeam], H$1)+SUMIFS(Table2[NewPointsHome],Table2[GameDate], "&lt;=" &amp; $A107, Table2[HomeTeam], H$1)</f>
        <v>0</v>
      </c>
      <c r="I107" s="145">
        <f>SUMIFS(Table2[NewPointsAway],Table2[GameDate], "&lt;=" &amp; $A107, Table2[AwayTeam], I$1)+SUMIFS(Table2[NewPointsHome],Table2[GameDate], "&lt;=" &amp; $A107, Table2[HomeTeam], I$1)</f>
        <v>2</v>
      </c>
      <c r="J107" s="145">
        <f>SUMIFS(Table2[NewPointsAway],Table2[GameDate], "&lt;=" &amp; $A107, Table2[AwayTeam], J$1)+SUMIFS(Table2[NewPointsHome],Table2[GameDate], "&lt;=" &amp; $A107, Table2[HomeTeam], J$1)</f>
        <v>0</v>
      </c>
      <c r="K107" s="145">
        <f>SUMIFS(Table2[NewPointsAway],Table2[GameDate], "&lt;=" &amp; $A107, Table2[AwayTeam], K$1)+SUMIFS(Table2[NewPointsHome],Table2[GameDate], "&lt;=" &amp; $A107, Table2[HomeTeam], K$1)</f>
        <v>0</v>
      </c>
      <c r="L107" s="145">
        <f>SUMIFS(Table2[NewPointsAway],Table2[GameDate], "&lt;=" &amp; $A107, Table2[AwayTeam], L$1)+SUMIFS(Table2[NewPointsHome],Table2[GameDate], "&lt;=" &amp; $A107, Table2[HomeTeam], L$1)</f>
        <v>1</v>
      </c>
      <c r="M107" s="145">
        <f>SUMIFS(Table2[NewPointsAway],Table2[GameDate], "&lt;=" &amp; $A107, Table2[AwayTeam], M$1)+SUMIFS(Table2[NewPointsHome],Table2[GameDate], "&lt;=" &amp; $A107, Table2[HomeTeam], M$1)</f>
        <v>2</v>
      </c>
      <c r="N107" s="145">
        <f>SUMIFS(Table2[NewPointsAway],Table2[GameDate], "&lt;=" &amp; $A107, Table2[AwayTeam], N$1)+SUMIFS(Table2[NewPointsHome],Table2[GameDate], "&lt;=" &amp; $A107, Table2[HomeTeam], N$1)</f>
        <v>2</v>
      </c>
      <c r="O107" s="145">
        <f>SUMIFS(Table2[NewPointsAway],Table2[GameDate], "&lt;=" &amp; $A107, Table2[AwayTeam], O$1)+SUMIFS(Table2[NewPointsHome],Table2[GameDate], "&lt;=" &amp; $A107, Table2[HomeTeam], O$1)</f>
        <v>0</v>
      </c>
      <c r="P107" s="145">
        <f>SUMIFS(Table2[NewPointsAway],Table2[GameDate], "&lt;=" &amp; $A107, Table2[AwayTeam], P$1)+SUMIFS(Table2[NewPointsHome],Table2[GameDate], "&lt;=" &amp; $A107, Table2[HomeTeam], P$1)</f>
        <v>0</v>
      </c>
      <c r="Q107" s="145">
        <f>SUMIFS(Table2[NewPointsAway],Table2[GameDate], "&lt;=" &amp; $A107, Table2[AwayTeam], Q$1)+SUMIFS(Table2[NewPointsHome],Table2[GameDate], "&lt;=" &amp; $A107, Table2[HomeTeam], Q$1)</f>
        <v>0</v>
      </c>
      <c r="R107" s="145">
        <f>SUMIFS(Table2[NewPointsAway],Table2[GameDate], "&lt;=" &amp; $A107, Table2[AwayTeam], R$1)+SUMIFS(Table2[NewPointsHome],Table2[GameDate], "&lt;=" &amp; $A107, Table2[HomeTeam], R$1)</f>
        <v>0</v>
      </c>
      <c r="S107" s="145">
        <f>SUMIFS(Table2[NewPointsAway],Table2[GameDate], "&lt;=" &amp; $A107, Table2[AwayTeam], S$1)+SUMIFS(Table2[NewPointsHome],Table2[GameDate], "&lt;=" &amp; $A107, Table2[HomeTeam], S$1)</f>
        <v>0</v>
      </c>
      <c r="T107" s="145">
        <f>SUMIFS(Table2[NewPointsAway],Table2[GameDate], "&lt;=" &amp; $A107, Table2[AwayTeam], T$1)+SUMIFS(Table2[NewPointsHome],Table2[GameDate], "&lt;=" &amp; $A107, Table2[HomeTeam], T$1)</f>
        <v>0</v>
      </c>
      <c r="U107" s="145">
        <f>SUMIFS(Table2[NewPointsAway],Table2[GameDate], "&lt;=" &amp; $A107, Table2[AwayTeam], U$1)+SUMIFS(Table2[NewPointsHome],Table2[GameDate], "&lt;=" &amp; $A107, Table2[HomeTeam], U$1)</f>
        <v>0</v>
      </c>
      <c r="V107" s="145">
        <f>SUMIFS(Table2[NewPointsAway],Table2[GameDate], "&lt;=" &amp; $A107, Table2[AwayTeam], V$1)+SUMIFS(Table2[NewPointsHome],Table2[GameDate], "&lt;=" &amp; $A107, Table2[HomeTeam], V$1)</f>
        <v>0</v>
      </c>
      <c r="W107" s="145">
        <f>SUMIFS(Table2[NewPointsAway],Table2[GameDate], "&lt;=" &amp; $A107, Table2[AwayTeam], W$1)+SUMIFS(Table2[NewPointsHome],Table2[GameDate], "&lt;=" &amp; $A107, Table2[HomeTeam], W$1)</f>
        <v>2</v>
      </c>
      <c r="X107" s="145">
        <f>SUMIFS(Table2[NewPointsAway],Table2[GameDate], "&lt;=" &amp; $A107, Table2[AwayTeam], X$1)+SUMIFS(Table2[NewPointsHome],Table2[GameDate], "&lt;=" &amp; $A107, Table2[HomeTeam], X$1)</f>
        <v>0</v>
      </c>
      <c r="Y107" s="145">
        <f>SUMIFS(Table2[NewPointsAway],Table2[GameDate], "&lt;=" &amp; $A107, Table2[AwayTeam], Y$1)+SUMIFS(Table2[NewPointsHome],Table2[GameDate], "&lt;=" &amp; $A107, Table2[HomeTeam], Y$1)</f>
        <v>0</v>
      </c>
      <c r="Z107" s="145">
        <f>SUMIFS(Table2[NewPointsAway],Table2[GameDate], "&lt;=" &amp; $A107, Table2[AwayTeam], Z$1)+SUMIFS(Table2[NewPointsHome],Table2[GameDate], "&lt;=" &amp; $A107, Table2[HomeTeam], Z$1)</f>
        <v>0</v>
      </c>
      <c r="AA107" s="145">
        <f>SUMIFS(Table2[NewPointsAway],Table2[GameDate], "&lt;=" &amp; $A107, Table2[AwayTeam], AA$1)+SUMIFS(Table2[NewPointsHome],Table2[GameDate], "&lt;=" &amp; $A107, Table2[HomeTeam], AA$1)</f>
        <v>0</v>
      </c>
      <c r="AB107" s="145">
        <f>SUMIFS(Table2[NewPointsAway],Table2[GameDate], "&lt;=" &amp; $A107, Table2[AwayTeam], AB$1)+SUMIFS(Table2[NewPointsHome],Table2[GameDate], "&lt;=" &amp; $A107, Table2[HomeTeam], AB$1)</f>
        <v>2</v>
      </c>
      <c r="AC107" s="145">
        <f>SUMIFS(Table2[NewPointsAway],Table2[GameDate], "&lt;=" &amp; $A107, Table2[AwayTeam], AC$1)+SUMIFS(Table2[NewPointsHome],Table2[GameDate], "&lt;=" &amp; $A107, Table2[HomeTeam], AC$1)</f>
        <v>0</v>
      </c>
      <c r="AD107" s="145">
        <f>SUMIFS(Table2[NewPointsAway],Table2[GameDate], "&lt;=" &amp; $A107, Table2[AwayTeam], AD$1)+SUMIFS(Table2[NewPointsHome],Table2[GameDate], "&lt;=" &amp; $A107, Table2[HomeTeam], AD$1)</f>
        <v>0</v>
      </c>
      <c r="AE107" s="145">
        <f>SUMIFS(Table2[NewPointsAway],Table2[GameDate], "&lt;=" &amp; $A107, Table2[AwayTeam], AE$1)+SUMIFS(Table2[NewPointsHome],Table2[GameDate], "&lt;=" &amp; $A107, Table2[HomeTeam], AE$1)</f>
        <v>1</v>
      </c>
      <c r="AF107" s="145">
        <f>SUMIFS(Table2[NewPointsAway],Table2[GameDate], "&lt;=" &amp; $A107, Table2[AwayTeam], AF$1)+SUMIFS(Table2[NewPointsHome],Table2[GameDate], "&lt;=" &amp; $A107, Table2[HomeTeam], AF$1)</f>
        <v>0</v>
      </c>
      <c r="AG107" s="145">
        <f>SUMIFS(Table2[NewPointsAway],Table2[GameDate], "&lt;=" &amp; $A107, Table2[AwayTeam], AG$1)+SUMIFS(Table2[NewPointsHome],Table2[GameDate], "&lt;=" &amp; $A107, Table2[HomeTeam], AG$1)</f>
        <v>0</v>
      </c>
    </row>
    <row r="108" spans="1:33" x14ac:dyDescent="0.25">
      <c r="A108" s="3">
        <v>46039</v>
      </c>
      <c r="B108" s="145">
        <f>SUMIFS(Table2[NewPointsAway],Table2[GameDate], "&lt;=" &amp; $A108, Table2[AwayTeam], B$1)+SUMIFS(Table2[NewPointsHome],Table2[GameDate], "&lt;=" &amp; $A108, Table2[HomeTeam], B$1)</f>
        <v>0</v>
      </c>
      <c r="C108" s="145">
        <f>SUMIFS(Table2[NewPointsAway],Table2[GameDate], "&lt;=" &amp; $A108, Table2[AwayTeam], C$1)+SUMIFS(Table2[NewPointsHome],Table2[GameDate], "&lt;=" &amp; $A108, Table2[HomeTeam], C$1)</f>
        <v>2</v>
      </c>
      <c r="D108" s="145">
        <f>SUMIFS(Table2[NewPointsAway],Table2[GameDate], "&lt;=" &amp; $A108, Table2[AwayTeam], D$1)+SUMIFS(Table2[NewPointsHome],Table2[GameDate], "&lt;=" &amp; $A108, Table2[HomeTeam], D$1)</f>
        <v>0</v>
      </c>
      <c r="E108" s="145">
        <f>SUMIFS(Table2[NewPointsAway],Table2[GameDate], "&lt;=" &amp; $A108, Table2[AwayTeam], E$1)+SUMIFS(Table2[NewPointsHome],Table2[GameDate], "&lt;=" &amp; $A108, Table2[HomeTeam], E$1)</f>
        <v>0</v>
      </c>
      <c r="F108" s="145">
        <f>SUMIFS(Table2[NewPointsAway],Table2[GameDate], "&lt;=" &amp; $A108, Table2[AwayTeam], F$1)+SUMIFS(Table2[NewPointsHome],Table2[GameDate], "&lt;=" &amp; $A108, Table2[HomeTeam], F$1)</f>
        <v>0</v>
      </c>
      <c r="G108" s="145">
        <f>SUMIFS(Table2[NewPointsAway],Table2[GameDate], "&lt;=" &amp; $A108, Table2[AwayTeam], G$1)+SUMIFS(Table2[NewPointsHome],Table2[GameDate], "&lt;=" &amp; $A108, Table2[HomeTeam], G$1)</f>
        <v>2</v>
      </c>
      <c r="H108" s="145">
        <f>SUMIFS(Table2[NewPointsAway],Table2[GameDate], "&lt;=" &amp; $A108, Table2[AwayTeam], H$1)+SUMIFS(Table2[NewPointsHome],Table2[GameDate], "&lt;=" &amp; $A108, Table2[HomeTeam], H$1)</f>
        <v>0</v>
      </c>
      <c r="I108" s="145">
        <f>SUMIFS(Table2[NewPointsAway],Table2[GameDate], "&lt;=" &amp; $A108, Table2[AwayTeam], I$1)+SUMIFS(Table2[NewPointsHome],Table2[GameDate], "&lt;=" &amp; $A108, Table2[HomeTeam], I$1)</f>
        <v>2</v>
      </c>
      <c r="J108" s="145">
        <f>SUMIFS(Table2[NewPointsAway],Table2[GameDate], "&lt;=" &amp; $A108, Table2[AwayTeam], J$1)+SUMIFS(Table2[NewPointsHome],Table2[GameDate], "&lt;=" &amp; $A108, Table2[HomeTeam], J$1)</f>
        <v>0</v>
      </c>
      <c r="K108" s="145">
        <f>SUMIFS(Table2[NewPointsAway],Table2[GameDate], "&lt;=" &amp; $A108, Table2[AwayTeam], K$1)+SUMIFS(Table2[NewPointsHome],Table2[GameDate], "&lt;=" &amp; $A108, Table2[HomeTeam], K$1)</f>
        <v>0</v>
      </c>
      <c r="L108" s="145">
        <f>SUMIFS(Table2[NewPointsAway],Table2[GameDate], "&lt;=" &amp; $A108, Table2[AwayTeam], L$1)+SUMIFS(Table2[NewPointsHome],Table2[GameDate], "&lt;=" &amp; $A108, Table2[HomeTeam], L$1)</f>
        <v>1</v>
      </c>
      <c r="M108" s="145">
        <f>SUMIFS(Table2[NewPointsAway],Table2[GameDate], "&lt;=" &amp; $A108, Table2[AwayTeam], M$1)+SUMIFS(Table2[NewPointsHome],Table2[GameDate], "&lt;=" &amp; $A108, Table2[HomeTeam], M$1)</f>
        <v>2</v>
      </c>
      <c r="N108" s="145">
        <f>SUMIFS(Table2[NewPointsAway],Table2[GameDate], "&lt;=" &amp; $A108, Table2[AwayTeam], N$1)+SUMIFS(Table2[NewPointsHome],Table2[GameDate], "&lt;=" &amp; $A108, Table2[HomeTeam], N$1)</f>
        <v>2</v>
      </c>
      <c r="O108" s="145">
        <f>SUMIFS(Table2[NewPointsAway],Table2[GameDate], "&lt;=" &amp; $A108, Table2[AwayTeam], O$1)+SUMIFS(Table2[NewPointsHome],Table2[GameDate], "&lt;=" &amp; $A108, Table2[HomeTeam], O$1)</f>
        <v>0</v>
      </c>
      <c r="P108" s="145">
        <f>SUMIFS(Table2[NewPointsAway],Table2[GameDate], "&lt;=" &amp; $A108, Table2[AwayTeam], P$1)+SUMIFS(Table2[NewPointsHome],Table2[GameDate], "&lt;=" &amp; $A108, Table2[HomeTeam], P$1)</f>
        <v>0</v>
      </c>
      <c r="Q108" s="145">
        <f>SUMIFS(Table2[NewPointsAway],Table2[GameDate], "&lt;=" &amp; $A108, Table2[AwayTeam], Q$1)+SUMIFS(Table2[NewPointsHome],Table2[GameDate], "&lt;=" &amp; $A108, Table2[HomeTeam], Q$1)</f>
        <v>0</v>
      </c>
      <c r="R108" s="145">
        <f>SUMIFS(Table2[NewPointsAway],Table2[GameDate], "&lt;=" &amp; $A108, Table2[AwayTeam], R$1)+SUMIFS(Table2[NewPointsHome],Table2[GameDate], "&lt;=" &amp; $A108, Table2[HomeTeam], R$1)</f>
        <v>0</v>
      </c>
      <c r="S108" s="145">
        <f>SUMIFS(Table2[NewPointsAway],Table2[GameDate], "&lt;=" &amp; $A108, Table2[AwayTeam], S$1)+SUMIFS(Table2[NewPointsHome],Table2[GameDate], "&lt;=" &amp; $A108, Table2[HomeTeam], S$1)</f>
        <v>0</v>
      </c>
      <c r="T108" s="145">
        <f>SUMIFS(Table2[NewPointsAway],Table2[GameDate], "&lt;=" &amp; $A108, Table2[AwayTeam], T$1)+SUMIFS(Table2[NewPointsHome],Table2[GameDate], "&lt;=" &amp; $A108, Table2[HomeTeam], T$1)</f>
        <v>0</v>
      </c>
      <c r="U108" s="145">
        <f>SUMIFS(Table2[NewPointsAway],Table2[GameDate], "&lt;=" &amp; $A108, Table2[AwayTeam], U$1)+SUMIFS(Table2[NewPointsHome],Table2[GameDate], "&lt;=" &amp; $A108, Table2[HomeTeam], U$1)</f>
        <v>0</v>
      </c>
      <c r="V108" s="145">
        <f>SUMIFS(Table2[NewPointsAway],Table2[GameDate], "&lt;=" &amp; $A108, Table2[AwayTeam], V$1)+SUMIFS(Table2[NewPointsHome],Table2[GameDate], "&lt;=" &amp; $A108, Table2[HomeTeam], V$1)</f>
        <v>0</v>
      </c>
      <c r="W108" s="145">
        <f>SUMIFS(Table2[NewPointsAway],Table2[GameDate], "&lt;=" &amp; $A108, Table2[AwayTeam], W$1)+SUMIFS(Table2[NewPointsHome],Table2[GameDate], "&lt;=" &amp; $A108, Table2[HomeTeam], W$1)</f>
        <v>2</v>
      </c>
      <c r="X108" s="145">
        <f>SUMIFS(Table2[NewPointsAway],Table2[GameDate], "&lt;=" &amp; $A108, Table2[AwayTeam], X$1)+SUMIFS(Table2[NewPointsHome],Table2[GameDate], "&lt;=" &amp; $A108, Table2[HomeTeam], X$1)</f>
        <v>0</v>
      </c>
      <c r="Y108" s="145">
        <f>SUMIFS(Table2[NewPointsAway],Table2[GameDate], "&lt;=" &amp; $A108, Table2[AwayTeam], Y$1)+SUMIFS(Table2[NewPointsHome],Table2[GameDate], "&lt;=" &amp; $A108, Table2[HomeTeam], Y$1)</f>
        <v>0</v>
      </c>
      <c r="Z108" s="145">
        <f>SUMIFS(Table2[NewPointsAway],Table2[GameDate], "&lt;=" &amp; $A108, Table2[AwayTeam], Z$1)+SUMIFS(Table2[NewPointsHome],Table2[GameDate], "&lt;=" &amp; $A108, Table2[HomeTeam], Z$1)</f>
        <v>0</v>
      </c>
      <c r="AA108" s="145">
        <f>SUMIFS(Table2[NewPointsAway],Table2[GameDate], "&lt;=" &amp; $A108, Table2[AwayTeam], AA$1)+SUMIFS(Table2[NewPointsHome],Table2[GameDate], "&lt;=" &amp; $A108, Table2[HomeTeam], AA$1)</f>
        <v>0</v>
      </c>
      <c r="AB108" s="145">
        <f>SUMIFS(Table2[NewPointsAway],Table2[GameDate], "&lt;=" &amp; $A108, Table2[AwayTeam], AB$1)+SUMIFS(Table2[NewPointsHome],Table2[GameDate], "&lt;=" &amp; $A108, Table2[HomeTeam], AB$1)</f>
        <v>2</v>
      </c>
      <c r="AC108" s="145">
        <f>SUMIFS(Table2[NewPointsAway],Table2[GameDate], "&lt;=" &amp; $A108, Table2[AwayTeam], AC$1)+SUMIFS(Table2[NewPointsHome],Table2[GameDate], "&lt;=" &amp; $A108, Table2[HomeTeam], AC$1)</f>
        <v>0</v>
      </c>
      <c r="AD108" s="145">
        <f>SUMIFS(Table2[NewPointsAway],Table2[GameDate], "&lt;=" &amp; $A108, Table2[AwayTeam], AD$1)+SUMIFS(Table2[NewPointsHome],Table2[GameDate], "&lt;=" &amp; $A108, Table2[HomeTeam], AD$1)</f>
        <v>0</v>
      </c>
      <c r="AE108" s="145">
        <f>SUMIFS(Table2[NewPointsAway],Table2[GameDate], "&lt;=" &amp; $A108, Table2[AwayTeam], AE$1)+SUMIFS(Table2[NewPointsHome],Table2[GameDate], "&lt;=" &amp; $A108, Table2[HomeTeam], AE$1)</f>
        <v>1</v>
      </c>
      <c r="AF108" s="145">
        <f>SUMIFS(Table2[NewPointsAway],Table2[GameDate], "&lt;=" &amp; $A108, Table2[AwayTeam], AF$1)+SUMIFS(Table2[NewPointsHome],Table2[GameDate], "&lt;=" &amp; $A108, Table2[HomeTeam], AF$1)</f>
        <v>0</v>
      </c>
      <c r="AG108" s="145">
        <f>SUMIFS(Table2[NewPointsAway],Table2[GameDate], "&lt;=" &amp; $A108, Table2[AwayTeam], AG$1)+SUMIFS(Table2[NewPointsHome],Table2[GameDate], "&lt;=" &amp; $A108, Table2[HomeTeam], AG$1)</f>
        <v>0</v>
      </c>
    </row>
    <row r="109" spans="1:33" x14ac:dyDescent="0.25">
      <c r="A109" s="3">
        <v>46040</v>
      </c>
      <c r="B109" s="145">
        <f>SUMIFS(Table2[NewPointsAway],Table2[GameDate], "&lt;=" &amp; $A109, Table2[AwayTeam], B$1)+SUMIFS(Table2[NewPointsHome],Table2[GameDate], "&lt;=" &amp; $A109, Table2[HomeTeam], B$1)</f>
        <v>0</v>
      </c>
      <c r="C109" s="145">
        <f>SUMIFS(Table2[NewPointsAway],Table2[GameDate], "&lt;=" &amp; $A109, Table2[AwayTeam], C$1)+SUMIFS(Table2[NewPointsHome],Table2[GameDate], "&lt;=" &amp; $A109, Table2[HomeTeam], C$1)</f>
        <v>2</v>
      </c>
      <c r="D109" s="145">
        <f>SUMIFS(Table2[NewPointsAway],Table2[GameDate], "&lt;=" &amp; $A109, Table2[AwayTeam], D$1)+SUMIFS(Table2[NewPointsHome],Table2[GameDate], "&lt;=" &amp; $A109, Table2[HomeTeam], D$1)</f>
        <v>0</v>
      </c>
      <c r="E109" s="145">
        <f>SUMIFS(Table2[NewPointsAway],Table2[GameDate], "&lt;=" &amp; $A109, Table2[AwayTeam], E$1)+SUMIFS(Table2[NewPointsHome],Table2[GameDate], "&lt;=" &amp; $A109, Table2[HomeTeam], E$1)</f>
        <v>0</v>
      </c>
      <c r="F109" s="145">
        <f>SUMIFS(Table2[NewPointsAway],Table2[GameDate], "&lt;=" &amp; $A109, Table2[AwayTeam], F$1)+SUMIFS(Table2[NewPointsHome],Table2[GameDate], "&lt;=" &amp; $A109, Table2[HomeTeam], F$1)</f>
        <v>0</v>
      </c>
      <c r="G109" s="145">
        <f>SUMIFS(Table2[NewPointsAway],Table2[GameDate], "&lt;=" &amp; $A109, Table2[AwayTeam], G$1)+SUMIFS(Table2[NewPointsHome],Table2[GameDate], "&lt;=" &amp; $A109, Table2[HomeTeam], G$1)</f>
        <v>2</v>
      </c>
      <c r="H109" s="145">
        <f>SUMIFS(Table2[NewPointsAway],Table2[GameDate], "&lt;=" &amp; $A109, Table2[AwayTeam], H$1)+SUMIFS(Table2[NewPointsHome],Table2[GameDate], "&lt;=" &amp; $A109, Table2[HomeTeam], H$1)</f>
        <v>0</v>
      </c>
      <c r="I109" s="145">
        <f>SUMIFS(Table2[NewPointsAway],Table2[GameDate], "&lt;=" &amp; $A109, Table2[AwayTeam], I$1)+SUMIFS(Table2[NewPointsHome],Table2[GameDate], "&lt;=" &amp; $A109, Table2[HomeTeam], I$1)</f>
        <v>2</v>
      </c>
      <c r="J109" s="145">
        <f>SUMIFS(Table2[NewPointsAway],Table2[GameDate], "&lt;=" &amp; $A109, Table2[AwayTeam], J$1)+SUMIFS(Table2[NewPointsHome],Table2[GameDate], "&lt;=" &amp; $A109, Table2[HomeTeam], J$1)</f>
        <v>0</v>
      </c>
      <c r="K109" s="145">
        <f>SUMIFS(Table2[NewPointsAway],Table2[GameDate], "&lt;=" &amp; $A109, Table2[AwayTeam], K$1)+SUMIFS(Table2[NewPointsHome],Table2[GameDate], "&lt;=" &amp; $A109, Table2[HomeTeam], K$1)</f>
        <v>0</v>
      </c>
      <c r="L109" s="145">
        <f>SUMIFS(Table2[NewPointsAway],Table2[GameDate], "&lt;=" &amp; $A109, Table2[AwayTeam], L$1)+SUMIFS(Table2[NewPointsHome],Table2[GameDate], "&lt;=" &amp; $A109, Table2[HomeTeam], L$1)</f>
        <v>1</v>
      </c>
      <c r="M109" s="145">
        <f>SUMIFS(Table2[NewPointsAway],Table2[GameDate], "&lt;=" &amp; $A109, Table2[AwayTeam], M$1)+SUMIFS(Table2[NewPointsHome],Table2[GameDate], "&lt;=" &amp; $A109, Table2[HomeTeam], M$1)</f>
        <v>2</v>
      </c>
      <c r="N109" s="145">
        <f>SUMIFS(Table2[NewPointsAway],Table2[GameDate], "&lt;=" &amp; $A109, Table2[AwayTeam], N$1)+SUMIFS(Table2[NewPointsHome],Table2[GameDate], "&lt;=" &amp; $A109, Table2[HomeTeam], N$1)</f>
        <v>2</v>
      </c>
      <c r="O109" s="145">
        <f>SUMIFS(Table2[NewPointsAway],Table2[GameDate], "&lt;=" &amp; $A109, Table2[AwayTeam], O$1)+SUMIFS(Table2[NewPointsHome],Table2[GameDate], "&lt;=" &amp; $A109, Table2[HomeTeam], O$1)</f>
        <v>0</v>
      </c>
      <c r="P109" s="145">
        <f>SUMIFS(Table2[NewPointsAway],Table2[GameDate], "&lt;=" &amp; $A109, Table2[AwayTeam], P$1)+SUMIFS(Table2[NewPointsHome],Table2[GameDate], "&lt;=" &amp; $A109, Table2[HomeTeam], P$1)</f>
        <v>0</v>
      </c>
      <c r="Q109" s="145">
        <f>SUMIFS(Table2[NewPointsAway],Table2[GameDate], "&lt;=" &amp; $A109, Table2[AwayTeam], Q$1)+SUMIFS(Table2[NewPointsHome],Table2[GameDate], "&lt;=" &amp; $A109, Table2[HomeTeam], Q$1)</f>
        <v>0</v>
      </c>
      <c r="R109" s="145">
        <f>SUMIFS(Table2[NewPointsAway],Table2[GameDate], "&lt;=" &amp; $A109, Table2[AwayTeam], R$1)+SUMIFS(Table2[NewPointsHome],Table2[GameDate], "&lt;=" &amp; $A109, Table2[HomeTeam], R$1)</f>
        <v>0</v>
      </c>
      <c r="S109" s="145">
        <f>SUMIFS(Table2[NewPointsAway],Table2[GameDate], "&lt;=" &amp; $A109, Table2[AwayTeam], S$1)+SUMIFS(Table2[NewPointsHome],Table2[GameDate], "&lt;=" &amp; $A109, Table2[HomeTeam], S$1)</f>
        <v>0</v>
      </c>
      <c r="T109" s="145">
        <f>SUMIFS(Table2[NewPointsAway],Table2[GameDate], "&lt;=" &amp; $A109, Table2[AwayTeam], T$1)+SUMIFS(Table2[NewPointsHome],Table2[GameDate], "&lt;=" &amp; $A109, Table2[HomeTeam], T$1)</f>
        <v>0</v>
      </c>
      <c r="U109" s="145">
        <f>SUMIFS(Table2[NewPointsAway],Table2[GameDate], "&lt;=" &amp; $A109, Table2[AwayTeam], U$1)+SUMIFS(Table2[NewPointsHome],Table2[GameDate], "&lt;=" &amp; $A109, Table2[HomeTeam], U$1)</f>
        <v>0</v>
      </c>
      <c r="V109" s="145">
        <f>SUMIFS(Table2[NewPointsAway],Table2[GameDate], "&lt;=" &amp; $A109, Table2[AwayTeam], V$1)+SUMIFS(Table2[NewPointsHome],Table2[GameDate], "&lt;=" &amp; $A109, Table2[HomeTeam], V$1)</f>
        <v>0</v>
      </c>
      <c r="W109" s="145">
        <f>SUMIFS(Table2[NewPointsAway],Table2[GameDate], "&lt;=" &amp; $A109, Table2[AwayTeam], W$1)+SUMIFS(Table2[NewPointsHome],Table2[GameDate], "&lt;=" &amp; $A109, Table2[HomeTeam], W$1)</f>
        <v>2</v>
      </c>
      <c r="X109" s="145">
        <f>SUMIFS(Table2[NewPointsAway],Table2[GameDate], "&lt;=" &amp; $A109, Table2[AwayTeam], X$1)+SUMIFS(Table2[NewPointsHome],Table2[GameDate], "&lt;=" &amp; $A109, Table2[HomeTeam], X$1)</f>
        <v>0</v>
      </c>
      <c r="Y109" s="145">
        <f>SUMIFS(Table2[NewPointsAway],Table2[GameDate], "&lt;=" &amp; $A109, Table2[AwayTeam], Y$1)+SUMIFS(Table2[NewPointsHome],Table2[GameDate], "&lt;=" &amp; $A109, Table2[HomeTeam], Y$1)</f>
        <v>0</v>
      </c>
      <c r="Z109" s="145">
        <f>SUMIFS(Table2[NewPointsAway],Table2[GameDate], "&lt;=" &amp; $A109, Table2[AwayTeam], Z$1)+SUMIFS(Table2[NewPointsHome],Table2[GameDate], "&lt;=" &amp; $A109, Table2[HomeTeam], Z$1)</f>
        <v>0</v>
      </c>
      <c r="AA109" s="145">
        <f>SUMIFS(Table2[NewPointsAway],Table2[GameDate], "&lt;=" &amp; $A109, Table2[AwayTeam], AA$1)+SUMIFS(Table2[NewPointsHome],Table2[GameDate], "&lt;=" &amp; $A109, Table2[HomeTeam], AA$1)</f>
        <v>0</v>
      </c>
      <c r="AB109" s="145">
        <f>SUMIFS(Table2[NewPointsAway],Table2[GameDate], "&lt;=" &amp; $A109, Table2[AwayTeam], AB$1)+SUMIFS(Table2[NewPointsHome],Table2[GameDate], "&lt;=" &amp; $A109, Table2[HomeTeam], AB$1)</f>
        <v>2</v>
      </c>
      <c r="AC109" s="145">
        <f>SUMIFS(Table2[NewPointsAway],Table2[GameDate], "&lt;=" &amp; $A109, Table2[AwayTeam], AC$1)+SUMIFS(Table2[NewPointsHome],Table2[GameDate], "&lt;=" &amp; $A109, Table2[HomeTeam], AC$1)</f>
        <v>0</v>
      </c>
      <c r="AD109" s="145">
        <f>SUMIFS(Table2[NewPointsAway],Table2[GameDate], "&lt;=" &amp; $A109, Table2[AwayTeam], AD$1)+SUMIFS(Table2[NewPointsHome],Table2[GameDate], "&lt;=" &amp; $A109, Table2[HomeTeam], AD$1)</f>
        <v>0</v>
      </c>
      <c r="AE109" s="145">
        <f>SUMIFS(Table2[NewPointsAway],Table2[GameDate], "&lt;=" &amp; $A109, Table2[AwayTeam], AE$1)+SUMIFS(Table2[NewPointsHome],Table2[GameDate], "&lt;=" &amp; $A109, Table2[HomeTeam], AE$1)</f>
        <v>1</v>
      </c>
      <c r="AF109" s="145">
        <f>SUMIFS(Table2[NewPointsAway],Table2[GameDate], "&lt;=" &amp; $A109, Table2[AwayTeam], AF$1)+SUMIFS(Table2[NewPointsHome],Table2[GameDate], "&lt;=" &amp; $A109, Table2[HomeTeam], AF$1)</f>
        <v>0</v>
      </c>
      <c r="AG109" s="145">
        <f>SUMIFS(Table2[NewPointsAway],Table2[GameDate], "&lt;=" &amp; $A109, Table2[AwayTeam], AG$1)+SUMIFS(Table2[NewPointsHome],Table2[GameDate], "&lt;=" &amp; $A109, Table2[HomeTeam], AG$1)</f>
        <v>0</v>
      </c>
    </row>
    <row r="110" spans="1:33" x14ac:dyDescent="0.25">
      <c r="A110" s="3">
        <v>46041</v>
      </c>
      <c r="B110" s="145">
        <f>SUMIFS(Table2[NewPointsAway],Table2[GameDate], "&lt;=" &amp; $A110, Table2[AwayTeam], B$1)+SUMIFS(Table2[NewPointsHome],Table2[GameDate], "&lt;=" &amp; $A110, Table2[HomeTeam], B$1)</f>
        <v>0</v>
      </c>
      <c r="C110" s="145">
        <f>SUMIFS(Table2[NewPointsAway],Table2[GameDate], "&lt;=" &amp; $A110, Table2[AwayTeam], C$1)+SUMIFS(Table2[NewPointsHome],Table2[GameDate], "&lt;=" &amp; $A110, Table2[HomeTeam], C$1)</f>
        <v>2</v>
      </c>
      <c r="D110" s="145">
        <f>SUMIFS(Table2[NewPointsAway],Table2[GameDate], "&lt;=" &amp; $A110, Table2[AwayTeam], D$1)+SUMIFS(Table2[NewPointsHome],Table2[GameDate], "&lt;=" &amp; $A110, Table2[HomeTeam], D$1)</f>
        <v>0</v>
      </c>
      <c r="E110" s="145">
        <f>SUMIFS(Table2[NewPointsAway],Table2[GameDate], "&lt;=" &amp; $A110, Table2[AwayTeam], E$1)+SUMIFS(Table2[NewPointsHome],Table2[GameDate], "&lt;=" &amp; $A110, Table2[HomeTeam], E$1)</f>
        <v>0</v>
      </c>
      <c r="F110" s="145">
        <f>SUMIFS(Table2[NewPointsAway],Table2[GameDate], "&lt;=" &amp; $A110, Table2[AwayTeam], F$1)+SUMIFS(Table2[NewPointsHome],Table2[GameDate], "&lt;=" &amp; $A110, Table2[HomeTeam], F$1)</f>
        <v>0</v>
      </c>
      <c r="G110" s="145">
        <f>SUMIFS(Table2[NewPointsAway],Table2[GameDate], "&lt;=" &amp; $A110, Table2[AwayTeam], G$1)+SUMIFS(Table2[NewPointsHome],Table2[GameDate], "&lt;=" &amp; $A110, Table2[HomeTeam], G$1)</f>
        <v>2</v>
      </c>
      <c r="H110" s="145">
        <f>SUMIFS(Table2[NewPointsAway],Table2[GameDate], "&lt;=" &amp; $A110, Table2[AwayTeam], H$1)+SUMIFS(Table2[NewPointsHome],Table2[GameDate], "&lt;=" &amp; $A110, Table2[HomeTeam], H$1)</f>
        <v>0</v>
      </c>
      <c r="I110" s="145">
        <f>SUMIFS(Table2[NewPointsAway],Table2[GameDate], "&lt;=" &amp; $A110, Table2[AwayTeam], I$1)+SUMIFS(Table2[NewPointsHome],Table2[GameDate], "&lt;=" &amp; $A110, Table2[HomeTeam], I$1)</f>
        <v>2</v>
      </c>
      <c r="J110" s="145">
        <f>SUMIFS(Table2[NewPointsAway],Table2[GameDate], "&lt;=" &amp; $A110, Table2[AwayTeam], J$1)+SUMIFS(Table2[NewPointsHome],Table2[GameDate], "&lt;=" &amp; $A110, Table2[HomeTeam], J$1)</f>
        <v>0</v>
      </c>
      <c r="K110" s="145">
        <f>SUMIFS(Table2[NewPointsAway],Table2[GameDate], "&lt;=" &amp; $A110, Table2[AwayTeam], K$1)+SUMIFS(Table2[NewPointsHome],Table2[GameDate], "&lt;=" &amp; $A110, Table2[HomeTeam], K$1)</f>
        <v>0</v>
      </c>
      <c r="L110" s="145">
        <f>SUMIFS(Table2[NewPointsAway],Table2[GameDate], "&lt;=" &amp; $A110, Table2[AwayTeam], L$1)+SUMIFS(Table2[NewPointsHome],Table2[GameDate], "&lt;=" &amp; $A110, Table2[HomeTeam], L$1)</f>
        <v>1</v>
      </c>
      <c r="M110" s="145">
        <f>SUMIFS(Table2[NewPointsAway],Table2[GameDate], "&lt;=" &amp; $A110, Table2[AwayTeam], M$1)+SUMIFS(Table2[NewPointsHome],Table2[GameDate], "&lt;=" &amp; $A110, Table2[HomeTeam], M$1)</f>
        <v>2</v>
      </c>
      <c r="N110" s="145">
        <f>SUMIFS(Table2[NewPointsAway],Table2[GameDate], "&lt;=" &amp; $A110, Table2[AwayTeam], N$1)+SUMIFS(Table2[NewPointsHome],Table2[GameDate], "&lt;=" &amp; $A110, Table2[HomeTeam], N$1)</f>
        <v>2</v>
      </c>
      <c r="O110" s="145">
        <f>SUMIFS(Table2[NewPointsAway],Table2[GameDate], "&lt;=" &amp; $A110, Table2[AwayTeam], O$1)+SUMIFS(Table2[NewPointsHome],Table2[GameDate], "&lt;=" &amp; $A110, Table2[HomeTeam], O$1)</f>
        <v>0</v>
      </c>
      <c r="P110" s="145">
        <f>SUMIFS(Table2[NewPointsAway],Table2[GameDate], "&lt;=" &amp; $A110, Table2[AwayTeam], P$1)+SUMIFS(Table2[NewPointsHome],Table2[GameDate], "&lt;=" &amp; $A110, Table2[HomeTeam], P$1)</f>
        <v>0</v>
      </c>
      <c r="Q110" s="145">
        <f>SUMIFS(Table2[NewPointsAway],Table2[GameDate], "&lt;=" &amp; $A110, Table2[AwayTeam], Q$1)+SUMIFS(Table2[NewPointsHome],Table2[GameDate], "&lt;=" &amp; $A110, Table2[HomeTeam], Q$1)</f>
        <v>0</v>
      </c>
      <c r="R110" s="145">
        <f>SUMIFS(Table2[NewPointsAway],Table2[GameDate], "&lt;=" &amp; $A110, Table2[AwayTeam], R$1)+SUMIFS(Table2[NewPointsHome],Table2[GameDate], "&lt;=" &amp; $A110, Table2[HomeTeam], R$1)</f>
        <v>0</v>
      </c>
      <c r="S110" s="145">
        <f>SUMIFS(Table2[NewPointsAway],Table2[GameDate], "&lt;=" &amp; $A110, Table2[AwayTeam], S$1)+SUMIFS(Table2[NewPointsHome],Table2[GameDate], "&lt;=" &amp; $A110, Table2[HomeTeam], S$1)</f>
        <v>0</v>
      </c>
      <c r="T110" s="145">
        <f>SUMIFS(Table2[NewPointsAway],Table2[GameDate], "&lt;=" &amp; $A110, Table2[AwayTeam], T$1)+SUMIFS(Table2[NewPointsHome],Table2[GameDate], "&lt;=" &amp; $A110, Table2[HomeTeam], T$1)</f>
        <v>0</v>
      </c>
      <c r="U110" s="145">
        <f>SUMIFS(Table2[NewPointsAway],Table2[GameDate], "&lt;=" &amp; $A110, Table2[AwayTeam], U$1)+SUMIFS(Table2[NewPointsHome],Table2[GameDate], "&lt;=" &amp; $A110, Table2[HomeTeam], U$1)</f>
        <v>0</v>
      </c>
      <c r="V110" s="145">
        <f>SUMIFS(Table2[NewPointsAway],Table2[GameDate], "&lt;=" &amp; $A110, Table2[AwayTeam], V$1)+SUMIFS(Table2[NewPointsHome],Table2[GameDate], "&lt;=" &amp; $A110, Table2[HomeTeam], V$1)</f>
        <v>0</v>
      </c>
      <c r="W110" s="145">
        <f>SUMIFS(Table2[NewPointsAway],Table2[GameDate], "&lt;=" &amp; $A110, Table2[AwayTeam], W$1)+SUMIFS(Table2[NewPointsHome],Table2[GameDate], "&lt;=" &amp; $A110, Table2[HomeTeam], W$1)</f>
        <v>2</v>
      </c>
      <c r="X110" s="145">
        <f>SUMIFS(Table2[NewPointsAway],Table2[GameDate], "&lt;=" &amp; $A110, Table2[AwayTeam], X$1)+SUMIFS(Table2[NewPointsHome],Table2[GameDate], "&lt;=" &amp; $A110, Table2[HomeTeam], X$1)</f>
        <v>0</v>
      </c>
      <c r="Y110" s="145">
        <f>SUMIFS(Table2[NewPointsAway],Table2[GameDate], "&lt;=" &amp; $A110, Table2[AwayTeam], Y$1)+SUMIFS(Table2[NewPointsHome],Table2[GameDate], "&lt;=" &amp; $A110, Table2[HomeTeam], Y$1)</f>
        <v>0</v>
      </c>
      <c r="Z110" s="145">
        <f>SUMIFS(Table2[NewPointsAway],Table2[GameDate], "&lt;=" &amp; $A110, Table2[AwayTeam], Z$1)+SUMIFS(Table2[NewPointsHome],Table2[GameDate], "&lt;=" &amp; $A110, Table2[HomeTeam], Z$1)</f>
        <v>0</v>
      </c>
      <c r="AA110" s="145">
        <f>SUMIFS(Table2[NewPointsAway],Table2[GameDate], "&lt;=" &amp; $A110, Table2[AwayTeam], AA$1)+SUMIFS(Table2[NewPointsHome],Table2[GameDate], "&lt;=" &amp; $A110, Table2[HomeTeam], AA$1)</f>
        <v>0</v>
      </c>
      <c r="AB110" s="145">
        <f>SUMIFS(Table2[NewPointsAway],Table2[GameDate], "&lt;=" &amp; $A110, Table2[AwayTeam], AB$1)+SUMIFS(Table2[NewPointsHome],Table2[GameDate], "&lt;=" &amp; $A110, Table2[HomeTeam], AB$1)</f>
        <v>2</v>
      </c>
      <c r="AC110" s="145">
        <f>SUMIFS(Table2[NewPointsAway],Table2[GameDate], "&lt;=" &amp; $A110, Table2[AwayTeam], AC$1)+SUMIFS(Table2[NewPointsHome],Table2[GameDate], "&lt;=" &amp; $A110, Table2[HomeTeam], AC$1)</f>
        <v>0</v>
      </c>
      <c r="AD110" s="145">
        <f>SUMIFS(Table2[NewPointsAway],Table2[GameDate], "&lt;=" &amp; $A110, Table2[AwayTeam], AD$1)+SUMIFS(Table2[NewPointsHome],Table2[GameDate], "&lt;=" &amp; $A110, Table2[HomeTeam], AD$1)</f>
        <v>0</v>
      </c>
      <c r="AE110" s="145">
        <f>SUMIFS(Table2[NewPointsAway],Table2[GameDate], "&lt;=" &amp; $A110, Table2[AwayTeam], AE$1)+SUMIFS(Table2[NewPointsHome],Table2[GameDate], "&lt;=" &amp; $A110, Table2[HomeTeam], AE$1)</f>
        <v>1</v>
      </c>
      <c r="AF110" s="145">
        <f>SUMIFS(Table2[NewPointsAway],Table2[GameDate], "&lt;=" &amp; $A110, Table2[AwayTeam], AF$1)+SUMIFS(Table2[NewPointsHome],Table2[GameDate], "&lt;=" &amp; $A110, Table2[HomeTeam], AF$1)</f>
        <v>0</v>
      </c>
      <c r="AG110" s="145">
        <f>SUMIFS(Table2[NewPointsAway],Table2[GameDate], "&lt;=" &amp; $A110, Table2[AwayTeam], AG$1)+SUMIFS(Table2[NewPointsHome],Table2[GameDate], "&lt;=" &amp; $A110, Table2[HomeTeam], AG$1)</f>
        <v>0</v>
      </c>
    </row>
    <row r="111" spans="1:33" x14ac:dyDescent="0.25">
      <c r="A111" s="3">
        <v>46042</v>
      </c>
      <c r="B111" s="145">
        <f>SUMIFS(Table2[NewPointsAway],Table2[GameDate], "&lt;=" &amp; $A111, Table2[AwayTeam], B$1)+SUMIFS(Table2[NewPointsHome],Table2[GameDate], "&lt;=" &amp; $A111, Table2[HomeTeam], B$1)</f>
        <v>0</v>
      </c>
      <c r="C111" s="145">
        <f>SUMIFS(Table2[NewPointsAway],Table2[GameDate], "&lt;=" &amp; $A111, Table2[AwayTeam], C$1)+SUMIFS(Table2[NewPointsHome],Table2[GameDate], "&lt;=" &amp; $A111, Table2[HomeTeam], C$1)</f>
        <v>2</v>
      </c>
      <c r="D111" s="145">
        <f>SUMIFS(Table2[NewPointsAway],Table2[GameDate], "&lt;=" &amp; $A111, Table2[AwayTeam], D$1)+SUMIFS(Table2[NewPointsHome],Table2[GameDate], "&lt;=" &amp; $A111, Table2[HomeTeam], D$1)</f>
        <v>0</v>
      </c>
      <c r="E111" s="145">
        <f>SUMIFS(Table2[NewPointsAway],Table2[GameDate], "&lt;=" &amp; $A111, Table2[AwayTeam], E$1)+SUMIFS(Table2[NewPointsHome],Table2[GameDate], "&lt;=" &amp; $A111, Table2[HomeTeam], E$1)</f>
        <v>0</v>
      </c>
      <c r="F111" s="145">
        <f>SUMIFS(Table2[NewPointsAway],Table2[GameDate], "&lt;=" &amp; $A111, Table2[AwayTeam], F$1)+SUMIFS(Table2[NewPointsHome],Table2[GameDate], "&lt;=" &amp; $A111, Table2[HomeTeam], F$1)</f>
        <v>0</v>
      </c>
      <c r="G111" s="145">
        <f>SUMIFS(Table2[NewPointsAway],Table2[GameDate], "&lt;=" &amp; $A111, Table2[AwayTeam], G$1)+SUMIFS(Table2[NewPointsHome],Table2[GameDate], "&lt;=" &amp; $A111, Table2[HomeTeam], G$1)</f>
        <v>2</v>
      </c>
      <c r="H111" s="145">
        <f>SUMIFS(Table2[NewPointsAway],Table2[GameDate], "&lt;=" &amp; $A111, Table2[AwayTeam], H$1)+SUMIFS(Table2[NewPointsHome],Table2[GameDate], "&lt;=" &amp; $A111, Table2[HomeTeam], H$1)</f>
        <v>0</v>
      </c>
      <c r="I111" s="145">
        <f>SUMIFS(Table2[NewPointsAway],Table2[GameDate], "&lt;=" &amp; $A111, Table2[AwayTeam], I$1)+SUMIFS(Table2[NewPointsHome],Table2[GameDate], "&lt;=" &amp; $A111, Table2[HomeTeam], I$1)</f>
        <v>2</v>
      </c>
      <c r="J111" s="145">
        <f>SUMIFS(Table2[NewPointsAway],Table2[GameDate], "&lt;=" &amp; $A111, Table2[AwayTeam], J$1)+SUMIFS(Table2[NewPointsHome],Table2[GameDate], "&lt;=" &amp; $A111, Table2[HomeTeam], J$1)</f>
        <v>0</v>
      </c>
      <c r="K111" s="145">
        <f>SUMIFS(Table2[NewPointsAway],Table2[GameDate], "&lt;=" &amp; $A111, Table2[AwayTeam], K$1)+SUMIFS(Table2[NewPointsHome],Table2[GameDate], "&lt;=" &amp; $A111, Table2[HomeTeam], K$1)</f>
        <v>0</v>
      </c>
      <c r="L111" s="145">
        <f>SUMIFS(Table2[NewPointsAway],Table2[GameDate], "&lt;=" &amp; $A111, Table2[AwayTeam], L$1)+SUMIFS(Table2[NewPointsHome],Table2[GameDate], "&lt;=" &amp; $A111, Table2[HomeTeam], L$1)</f>
        <v>1</v>
      </c>
      <c r="M111" s="145">
        <f>SUMIFS(Table2[NewPointsAway],Table2[GameDate], "&lt;=" &amp; $A111, Table2[AwayTeam], M$1)+SUMIFS(Table2[NewPointsHome],Table2[GameDate], "&lt;=" &amp; $A111, Table2[HomeTeam], M$1)</f>
        <v>2</v>
      </c>
      <c r="N111" s="145">
        <f>SUMIFS(Table2[NewPointsAway],Table2[GameDate], "&lt;=" &amp; $A111, Table2[AwayTeam], N$1)+SUMIFS(Table2[NewPointsHome],Table2[GameDate], "&lt;=" &amp; $A111, Table2[HomeTeam], N$1)</f>
        <v>2</v>
      </c>
      <c r="O111" s="145">
        <f>SUMIFS(Table2[NewPointsAway],Table2[GameDate], "&lt;=" &amp; $A111, Table2[AwayTeam], O$1)+SUMIFS(Table2[NewPointsHome],Table2[GameDate], "&lt;=" &amp; $A111, Table2[HomeTeam], O$1)</f>
        <v>0</v>
      </c>
      <c r="P111" s="145">
        <f>SUMIFS(Table2[NewPointsAway],Table2[GameDate], "&lt;=" &amp; $A111, Table2[AwayTeam], P$1)+SUMIFS(Table2[NewPointsHome],Table2[GameDate], "&lt;=" &amp; $A111, Table2[HomeTeam], P$1)</f>
        <v>0</v>
      </c>
      <c r="Q111" s="145">
        <f>SUMIFS(Table2[NewPointsAway],Table2[GameDate], "&lt;=" &amp; $A111, Table2[AwayTeam], Q$1)+SUMIFS(Table2[NewPointsHome],Table2[GameDate], "&lt;=" &amp; $A111, Table2[HomeTeam], Q$1)</f>
        <v>0</v>
      </c>
      <c r="R111" s="145">
        <f>SUMIFS(Table2[NewPointsAway],Table2[GameDate], "&lt;=" &amp; $A111, Table2[AwayTeam], R$1)+SUMIFS(Table2[NewPointsHome],Table2[GameDate], "&lt;=" &amp; $A111, Table2[HomeTeam], R$1)</f>
        <v>0</v>
      </c>
      <c r="S111" s="145">
        <f>SUMIFS(Table2[NewPointsAway],Table2[GameDate], "&lt;=" &amp; $A111, Table2[AwayTeam], S$1)+SUMIFS(Table2[NewPointsHome],Table2[GameDate], "&lt;=" &amp; $A111, Table2[HomeTeam], S$1)</f>
        <v>0</v>
      </c>
      <c r="T111" s="145">
        <f>SUMIFS(Table2[NewPointsAway],Table2[GameDate], "&lt;=" &amp; $A111, Table2[AwayTeam], T$1)+SUMIFS(Table2[NewPointsHome],Table2[GameDate], "&lt;=" &amp; $A111, Table2[HomeTeam], T$1)</f>
        <v>0</v>
      </c>
      <c r="U111" s="145">
        <f>SUMIFS(Table2[NewPointsAway],Table2[GameDate], "&lt;=" &amp; $A111, Table2[AwayTeam], U$1)+SUMIFS(Table2[NewPointsHome],Table2[GameDate], "&lt;=" &amp; $A111, Table2[HomeTeam], U$1)</f>
        <v>0</v>
      </c>
      <c r="V111" s="145">
        <f>SUMIFS(Table2[NewPointsAway],Table2[GameDate], "&lt;=" &amp; $A111, Table2[AwayTeam], V$1)+SUMIFS(Table2[NewPointsHome],Table2[GameDate], "&lt;=" &amp; $A111, Table2[HomeTeam], V$1)</f>
        <v>0</v>
      </c>
      <c r="W111" s="145">
        <f>SUMIFS(Table2[NewPointsAway],Table2[GameDate], "&lt;=" &amp; $A111, Table2[AwayTeam], W$1)+SUMIFS(Table2[NewPointsHome],Table2[GameDate], "&lt;=" &amp; $A111, Table2[HomeTeam], W$1)</f>
        <v>2</v>
      </c>
      <c r="X111" s="145">
        <f>SUMIFS(Table2[NewPointsAway],Table2[GameDate], "&lt;=" &amp; $A111, Table2[AwayTeam], X$1)+SUMIFS(Table2[NewPointsHome],Table2[GameDate], "&lt;=" &amp; $A111, Table2[HomeTeam], X$1)</f>
        <v>0</v>
      </c>
      <c r="Y111" s="145">
        <f>SUMIFS(Table2[NewPointsAway],Table2[GameDate], "&lt;=" &amp; $A111, Table2[AwayTeam], Y$1)+SUMIFS(Table2[NewPointsHome],Table2[GameDate], "&lt;=" &amp; $A111, Table2[HomeTeam], Y$1)</f>
        <v>0</v>
      </c>
      <c r="Z111" s="145">
        <f>SUMIFS(Table2[NewPointsAway],Table2[GameDate], "&lt;=" &amp; $A111, Table2[AwayTeam], Z$1)+SUMIFS(Table2[NewPointsHome],Table2[GameDate], "&lt;=" &amp; $A111, Table2[HomeTeam], Z$1)</f>
        <v>0</v>
      </c>
      <c r="AA111" s="145">
        <f>SUMIFS(Table2[NewPointsAway],Table2[GameDate], "&lt;=" &amp; $A111, Table2[AwayTeam], AA$1)+SUMIFS(Table2[NewPointsHome],Table2[GameDate], "&lt;=" &amp; $A111, Table2[HomeTeam], AA$1)</f>
        <v>0</v>
      </c>
      <c r="AB111" s="145">
        <f>SUMIFS(Table2[NewPointsAway],Table2[GameDate], "&lt;=" &amp; $A111, Table2[AwayTeam], AB$1)+SUMIFS(Table2[NewPointsHome],Table2[GameDate], "&lt;=" &amp; $A111, Table2[HomeTeam], AB$1)</f>
        <v>2</v>
      </c>
      <c r="AC111" s="145">
        <f>SUMIFS(Table2[NewPointsAway],Table2[GameDate], "&lt;=" &amp; $A111, Table2[AwayTeam], AC$1)+SUMIFS(Table2[NewPointsHome],Table2[GameDate], "&lt;=" &amp; $A111, Table2[HomeTeam], AC$1)</f>
        <v>0</v>
      </c>
      <c r="AD111" s="145">
        <f>SUMIFS(Table2[NewPointsAway],Table2[GameDate], "&lt;=" &amp; $A111, Table2[AwayTeam], AD$1)+SUMIFS(Table2[NewPointsHome],Table2[GameDate], "&lt;=" &amp; $A111, Table2[HomeTeam], AD$1)</f>
        <v>0</v>
      </c>
      <c r="AE111" s="145">
        <f>SUMIFS(Table2[NewPointsAway],Table2[GameDate], "&lt;=" &amp; $A111, Table2[AwayTeam], AE$1)+SUMIFS(Table2[NewPointsHome],Table2[GameDate], "&lt;=" &amp; $A111, Table2[HomeTeam], AE$1)</f>
        <v>1</v>
      </c>
      <c r="AF111" s="145">
        <f>SUMIFS(Table2[NewPointsAway],Table2[GameDate], "&lt;=" &amp; $A111, Table2[AwayTeam], AF$1)+SUMIFS(Table2[NewPointsHome],Table2[GameDate], "&lt;=" &amp; $A111, Table2[HomeTeam], AF$1)</f>
        <v>0</v>
      </c>
      <c r="AG111" s="145">
        <f>SUMIFS(Table2[NewPointsAway],Table2[GameDate], "&lt;=" &amp; $A111, Table2[AwayTeam], AG$1)+SUMIFS(Table2[NewPointsHome],Table2[GameDate], "&lt;=" &amp; $A111, Table2[HomeTeam], AG$1)</f>
        <v>0</v>
      </c>
    </row>
    <row r="112" spans="1:33" x14ac:dyDescent="0.25">
      <c r="A112" s="3">
        <v>46043</v>
      </c>
      <c r="B112" s="145">
        <f>SUMIFS(Table2[NewPointsAway],Table2[GameDate], "&lt;=" &amp; $A112, Table2[AwayTeam], B$1)+SUMIFS(Table2[NewPointsHome],Table2[GameDate], "&lt;=" &amp; $A112, Table2[HomeTeam], B$1)</f>
        <v>0</v>
      </c>
      <c r="C112" s="145">
        <f>SUMIFS(Table2[NewPointsAway],Table2[GameDate], "&lt;=" &amp; $A112, Table2[AwayTeam], C$1)+SUMIFS(Table2[NewPointsHome],Table2[GameDate], "&lt;=" &amp; $A112, Table2[HomeTeam], C$1)</f>
        <v>2</v>
      </c>
      <c r="D112" s="145">
        <f>SUMIFS(Table2[NewPointsAway],Table2[GameDate], "&lt;=" &amp; $A112, Table2[AwayTeam], D$1)+SUMIFS(Table2[NewPointsHome],Table2[GameDate], "&lt;=" &amp; $A112, Table2[HomeTeam], D$1)</f>
        <v>0</v>
      </c>
      <c r="E112" s="145">
        <f>SUMIFS(Table2[NewPointsAway],Table2[GameDate], "&lt;=" &amp; $A112, Table2[AwayTeam], E$1)+SUMIFS(Table2[NewPointsHome],Table2[GameDate], "&lt;=" &amp; $A112, Table2[HomeTeam], E$1)</f>
        <v>0</v>
      </c>
      <c r="F112" s="145">
        <f>SUMIFS(Table2[NewPointsAway],Table2[GameDate], "&lt;=" &amp; $A112, Table2[AwayTeam], F$1)+SUMIFS(Table2[NewPointsHome],Table2[GameDate], "&lt;=" &amp; $A112, Table2[HomeTeam], F$1)</f>
        <v>0</v>
      </c>
      <c r="G112" s="145">
        <f>SUMIFS(Table2[NewPointsAway],Table2[GameDate], "&lt;=" &amp; $A112, Table2[AwayTeam], G$1)+SUMIFS(Table2[NewPointsHome],Table2[GameDate], "&lt;=" &amp; $A112, Table2[HomeTeam], G$1)</f>
        <v>2</v>
      </c>
      <c r="H112" s="145">
        <f>SUMIFS(Table2[NewPointsAway],Table2[GameDate], "&lt;=" &amp; $A112, Table2[AwayTeam], H$1)+SUMIFS(Table2[NewPointsHome],Table2[GameDate], "&lt;=" &amp; $A112, Table2[HomeTeam], H$1)</f>
        <v>0</v>
      </c>
      <c r="I112" s="145">
        <f>SUMIFS(Table2[NewPointsAway],Table2[GameDate], "&lt;=" &amp; $A112, Table2[AwayTeam], I$1)+SUMIFS(Table2[NewPointsHome],Table2[GameDate], "&lt;=" &amp; $A112, Table2[HomeTeam], I$1)</f>
        <v>2</v>
      </c>
      <c r="J112" s="145">
        <f>SUMIFS(Table2[NewPointsAway],Table2[GameDate], "&lt;=" &amp; $A112, Table2[AwayTeam], J$1)+SUMIFS(Table2[NewPointsHome],Table2[GameDate], "&lt;=" &amp; $A112, Table2[HomeTeam], J$1)</f>
        <v>0</v>
      </c>
      <c r="K112" s="145">
        <f>SUMIFS(Table2[NewPointsAway],Table2[GameDate], "&lt;=" &amp; $A112, Table2[AwayTeam], K$1)+SUMIFS(Table2[NewPointsHome],Table2[GameDate], "&lt;=" &amp; $A112, Table2[HomeTeam], K$1)</f>
        <v>0</v>
      </c>
      <c r="L112" s="145">
        <f>SUMIFS(Table2[NewPointsAway],Table2[GameDate], "&lt;=" &amp; $A112, Table2[AwayTeam], L$1)+SUMIFS(Table2[NewPointsHome],Table2[GameDate], "&lt;=" &amp; $A112, Table2[HomeTeam], L$1)</f>
        <v>1</v>
      </c>
      <c r="M112" s="145">
        <f>SUMIFS(Table2[NewPointsAway],Table2[GameDate], "&lt;=" &amp; $A112, Table2[AwayTeam], M$1)+SUMIFS(Table2[NewPointsHome],Table2[GameDate], "&lt;=" &amp; $A112, Table2[HomeTeam], M$1)</f>
        <v>2</v>
      </c>
      <c r="N112" s="145">
        <f>SUMIFS(Table2[NewPointsAway],Table2[GameDate], "&lt;=" &amp; $A112, Table2[AwayTeam], N$1)+SUMIFS(Table2[NewPointsHome],Table2[GameDate], "&lt;=" &amp; $A112, Table2[HomeTeam], N$1)</f>
        <v>2</v>
      </c>
      <c r="O112" s="145">
        <f>SUMIFS(Table2[NewPointsAway],Table2[GameDate], "&lt;=" &amp; $A112, Table2[AwayTeam], O$1)+SUMIFS(Table2[NewPointsHome],Table2[GameDate], "&lt;=" &amp; $A112, Table2[HomeTeam], O$1)</f>
        <v>0</v>
      </c>
      <c r="P112" s="145">
        <f>SUMIFS(Table2[NewPointsAway],Table2[GameDate], "&lt;=" &amp; $A112, Table2[AwayTeam], P$1)+SUMIFS(Table2[NewPointsHome],Table2[GameDate], "&lt;=" &amp; $A112, Table2[HomeTeam], P$1)</f>
        <v>0</v>
      </c>
      <c r="Q112" s="145">
        <f>SUMIFS(Table2[NewPointsAway],Table2[GameDate], "&lt;=" &amp; $A112, Table2[AwayTeam], Q$1)+SUMIFS(Table2[NewPointsHome],Table2[GameDate], "&lt;=" &amp; $A112, Table2[HomeTeam], Q$1)</f>
        <v>0</v>
      </c>
      <c r="R112" s="145">
        <f>SUMIFS(Table2[NewPointsAway],Table2[GameDate], "&lt;=" &amp; $A112, Table2[AwayTeam], R$1)+SUMIFS(Table2[NewPointsHome],Table2[GameDate], "&lt;=" &amp; $A112, Table2[HomeTeam], R$1)</f>
        <v>0</v>
      </c>
      <c r="S112" s="145">
        <f>SUMIFS(Table2[NewPointsAway],Table2[GameDate], "&lt;=" &amp; $A112, Table2[AwayTeam], S$1)+SUMIFS(Table2[NewPointsHome],Table2[GameDate], "&lt;=" &amp; $A112, Table2[HomeTeam], S$1)</f>
        <v>0</v>
      </c>
      <c r="T112" s="145">
        <f>SUMIFS(Table2[NewPointsAway],Table2[GameDate], "&lt;=" &amp; $A112, Table2[AwayTeam], T$1)+SUMIFS(Table2[NewPointsHome],Table2[GameDate], "&lt;=" &amp; $A112, Table2[HomeTeam], T$1)</f>
        <v>0</v>
      </c>
      <c r="U112" s="145">
        <f>SUMIFS(Table2[NewPointsAway],Table2[GameDate], "&lt;=" &amp; $A112, Table2[AwayTeam], U$1)+SUMIFS(Table2[NewPointsHome],Table2[GameDate], "&lt;=" &amp; $A112, Table2[HomeTeam], U$1)</f>
        <v>0</v>
      </c>
      <c r="V112" s="145">
        <f>SUMIFS(Table2[NewPointsAway],Table2[GameDate], "&lt;=" &amp; $A112, Table2[AwayTeam], V$1)+SUMIFS(Table2[NewPointsHome],Table2[GameDate], "&lt;=" &amp; $A112, Table2[HomeTeam], V$1)</f>
        <v>0</v>
      </c>
      <c r="W112" s="145">
        <f>SUMIFS(Table2[NewPointsAway],Table2[GameDate], "&lt;=" &amp; $A112, Table2[AwayTeam], W$1)+SUMIFS(Table2[NewPointsHome],Table2[GameDate], "&lt;=" &amp; $A112, Table2[HomeTeam], W$1)</f>
        <v>2</v>
      </c>
      <c r="X112" s="145">
        <f>SUMIFS(Table2[NewPointsAway],Table2[GameDate], "&lt;=" &amp; $A112, Table2[AwayTeam], X$1)+SUMIFS(Table2[NewPointsHome],Table2[GameDate], "&lt;=" &amp; $A112, Table2[HomeTeam], X$1)</f>
        <v>0</v>
      </c>
      <c r="Y112" s="145">
        <f>SUMIFS(Table2[NewPointsAway],Table2[GameDate], "&lt;=" &amp; $A112, Table2[AwayTeam], Y$1)+SUMIFS(Table2[NewPointsHome],Table2[GameDate], "&lt;=" &amp; $A112, Table2[HomeTeam], Y$1)</f>
        <v>0</v>
      </c>
      <c r="Z112" s="145">
        <f>SUMIFS(Table2[NewPointsAway],Table2[GameDate], "&lt;=" &amp; $A112, Table2[AwayTeam], Z$1)+SUMIFS(Table2[NewPointsHome],Table2[GameDate], "&lt;=" &amp; $A112, Table2[HomeTeam], Z$1)</f>
        <v>0</v>
      </c>
      <c r="AA112" s="145">
        <f>SUMIFS(Table2[NewPointsAway],Table2[GameDate], "&lt;=" &amp; $A112, Table2[AwayTeam], AA$1)+SUMIFS(Table2[NewPointsHome],Table2[GameDate], "&lt;=" &amp; $A112, Table2[HomeTeam], AA$1)</f>
        <v>0</v>
      </c>
      <c r="AB112" s="145">
        <f>SUMIFS(Table2[NewPointsAway],Table2[GameDate], "&lt;=" &amp; $A112, Table2[AwayTeam], AB$1)+SUMIFS(Table2[NewPointsHome],Table2[GameDate], "&lt;=" &amp; $A112, Table2[HomeTeam], AB$1)</f>
        <v>2</v>
      </c>
      <c r="AC112" s="145">
        <f>SUMIFS(Table2[NewPointsAway],Table2[GameDate], "&lt;=" &amp; $A112, Table2[AwayTeam], AC$1)+SUMIFS(Table2[NewPointsHome],Table2[GameDate], "&lt;=" &amp; $A112, Table2[HomeTeam], AC$1)</f>
        <v>0</v>
      </c>
      <c r="AD112" s="145">
        <f>SUMIFS(Table2[NewPointsAway],Table2[GameDate], "&lt;=" &amp; $A112, Table2[AwayTeam], AD$1)+SUMIFS(Table2[NewPointsHome],Table2[GameDate], "&lt;=" &amp; $A112, Table2[HomeTeam], AD$1)</f>
        <v>0</v>
      </c>
      <c r="AE112" s="145">
        <f>SUMIFS(Table2[NewPointsAway],Table2[GameDate], "&lt;=" &amp; $A112, Table2[AwayTeam], AE$1)+SUMIFS(Table2[NewPointsHome],Table2[GameDate], "&lt;=" &amp; $A112, Table2[HomeTeam], AE$1)</f>
        <v>1</v>
      </c>
      <c r="AF112" s="145">
        <f>SUMIFS(Table2[NewPointsAway],Table2[GameDate], "&lt;=" &amp; $A112, Table2[AwayTeam], AF$1)+SUMIFS(Table2[NewPointsHome],Table2[GameDate], "&lt;=" &amp; $A112, Table2[HomeTeam], AF$1)</f>
        <v>0</v>
      </c>
      <c r="AG112" s="145">
        <f>SUMIFS(Table2[NewPointsAway],Table2[GameDate], "&lt;=" &amp; $A112, Table2[AwayTeam], AG$1)+SUMIFS(Table2[NewPointsHome],Table2[GameDate], "&lt;=" &amp; $A112, Table2[HomeTeam], AG$1)</f>
        <v>0</v>
      </c>
    </row>
    <row r="113" spans="1:33" x14ac:dyDescent="0.25">
      <c r="A113" s="3">
        <v>46044</v>
      </c>
      <c r="B113" s="145">
        <f>SUMIFS(Table2[NewPointsAway],Table2[GameDate], "&lt;=" &amp; $A113, Table2[AwayTeam], B$1)+SUMIFS(Table2[NewPointsHome],Table2[GameDate], "&lt;=" &amp; $A113, Table2[HomeTeam], B$1)</f>
        <v>0</v>
      </c>
      <c r="C113" s="145">
        <f>SUMIFS(Table2[NewPointsAway],Table2[GameDate], "&lt;=" &amp; $A113, Table2[AwayTeam], C$1)+SUMIFS(Table2[NewPointsHome],Table2[GameDate], "&lt;=" &amp; $A113, Table2[HomeTeam], C$1)</f>
        <v>2</v>
      </c>
      <c r="D113" s="145">
        <f>SUMIFS(Table2[NewPointsAway],Table2[GameDate], "&lt;=" &amp; $A113, Table2[AwayTeam], D$1)+SUMIFS(Table2[NewPointsHome],Table2[GameDate], "&lt;=" &amp; $A113, Table2[HomeTeam], D$1)</f>
        <v>0</v>
      </c>
      <c r="E113" s="145">
        <f>SUMIFS(Table2[NewPointsAway],Table2[GameDate], "&lt;=" &amp; $A113, Table2[AwayTeam], E$1)+SUMIFS(Table2[NewPointsHome],Table2[GameDate], "&lt;=" &amp; $A113, Table2[HomeTeam], E$1)</f>
        <v>0</v>
      </c>
      <c r="F113" s="145">
        <f>SUMIFS(Table2[NewPointsAway],Table2[GameDate], "&lt;=" &amp; $A113, Table2[AwayTeam], F$1)+SUMIFS(Table2[NewPointsHome],Table2[GameDate], "&lt;=" &amp; $A113, Table2[HomeTeam], F$1)</f>
        <v>0</v>
      </c>
      <c r="G113" s="145">
        <f>SUMIFS(Table2[NewPointsAway],Table2[GameDate], "&lt;=" &amp; $A113, Table2[AwayTeam], G$1)+SUMIFS(Table2[NewPointsHome],Table2[GameDate], "&lt;=" &amp; $A113, Table2[HomeTeam], G$1)</f>
        <v>2</v>
      </c>
      <c r="H113" s="145">
        <f>SUMIFS(Table2[NewPointsAway],Table2[GameDate], "&lt;=" &amp; $A113, Table2[AwayTeam], H$1)+SUMIFS(Table2[NewPointsHome],Table2[GameDate], "&lt;=" &amp; $A113, Table2[HomeTeam], H$1)</f>
        <v>0</v>
      </c>
      <c r="I113" s="145">
        <f>SUMIFS(Table2[NewPointsAway],Table2[GameDate], "&lt;=" &amp; $A113, Table2[AwayTeam], I$1)+SUMIFS(Table2[NewPointsHome],Table2[GameDate], "&lt;=" &amp; $A113, Table2[HomeTeam], I$1)</f>
        <v>2</v>
      </c>
      <c r="J113" s="145">
        <f>SUMIFS(Table2[NewPointsAway],Table2[GameDate], "&lt;=" &amp; $A113, Table2[AwayTeam], J$1)+SUMIFS(Table2[NewPointsHome],Table2[GameDate], "&lt;=" &amp; $A113, Table2[HomeTeam], J$1)</f>
        <v>0</v>
      </c>
      <c r="K113" s="145">
        <f>SUMIFS(Table2[NewPointsAway],Table2[GameDate], "&lt;=" &amp; $A113, Table2[AwayTeam], K$1)+SUMIFS(Table2[NewPointsHome],Table2[GameDate], "&lt;=" &amp; $A113, Table2[HomeTeam], K$1)</f>
        <v>0</v>
      </c>
      <c r="L113" s="145">
        <f>SUMIFS(Table2[NewPointsAway],Table2[GameDate], "&lt;=" &amp; $A113, Table2[AwayTeam], L$1)+SUMIFS(Table2[NewPointsHome],Table2[GameDate], "&lt;=" &amp; $A113, Table2[HomeTeam], L$1)</f>
        <v>1</v>
      </c>
      <c r="M113" s="145">
        <f>SUMIFS(Table2[NewPointsAway],Table2[GameDate], "&lt;=" &amp; $A113, Table2[AwayTeam], M$1)+SUMIFS(Table2[NewPointsHome],Table2[GameDate], "&lt;=" &amp; $A113, Table2[HomeTeam], M$1)</f>
        <v>2</v>
      </c>
      <c r="N113" s="145">
        <f>SUMIFS(Table2[NewPointsAway],Table2[GameDate], "&lt;=" &amp; $A113, Table2[AwayTeam], N$1)+SUMIFS(Table2[NewPointsHome],Table2[GameDate], "&lt;=" &amp; $A113, Table2[HomeTeam], N$1)</f>
        <v>2</v>
      </c>
      <c r="O113" s="145">
        <f>SUMIFS(Table2[NewPointsAway],Table2[GameDate], "&lt;=" &amp; $A113, Table2[AwayTeam], O$1)+SUMIFS(Table2[NewPointsHome],Table2[GameDate], "&lt;=" &amp; $A113, Table2[HomeTeam], O$1)</f>
        <v>0</v>
      </c>
      <c r="P113" s="145">
        <f>SUMIFS(Table2[NewPointsAway],Table2[GameDate], "&lt;=" &amp; $A113, Table2[AwayTeam], P$1)+SUMIFS(Table2[NewPointsHome],Table2[GameDate], "&lt;=" &amp; $A113, Table2[HomeTeam], P$1)</f>
        <v>0</v>
      </c>
      <c r="Q113" s="145">
        <f>SUMIFS(Table2[NewPointsAway],Table2[GameDate], "&lt;=" &amp; $A113, Table2[AwayTeam], Q$1)+SUMIFS(Table2[NewPointsHome],Table2[GameDate], "&lt;=" &amp; $A113, Table2[HomeTeam], Q$1)</f>
        <v>0</v>
      </c>
      <c r="R113" s="145">
        <f>SUMIFS(Table2[NewPointsAway],Table2[GameDate], "&lt;=" &amp; $A113, Table2[AwayTeam], R$1)+SUMIFS(Table2[NewPointsHome],Table2[GameDate], "&lt;=" &amp; $A113, Table2[HomeTeam], R$1)</f>
        <v>0</v>
      </c>
      <c r="S113" s="145">
        <f>SUMIFS(Table2[NewPointsAway],Table2[GameDate], "&lt;=" &amp; $A113, Table2[AwayTeam], S$1)+SUMIFS(Table2[NewPointsHome],Table2[GameDate], "&lt;=" &amp; $A113, Table2[HomeTeam], S$1)</f>
        <v>0</v>
      </c>
      <c r="T113" s="145">
        <f>SUMIFS(Table2[NewPointsAway],Table2[GameDate], "&lt;=" &amp; $A113, Table2[AwayTeam], T$1)+SUMIFS(Table2[NewPointsHome],Table2[GameDate], "&lt;=" &amp; $A113, Table2[HomeTeam], T$1)</f>
        <v>0</v>
      </c>
      <c r="U113" s="145">
        <f>SUMIFS(Table2[NewPointsAway],Table2[GameDate], "&lt;=" &amp; $A113, Table2[AwayTeam], U$1)+SUMIFS(Table2[NewPointsHome],Table2[GameDate], "&lt;=" &amp; $A113, Table2[HomeTeam], U$1)</f>
        <v>0</v>
      </c>
      <c r="V113" s="145">
        <f>SUMIFS(Table2[NewPointsAway],Table2[GameDate], "&lt;=" &amp; $A113, Table2[AwayTeam], V$1)+SUMIFS(Table2[NewPointsHome],Table2[GameDate], "&lt;=" &amp; $A113, Table2[HomeTeam], V$1)</f>
        <v>0</v>
      </c>
      <c r="W113" s="145">
        <f>SUMIFS(Table2[NewPointsAway],Table2[GameDate], "&lt;=" &amp; $A113, Table2[AwayTeam], W$1)+SUMIFS(Table2[NewPointsHome],Table2[GameDate], "&lt;=" &amp; $A113, Table2[HomeTeam], W$1)</f>
        <v>2</v>
      </c>
      <c r="X113" s="145">
        <f>SUMIFS(Table2[NewPointsAway],Table2[GameDate], "&lt;=" &amp; $A113, Table2[AwayTeam], X$1)+SUMIFS(Table2[NewPointsHome],Table2[GameDate], "&lt;=" &amp; $A113, Table2[HomeTeam], X$1)</f>
        <v>0</v>
      </c>
      <c r="Y113" s="145">
        <f>SUMIFS(Table2[NewPointsAway],Table2[GameDate], "&lt;=" &amp; $A113, Table2[AwayTeam], Y$1)+SUMIFS(Table2[NewPointsHome],Table2[GameDate], "&lt;=" &amp; $A113, Table2[HomeTeam], Y$1)</f>
        <v>0</v>
      </c>
      <c r="Z113" s="145">
        <f>SUMIFS(Table2[NewPointsAway],Table2[GameDate], "&lt;=" &amp; $A113, Table2[AwayTeam], Z$1)+SUMIFS(Table2[NewPointsHome],Table2[GameDate], "&lt;=" &amp; $A113, Table2[HomeTeam], Z$1)</f>
        <v>0</v>
      </c>
      <c r="AA113" s="145">
        <f>SUMIFS(Table2[NewPointsAway],Table2[GameDate], "&lt;=" &amp; $A113, Table2[AwayTeam], AA$1)+SUMIFS(Table2[NewPointsHome],Table2[GameDate], "&lt;=" &amp; $A113, Table2[HomeTeam], AA$1)</f>
        <v>0</v>
      </c>
      <c r="AB113" s="145">
        <f>SUMIFS(Table2[NewPointsAway],Table2[GameDate], "&lt;=" &amp; $A113, Table2[AwayTeam], AB$1)+SUMIFS(Table2[NewPointsHome],Table2[GameDate], "&lt;=" &amp; $A113, Table2[HomeTeam], AB$1)</f>
        <v>2</v>
      </c>
      <c r="AC113" s="145">
        <f>SUMIFS(Table2[NewPointsAway],Table2[GameDate], "&lt;=" &amp; $A113, Table2[AwayTeam], AC$1)+SUMIFS(Table2[NewPointsHome],Table2[GameDate], "&lt;=" &amp; $A113, Table2[HomeTeam], AC$1)</f>
        <v>0</v>
      </c>
      <c r="AD113" s="145">
        <f>SUMIFS(Table2[NewPointsAway],Table2[GameDate], "&lt;=" &amp; $A113, Table2[AwayTeam], AD$1)+SUMIFS(Table2[NewPointsHome],Table2[GameDate], "&lt;=" &amp; $A113, Table2[HomeTeam], AD$1)</f>
        <v>0</v>
      </c>
      <c r="AE113" s="145">
        <f>SUMIFS(Table2[NewPointsAway],Table2[GameDate], "&lt;=" &amp; $A113, Table2[AwayTeam], AE$1)+SUMIFS(Table2[NewPointsHome],Table2[GameDate], "&lt;=" &amp; $A113, Table2[HomeTeam], AE$1)</f>
        <v>1</v>
      </c>
      <c r="AF113" s="145">
        <f>SUMIFS(Table2[NewPointsAway],Table2[GameDate], "&lt;=" &amp; $A113, Table2[AwayTeam], AF$1)+SUMIFS(Table2[NewPointsHome],Table2[GameDate], "&lt;=" &amp; $A113, Table2[HomeTeam], AF$1)</f>
        <v>0</v>
      </c>
      <c r="AG113" s="145">
        <f>SUMIFS(Table2[NewPointsAway],Table2[GameDate], "&lt;=" &amp; $A113, Table2[AwayTeam], AG$1)+SUMIFS(Table2[NewPointsHome],Table2[GameDate], "&lt;=" &amp; $A113, Table2[HomeTeam], AG$1)</f>
        <v>0</v>
      </c>
    </row>
    <row r="114" spans="1:33" x14ac:dyDescent="0.25">
      <c r="A114" s="3">
        <v>46045</v>
      </c>
      <c r="B114" s="145">
        <f>SUMIFS(Table2[NewPointsAway],Table2[GameDate], "&lt;=" &amp; $A114, Table2[AwayTeam], B$1)+SUMIFS(Table2[NewPointsHome],Table2[GameDate], "&lt;=" &amp; $A114, Table2[HomeTeam], B$1)</f>
        <v>0</v>
      </c>
      <c r="C114" s="145">
        <f>SUMIFS(Table2[NewPointsAway],Table2[GameDate], "&lt;=" &amp; $A114, Table2[AwayTeam], C$1)+SUMIFS(Table2[NewPointsHome],Table2[GameDate], "&lt;=" &amp; $A114, Table2[HomeTeam], C$1)</f>
        <v>2</v>
      </c>
      <c r="D114" s="145">
        <f>SUMIFS(Table2[NewPointsAway],Table2[GameDate], "&lt;=" &amp; $A114, Table2[AwayTeam], D$1)+SUMIFS(Table2[NewPointsHome],Table2[GameDate], "&lt;=" &amp; $A114, Table2[HomeTeam], D$1)</f>
        <v>0</v>
      </c>
      <c r="E114" s="145">
        <f>SUMIFS(Table2[NewPointsAway],Table2[GameDate], "&lt;=" &amp; $A114, Table2[AwayTeam], E$1)+SUMIFS(Table2[NewPointsHome],Table2[GameDate], "&lt;=" &amp; $A114, Table2[HomeTeam], E$1)</f>
        <v>0</v>
      </c>
      <c r="F114" s="145">
        <f>SUMIFS(Table2[NewPointsAway],Table2[GameDate], "&lt;=" &amp; $A114, Table2[AwayTeam], F$1)+SUMIFS(Table2[NewPointsHome],Table2[GameDate], "&lt;=" &amp; $A114, Table2[HomeTeam], F$1)</f>
        <v>0</v>
      </c>
      <c r="G114" s="145">
        <f>SUMIFS(Table2[NewPointsAway],Table2[GameDate], "&lt;=" &amp; $A114, Table2[AwayTeam], G$1)+SUMIFS(Table2[NewPointsHome],Table2[GameDate], "&lt;=" &amp; $A114, Table2[HomeTeam], G$1)</f>
        <v>2</v>
      </c>
      <c r="H114" s="145">
        <f>SUMIFS(Table2[NewPointsAway],Table2[GameDate], "&lt;=" &amp; $A114, Table2[AwayTeam], H$1)+SUMIFS(Table2[NewPointsHome],Table2[GameDate], "&lt;=" &amp; $A114, Table2[HomeTeam], H$1)</f>
        <v>0</v>
      </c>
      <c r="I114" s="145">
        <f>SUMIFS(Table2[NewPointsAway],Table2[GameDate], "&lt;=" &amp; $A114, Table2[AwayTeam], I$1)+SUMIFS(Table2[NewPointsHome],Table2[GameDate], "&lt;=" &amp; $A114, Table2[HomeTeam], I$1)</f>
        <v>2</v>
      </c>
      <c r="J114" s="145">
        <f>SUMIFS(Table2[NewPointsAway],Table2[GameDate], "&lt;=" &amp; $A114, Table2[AwayTeam], J$1)+SUMIFS(Table2[NewPointsHome],Table2[GameDate], "&lt;=" &amp; $A114, Table2[HomeTeam], J$1)</f>
        <v>0</v>
      </c>
      <c r="K114" s="145">
        <f>SUMIFS(Table2[NewPointsAway],Table2[GameDate], "&lt;=" &amp; $A114, Table2[AwayTeam], K$1)+SUMIFS(Table2[NewPointsHome],Table2[GameDate], "&lt;=" &amp; $A114, Table2[HomeTeam], K$1)</f>
        <v>0</v>
      </c>
      <c r="L114" s="145">
        <f>SUMIFS(Table2[NewPointsAway],Table2[GameDate], "&lt;=" &amp; $A114, Table2[AwayTeam], L$1)+SUMIFS(Table2[NewPointsHome],Table2[GameDate], "&lt;=" &amp; $A114, Table2[HomeTeam], L$1)</f>
        <v>1</v>
      </c>
      <c r="M114" s="145">
        <f>SUMIFS(Table2[NewPointsAway],Table2[GameDate], "&lt;=" &amp; $A114, Table2[AwayTeam], M$1)+SUMIFS(Table2[NewPointsHome],Table2[GameDate], "&lt;=" &amp; $A114, Table2[HomeTeam], M$1)</f>
        <v>2</v>
      </c>
      <c r="N114" s="145">
        <f>SUMIFS(Table2[NewPointsAway],Table2[GameDate], "&lt;=" &amp; $A114, Table2[AwayTeam], N$1)+SUMIFS(Table2[NewPointsHome],Table2[GameDate], "&lt;=" &amp; $A114, Table2[HomeTeam], N$1)</f>
        <v>2</v>
      </c>
      <c r="O114" s="145">
        <f>SUMIFS(Table2[NewPointsAway],Table2[GameDate], "&lt;=" &amp; $A114, Table2[AwayTeam], O$1)+SUMIFS(Table2[NewPointsHome],Table2[GameDate], "&lt;=" &amp; $A114, Table2[HomeTeam], O$1)</f>
        <v>0</v>
      </c>
      <c r="P114" s="145">
        <f>SUMIFS(Table2[NewPointsAway],Table2[GameDate], "&lt;=" &amp; $A114, Table2[AwayTeam], P$1)+SUMIFS(Table2[NewPointsHome],Table2[GameDate], "&lt;=" &amp; $A114, Table2[HomeTeam], P$1)</f>
        <v>0</v>
      </c>
      <c r="Q114" s="145">
        <f>SUMIFS(Table2[NewPointsAway],Table2[GameDate], "&lt;=" &amp; $A114, Table2[AwayTeam], Q$1)+SUMIFS(Table2[NewPointsHome],Table2[GameDate], "&lt;=" &amp; $A114, Table2[HomeTeam], Q$1)</f>
        <v>0</v>
      </c>
      <c r="R114" s="145">
        <f>SUMIFS(Table2[NewPointsAway],Table2[GameDate], "&lt;=" &amp; $A114, Table2[AwayTeam], R$1)+SUMIFS(Table2[NewPointsHome],Table2[GameDate], "&lt;=" &amp; $A114, Table2[HomeTeam], R$1)</f>
        <v>0</v>
      </c>
      <c r="S114" s="145">
        <f>SUMIFS(Table2[NewPointsAway],Table2[GameDate], "&lt;=" &amp; $A114, Table2[AwayTeam], S$1)+SUMIFS(Table2[NewPointsHome],Table2[GameDate], "&lt;=" &amp; $A114, Table2[HomeTeam], S$1)</f>
        <v>0</v>
      </c>
      <c r="T114" s="145">
        <f>SUMIFS(Table2[NewPointsAway],Table2[GameDate], "&lt;=" &amp; $A114, Table2[AwayTeam], T$1)+SUMIFS(Table2[NewPointsHome],Table2[GameDate], "&lt;=" &amp; $A114, Table2[HomeTeam], T$1)</f>
        <v>0</v>
      </c>
      <c r="U114" s="145">
        <f>SUMIFS(Table2[NewPointsAway],Table2[GameDate], "&lt;=" &amp; $A114, Table2[AwayTeam], U$1)+SUMIFS(Table2[NewPointsHome],Table2[GameDate], "&lt;=" &amp; $A114, Table2[HomeTeam], U$1)</f>
        <v>0</v>
      </c>
      <c r="V114" s="145">
        <f>SUMIFS(Table2[NewPointsAway],Table2[GameDate], "&lt;=" &amp; $A114, Table2[AwayTeam], V$1)+SUMIFS(Table2[NewPointsHome],Table2[GameDate], "&lt;=" &amp; $A114, Table2[HomeTeam], V$1)</f>
        <v>0</v>
      </c>
      <c r="W114" s="145">
        <f>SUMIFS(Table2[NewPointsAway],Table2[GameDate], "&lt;=" &amp; $A114, Table2[AwayTeam], W$1)+SUMIFS(Table2[NewPointsHome],Table2[GameDate], "&lt;=" &amp; $A114, Table2[HomeTeam], W$1)</f>
        <v>2</v>
      </c>
      <c r="X114" s="145">
        <f>SUMIFS(Table2[NewPointsAway],Table2[GameDate], "&lt;=" &amp; $A114, Table2[AwayTeam], X$1)+SUMIFS(Table2[NewPointsHome],Table2[GameDate], "&lt;=" &amp; $A114, Table2[HomeTeam], X$1)</f>
        <v>0</v>
      </c>
      <c r="Y114" s="145">
        <f>SUMIFS(Table2[NewPointsAway],Table2[GameDate], "&lt;=" &amp; $A114, Table2[AwayTeam], Y$1)+SUMIFS(Table2[NewPointsHome],Table2[GameDate], "&lt;=" &amp; $A114, Table2[HomeTeam], Y$1)</f>
        <v>0</v>
      </c>
      <c r="Z114" s="145">
        <f>SUMIFS(Table2[NewPointsAway],Table2[GameDate], "&lt;=" &amp; $A114, Table2[AwayTeam], Z$1)+SUMIFS(Table2[NewPointsHome],Table2[GameDate], "&lt;=" &amp; $A114, Table2[HomeTeam], Z$1)</f>
        <v>0</v>
      </c>
      <c r="AA114" s="145">
        <f>SUMIFS(Table2[NewPointsAway],Table2[GameDate], "&lt;=" &amp; $A114, Table2[AwayTeam], AA$1)+SUMIFS(Table2[NewPointsHome],Table2[GameDate], "&lt;=" &amp; $A114, Table2[HomeTeam], AA$1)</f>
        <v>0</v>
      </c>
      <c r="AB114" s="145">
        <f>SUMIFS(Table2[NewPointsAway],Table2[GameDate], "&lt;=" &amp; $A114, Table2[AwayTeam], AB$1)+SUMIFS(Table2[NewPointsHome],Table2[GameDate], "&lt;=" &amp; $A114, Table2[HomeTeam], AB$1)</f>
        <v>2</v>
      </c>
      <c r="AC114" s="145">
        <f>SUMIFS(Table2[NewPointsAway],Table2[GameDate], "&lt;=" &amp; $A114, Table2[AwayTeam], AC$1)+SUMIFS(Table2[NewPointsHome],Table2[GameDate], "&lt;=" &amp; $A114, Table2[HomeTeam], AC$1)</f>
        <v>0</v>
      </c>
      <c r="AD114" s="145">
        <f>SUMIFS(Table2[NewPointsAway],Table2[GameDate], "&lt;=" &amp; $A114, Table2[AwayTeam], AD$1)+SUMIFS(Table2[NewPointsHome],Table2[GameDate], "&lt;=" &amp; $A114, Table2[HomeTeam], AD$1)</f>
        <v>0</v>
      </c>
      <c r="AE114" s="145">
        <f>SUMIFS(Table2[NewPointsAway],Table2[GameDate], "&lt;=" &amp; $A114, Table2[AwayTeam], AE$1)+SUMIFS(Table2[NewPointsHome],Table2[GameDate], "&lt;=" &amp; $A114, Table2[HomeTeam], AE$1)</f>
        <v>1</v>
      </c>
      <c r="AF114" s="145">
        <f>SUMIFS(Table2[NewPointsAway],Table2[GameDate], "&lt;=" &amp; $A114, Table2[AwayTeam], AF$1)+SUMIFS(Table2[NewPointsHome],Table2[GameDate], "&lt;=" &amp; $A114, Table2[HomeTeam], AF$1)</f>
        <v>0</v>
      </c>
      <c r="AG114" s="145">
        <f>SUMIFS(Table2[NewPointsAway],Table2[GameDate], "&lt;=" &amp; $A114, Table2[AwayTeam], AG$1)+SUMIFS(Table2[NewPointsHome],Table2[GameDate], "&lt;=" &amp; $A114, Table2[HomeTeam], AG$1)</f>
        <v>0</v>
      </c>
    </row>
    <row r="115" spans="1:33" x14ac:dyDescent="0.25">
      <c r="A115" s="3">
        <v>46046</v>
      </c>
      <c r="B115" s="145">
        <f>SUMIFS(Table2[NewPointsAway],Table2[GameDate], "&lt;=" &amp; $A115, Table2[AwayTeam], B$1)+SUMIFS(Table2[NewPointsHome],Table2[GameDate], "&lt;=" &amp; $A115, Table2[HomeTeam], B$1)</f>
        <v>0</v>
      </c>
      <c r="C115" s="145">
        <f>SUMIFS(Table2[NewPointsAway],Table2[GameDate], "&lt;=" &amp; $A115, Table2[AwayTeam], C$1)+SUMIFS(Table2[NewPointsHome],Table2[GameDate], "&lt;=" &amp; $A115, Table2[HomeTeam], C$1)</f>
        <v>2</v>
      </c>
      <c r="D115" s="145">
        <f>SUMIFS(Table2[NewPointsAway],Table2[GameDate], "&lt;=" &amp; $A115, Table2[AwayTeam], D$1)+SUMIFS(Table2[NewPointsHome],Table2[GameDate], "&lt;=" &amp; $A115, Table2[HomeTeam], D$1)</f>
        <v>0</v>
      </c>
      <c r="E115" s="145">
        <f>SUMIFS(Table2[NewPointsAway],Table2[GameDate], "&lt;=" &amp; $A115, Table2[AwayTeam], E$1)+SUMIFS(Table2[NewPointsHome],Table2[GameDate], "&lt;=" &amp; $A115, Table2[HomeTeam], E$1)</f>
        <v>0</v>
      </c>
      <c r="F115" s="145">
        <f>SUMIFS(Table2[NewPointsAway],Table2[GameDate], "&lt;=" &amp; $A115, Table2[AwayTeam], F$1)+SUMIFS(Table2[NewPointsHome],Table2[GameDate], "&lt;=" &amp; $A115, Table2[HomeTeam], F$1)</f>
        <v>0</v>
      </c>
      <c r="G115" s="145">
        <f>SUMIFS(Table2[NewPointsAway],Table2[GameDate], "&lt;=" &amp; $A115, Table2[AwayTeam], G$1)+SUMIFS(Table2[NewPointsHome],Table2[GameDate], "&lt;=" &amp; $A115, Table2[HomeTeam], G$1)</f>
        <v>2</v>
      </c>
      <c r="H115" s="145">
        <f>SUMIFS(Table2[NewPointsAway],Table2[GameDate], "&lt;=" &amp; $A115, Table2[AwayTeam], H$1)+SUMIFS(Table2[NewPointsHome],Table2[GameDate], "&lt;=" &amp; $A115, Table2[HomeTeam], H$1)</f>
        <v>0</v>
      </c>
      <c r="I115" s="145">
        <f>SUMIFS(Table2[NewPointsAway],Table2[GameDate], "&lt;=" &amp; $A115, Table2[AwayTeam], I$1)+SUMIFS(Table2[NewPointsHome],Table2[GameDate], "&lt;=" &amp; $A115, Table2[HomeTeam], I$1)</f>
        <v>2</v>
      </c>
      <c r="J115" s="145">
        <f>SUMIFS(Table2[NewPointsAway],Table2[GameDate], "&lt;=" &amp; $A115, Table2[AwayTeam], J$1)+SUMIFS(Table2[NewPointsHome],Table2[GameDate], "&lt;=" &amp; $A115, Table2[HomeTeam], J$1)</f>
        <v>0</v>
      </c>
      <c r="K115" s="145">
        <f>SUMIFS(Table2[NewPointsAway],Table2[GameDate], "&lt;=" &amp; $A115, Table2[AwayTeam], K$1)+SUMIFS(Table2[NewPointsHome],Table2[GameDate], "&lt;=" &amp; $A115, Table2[HomeTeam], K$1)</f>
        <v>0</v>
      </c>
      <c r="L115" s="145">
        <f>SUMIFS(Table2[NewPointsAway],Table2[GameDate], "&lt;=" &amp; $A115, Table2[AwayTeam], L$1)+SUMIFS(Table2[NewPointsHome],Table2[GameDate], "&lt;=" &amp; $A115, Table2[HomeTeam], L$1)</f>
        <v>1</v>
      </c>
      <c r="M115" s="145">
        <f>SUMIFS(Table2[NewPointsAway],Table2[GameDate], "&lt;=" &amp; $A115, Table2[AwayTeam], M$1)+SUMIFS(Table2[NewPointsHome],Table2[GameDate], "&lt;=" &amp; $A115, Table2[HomeTeam], M$1)</f>
        <v>2</v>
      </c>
      <c r="N115" s="145">
        <f>SUMIFS(Table2[NewPointsAway],Table2[GameDate], "&lt;=" &amp; $A115, Table2[AwayTeam], N$1)+SUMIFS(Table2[NewPointsHome],Table2[GameDate], "&lt;=" &amp; $A115, Table2[HomeTeam], N$1)</f>
        <v>2</v>
      </c>
      <c r="O115" s="145">
        <f>SUMIFS(Table2[NewPointsAway],Table2[GameDate], "&lt;=" &amp; $A115, Table2[AwayTeam], O$1)+SUMIFS(Table2[NewPointsHome],Table2[GameDate], "&lt;=" &amp; $A115, Table2[HomeTeam], O$1)</f>
        <v>0</v>
      </c>
      <c r="P115" s="145">
        <f>SUMIFS(Table2[NewPointsAway],Table2[GameDate], "&lt;=" &amp; $A115, Table2[AwayTeam], P$1)+SUMIFS(Table2[NewPointsHome],Table2[GameDate], "&lt;=" &amp; $A115, Table2[HomeTeam], P$1)</f>
        <v>0</v>
      </c>
      <c r="Q115" s="145">
        <f>SUMIFS(Table2[NewPointsAway],Table2[GameDate], "&lt;=" &amp; $A115, Table2[AwayTeam], Q$1)+SUMIFS(Table2[NewPointsHome],Table2[GameDate], "&lt;=" &amp; $A115, Table2[HomeTeam], Q$1)</f>
        <v>0</v>
      </c>
      <c r="R115" s="145">
        <f>SUMIFS(Table2[NewPointsAway],Table2[GameDate], "&lt;=" &amp; $A115, Table2[AwayTeam], R$1)+SUMIFS(Table2[NewPointsHome],Table2[GameDate], "&lt;=" &amp; $A115, Table2[HomeTeam], R$1)</f>
        <v>0</v>
      </c>
      <c r="S115" s="145">
        <f>SUMIFS(Table2[NewPointsAway],Table2[GameDate], "&lt;=" &amp; $A115, Table2[AwayTeam], S$1)+SUMIFS(Table2[NewPointsHome],Table2[GameDate], "&lt;=" &amp; $A115, Table2[HomeTeam], S$1)</f>
        <v>0</v>
      </c>
      <c r="T115" s="145">
        <f>SUMIFS(Table2[NewPointsAway],Table2[GameDate], "&lt;=" &amp; $A115, Table2[AwayTeam], T$1)+SUMIFS(Table2[NewPointsHome],Table2[GameDate], "&lt;=" &amp; $A115, Table2[HomeTeam], T$1)</f>
        <v>0</v>
      </c>
      <c r="U115" s="145">
        <f>SUMIFS(Table2[NewPointsAway],Table2[GameDate], "&lt;=" &amp; $A115, Table2[AwayTeam], U$1)+SUMIFS(Table2[NewPointsHome],Table2[GameDate], "&lt;=" &amp; $A115, Table2[HomeTeam], U$1)</f>
        <v>0</v>
      </c>
      <c r="V115" s="145">
        <f>SUMIFS(Table2[NewPointsAway],Table2[GameDate], "&lt;=" &amp; $A115, Table2[AwayTeam], V$1)+SUMIFS(Table2[NewPointsHome],Table2[GameDate], "&lt;=" &amp; $A115, Table2[HomeTeam], V$1)</f>
        <v>0</v>
      </c>
      <c r="W115" s="145">
        <f>SUMIFS(Table2[NewPointsAway],Table2[GameDate], "&lt;=" &amp; $A115, Table2[AwayTeam], W$1)+SUMIFS(Table2[NewPointsHome],Table2[GameDate], "&lt;=" &amp; $A115, Table2[HomeTeam], W$1)</f>
        <v>2</v>
      </c>
      <c r="X115" s="145">
        <f>SUMIFS(Table2[NewPointsAway],Table2[GameDate], "&lt;=" &amp; $A115, Table2[AwayTeam], X$1)+SUMIFS(Table2[NewPointsHome],Table2[GameDate], "&lt;=" &amp; $A115, Table2[HomeTeam], X$1)</f>
        <v>0</v>
      </c>
      <c r="Y115" s="145">
        <f>SUMIFS(Table2[NewPointsAway],Table2[GameDate], "&lt;=" &amp; $A115, Table2[AwayTeam], Y$1)+SUMIFS(Table2[NewPointsHome],Table2[GameDate], "&lt;=" &amp; $A115, Table2[HomeTeam], Y$1)</f>
        <v>0</v>
      </c>
      <c r="Z115" s="145">
        <f>SUMIFS(Table2[NewPointsAway],Table2[GameDate], "&lt;=" &amp; $A115, Table2[AwayTeam], Z$1)+SUMIFS(Table2[NewPointsHome],Table2[GameDate], "&lt;=" &amp; $A115, Table2[HomeTeam], Z$1)</f>
        <v>0</v>
      </c>
      <c r="AA115" s="145">
        <f>SUMIFS(Table2[NewPointsAway],Table2[GameDate], "&lt;=" &amp; $A115, Table2[AwayTeam], AA$1)+SUMIFS(Table2[NewPointsHome],Table2[GameDate], "&lt;=" &amp; $A115, Table2[HomeTeam], AA$1)</f>
        <v>0</v>
      </c>
      <c r="AB115" s="145">
        <f>SUMIFS(Table2[NewPointsAway],Table2[GameDate], "&lt;=" &amp; $A115, Table2[AwayTeam], AB$1)+SUMIFS(Table2[NewPointsHome],Table2[GameDate], "&lt;=" &amp; $A115, Table2[HomeTeam], AB$1)</f>
        <v>2</v>
      </c>
      <c r="AC115" s="145">
        <f>SUMIFS(Table2[NewPointsAway],Table2[GameDate], "&lt;=" &amp; $A115, Table2[AwayTeam], AC$1)+SUMIFS(Table2[NewPointsHome],Table2[GameDate], "&lt;=" &amp; $A115, Table2[HomeTeam], AC$1)</f>
        <v>0</v>
      </c>
      <c r="AD115" s="145">
        <f>SUMIFS(Table2[NewPointsAway],Table2[GameDate], "&lt;=" &amp; $A115, Table2[AwayTeam], AD$1)+SUMIFS(Table2[NewPointsHome],Table2[GameDate], "&lt;=" &amp; $A115, Table2[HomeTeam], AD$1)</f>
        <v>0</v>
      </c>
      <c r="AE115" s="145">
        <f>SUMIFS(Table2[NewPointsAway],Table2[GameDate], "&lt;=" &amp; $A115, Table2[AwayTeam], AE$1)+SUMIFS(Table2[NewPointsHome],Table2[GameDate], "&lt;=" &amp; $A115, Table2[HomeTeam], AE$1)</f>
        <v>1</v>
      </c>
      <c r="AF115" s="145">
        <f>SUMIFS(Table2[NewPointsAway],Table2[GameDate], "&lt;=" &amp; $A115, Table2[AwayTeam], AF$1)+SUMIFS(Table2[NewPointsHome],Table2[GameDate], "&lt;=" &amp; $A115, Table2[HomeTeam], AF$1)</f>
        <v>0</v>
      </c>
      <c r="AG115" s="145">
        <f>SUMIFS(Table2[NewPointsAway],Table2[GameDate], "&lt;=" &amp; $A115, Table2[AwayTeam], AG$1)+SUMIFS(Table2[NewPointsHome],Table2[GameDate], "&lt;=" &amp; $A115, Table2[HomeTeam], AG$1)</f>
        <v>0</v>
      </c>
    </row>
    <row r="116" spans="1:33" x14ac:dyDescent="0.25">
      <c r="A116" s="3">
        <v>46047</v>
      </c>
      <c r="B116" s="145">
        <f>SUMIFS(Table2[NewPointsAway],Table2[GameDate], "&lt;=" &amp; $A116, Table2[AwayTeam], B$1)+SUMIFS(Table2[NewPointsHome],Table2[GameDate], "&lt;=" &amp; $A116, Table2[HomeTeam], B$1)</f>
        <v>0</v>
      </c>
      <c r="C116" s="145">
        <f>SUMIFS(Table2[NewPointsAway],Table2[GameDate], "&lt;=" &amp; $A116, Table2[AwayTeam], C$1)+SUMIFS(Table2[NewPointsHome],Table2[GameDate], "&lt;=" &amp; $A116, Table2[HomeTeam], C$1)</f>
        <v>2</v>
      </c>
      <c r="D116" s="145">
        <f>SUMIFS(Table2[NewPointsAway],Table2[GameDate], "&lt;=" &amp; $A116, Table2[AwayTeam], D$1)+SUMIFS(Table2[NewPointsHome],Table2[GameDate], "&lt;=" &amp; $A116, Table2[HomeTeam], D$1)</f>
        <v>0</v>
      </c>
      <c r="E116" s="145">
        <f>SUMIFS(Table2[NewPointsAway],Table2[GameDate], "&lt;=" &amp; $A116, Table2[AwayTeam], E$1)+SUMIFS(Table2[NewPointsHome],Table2[GameDate], "&lt;=" &amp; $A116, Table2[HomeTeam], E$1)</f>
        <v>0</v>
      </c>
      <c r="F116" s="145">
        <f>SUMIFS(Table2[NewPointsAway],Table2[GameDate], "&lt;=" &amp; $A116, Table2[AwayTeam], F$1)+SUMIFS(Table2[NewPointsHome],Table2[GameDate], "&lt;=" &amp; $A116, Table2[HomeTeam], F$1)</f>
        <v>0</v>
      </c>
      <c r="G116" s="145">
        <f>SUMIFS(Table2[NewPointsAway],Table2[GameDate], "&lt;=" &amp; $A116, Table2[AwayTeam], G$1)+SUMIFS(Table2[NewPointsHome],Table2[GameDate], "&lt;=" &amp; $A116, Table2[HomeTeam], G$1)</f>
        <v>2</v>
      </c>
      <c r="H116" s="145">
        <f>SUMIFS(Table2[NewPointsAway],Table2[GameDate], "&lt;=" &amp; $A116, Table2[AwayTeam], H$1)+SUMIFS(Table2[NewPointsHome],Table2[GameDate], "&lt;=" &amp; $A116, Table2[HomeTeam], H$1)</f>
        <v>0</v>
      </c>
      <c r="I116" s="145">
        <f>SUMIFS(Table2[NewPointsAway],Table2[GameDate], "&lt;=" &amp; $A116, Table2[AwayTeam], I$1)+SUMIFS(Table2[NewPointsHome],Table2[GameDate], "&lt;=" &amp; $A116, Table2[HomeTeam], I$1)</f>
        <v>2</v>
      </c>
      <c r="J116" s="145">
        <f>SUMIFS(Table2[NewPointsAway],Table2[GameDate], "&lt;=" &amp; $A116, Table2[AwayTeam], J$1)+SUMIFS(Table2[NewPointsHome],Table2[GameDate], "&lt;=" &amp; $A116, Table2[HomeTeam], J$1)</f>
        <v>0</v>
      </c>
      <c r="K116" s="145">
        <f>SUMIFS(Table2[NewPointsAway],Table2[GameDate], "&lt;=" &amp; $A116, Table2[AwayTeam], K$1)+SUMIFS(Table2[NewPointsHome],Table2[GameDate], "&lt;=" &amp; $A116, Table2[HomeTeam], K$1)</f>
        <v>0</v>
      </c>
      <c r="L116" s="145">
        <f>SUMIFS(Table2[NewPointsAway],Table2[GameDate], "&lt;=" &amp; $A116, Table2[AwayTeam], L$1)+SUMIFS(Table2[NewPointsHome],Table2[GameDate], "&lt;=" &amp; $A116, Table2[HomeTeam], L$1)</f>
        <v>1</v>
      </c>
      <c r="M116" s="145">
        <f>SUMIFS(Table2[NewPointsAway],Table2[GameDate], "&lt;=" &amp; $A116, Table2[AwayTeam], M$1)+SUMIFS(Table2[NewPointsHome],Table2[GameDate], "&lt;=" &amp; $A116, Table2[HomeTeam], M$1)</f>
        <v>2</v>
      </c>
      <c r="N116" s="145">
        <f>SUMIFS(Table2[NewPointsAway],Table2[GameDate], "&lt;=" &amp; $A116, Table2[AwayTeam], N$1)+SUMIFS(Table2[NewPointsHome],Table2[GameDate], "&lt;=" &amp; $A116, Table2[HomeTeam], N$1)</f>
        <v>2</v>
      </c>
      <c r="O116" s="145">
        <f>SUMIFS(Table2[NewPointsAway],Table2[GameDate], "&lt;=" &amp; $A116, Table2[AwayTeam], O$1)+SUMIFS(Table2[NewPointsHome],Table2[GameDate], "&lt;=" &amp; $A116, Table2[HomeTeam], O$1)</f>
        <v>0</v>
      </c>
      <c r="P116" s="145">
        <f>SUMIFS(Table2[NewPointsAway],Table2[GameDate], "&lt;=" &amp; $A116, Table2[AwayTeam], P$1)+SUMIFS(Table2[NewPointsHome],Table2[GameDate], "&lt;=" &amp; $A116, Table2[HomeTeam], P$1)</f>
        <v>0</v>
      </c>
      <c r="Q116" s="145">
        <f>SUMIFS(Table2[NewPointsAway],Table2[GameDate], "&lt;=" &amp; $A116, Table2[AwayTeam], Q$1)+SUMIFS(Table2[NewPointsHome],Table2[GameDate], "&lt;=" &amp; $A116, Table2[HomeTeam], Q$1)</f>
        <v>0</v>
      </c>
      <c r="R116" s="145">
        <f>SUMIFS(Table2[NewPointsAway],Table2[GameDate], "&lt;=" &amp; $A116, Table2[AwayTeam], R$1)+SUMIFS(Table2[NewPointsHome],Table2[GameDate], "&lt;=" &amp; $A116, Table2[HomeTeam], R$1)</f>
        <v>0</v>
      </c>
      <c r="S116" s="145">
        <f>SUMIFS(Table2[NewPointsAway],Table2[GameDate], "&lt;=" &amp; $A116, Table2[AwayTeam], S$1)+SUMIFS(Table2[NewPointsHome],Table2[GameDate], "&lt;=" &amp; $A116, Table2[HomeTeam], S$1)</f>
        <v>0</v>
      </c>
      <c r="T116" s="145">
        <f>SUMIFS(Table2[NewPointsAway],Table2[GameDate], "&lt;=" &amp; $A116, Table2[AwayTeam], T$1)+SUMIFS(Table2[NewPointsHome],Table2[GameDate], "&lt;=" &amp; $A116, Table2[HomeTeam], T$1)</f>
        <v>0</v>
      </c>
      <c r="U116" s="145">
        <f>SUMIFS(Table2[NewPointsAway],Table2[GameDate], "&lt;=" &amp; $A116, Table2[AwayTeam], U$1)+SUMIFS(Table2[NewPointsHome],Table2[GameDate], "&lt;=" &amp; $A116, Table2[HomeTeam], U$1)</f>
        <v>0</v>
      </c>
      <c r="V116" s="145">
        <f>SUMIFS(Table2[NewPointsAway],Table2[GameDate], "&lt;=" &amp; $A116, Table2[AwayTeam], V$1)+SUMIFS(Table2[NewPointsHome],Table2[GameDate], "&lt;=" &amp; $A116, Table2[HomeTeam], V$1)</f>
        <v>0</v>
      </c>
      <c r="W116" s="145">
        <f>SUMIFS(Table2[NewPointsAway],Table2[GameDate], "&lt;=" &amp; $A116, Table2[AwayTeam], W$1)+SUMIFS(Table2[NewPointsHome],Table2[GameDate], "&lt;=" &amp; $A116, Table2[HomeTeam], W$1)</f>
        <v>2</v>
      </c>
      <c r="X116" s="145">
        <f>SUMIFS(Table2[NewPointsAway],Table2[GameDate], "&lt;=" &amp; $A116, Table2[AwayTeam], X$1)+SUMIFS(Table2[NewPointsHome],Table2[GameDate], "&lt;=" &amp; $A116, Table2[HomeTeam], X$1)</f>
        <v>0</v>
      </c>
      <c r="Y116" s="145">
        <f>SUMIFS(Table2[NewPointsAway],Table2[GameDate], "&lt;=" &amp; $A116, Table2[AwayTeam], Y$1)+SUMIFS(Table2[NewPointsHome],Table2[GameDate], "&lt;=" &amp; $A116, Table2[HomeTeam], Y$1)</f>
        <v>0</v>
      </c>
      <c r="Z116" s="145">
        <f>SUMIFS(Table2[NewPointsAway],Table2[GameDate], "&lt;=" &amp; $A116, Table2[AwayTeam], Z$1)+SUMIFS(Table2[NewPointsHome],Table2[GameDate], "&lt;=" &amp; $A116, Table2[HomeTeam], Z$1)</f>
        <v>0</v>
      </c>
      <c r="AA116" s="145">
        <f>SUMIFS(Table2[NewPointsAway],Table2[GameDate], "&lt;=" &amp; $A116, Table2[AwayTeam], AA$1)+SUMIFS(Table2[NewPointsHome],Table2[GameDate], "&lt;=" &amp; $A116, Table2[HomeTeam], AA$1)</f>
        <v>0</v>
      </c>
      <c r="AB116" s="145">
        <f>SUMIFS(Table2[NewPointsAway],Table2[GameDate], "&lt;=" &amp; $A116, Table2[AwayTeam], AB$1)+SUMIFS(Table2[NewPointsHome],Table2[GameDate], "&lt;=" &amp; $A116, Table2[HomeTeam], AB$1)</f>
        <v>2</v>
      </c>
      <c r="AC116" s="145">
        <f>SUMIFS(Table2[NewPointsAway],Table2[GameDate], "&lt;=" &amp; $A116, Table2[AwayTeam], AC$1)+SUMIFS(Table2[NewPointsHome],Table2[GameDate], "&lt;=" &amp; $A116, Table2[HomeTeam], AC$1)</f>
        <v>0</v>
      </c>
      <c r="AD116" s="145">
        <f>SUMIFS(Table2[NewPointsAway],Table2[GameDate], "&lt;=" &amp; $A116, Table2[AwayTeam], AD$1)+SUMIFS(Table2[NewPointsHome],Table2[GameDate], "&lt;=" &amp; $A116, Table2[HomeTeam], AD$1)</f>
        <v>0</v>
      </c>
      <c r="AE116" s="145">
        <f>SUMIFS(Table2[NewPointsAway],Table2[GameDate], "&lt;=" &amp; $A116, Table2[AwayTeam], AE$1)+SUMIFS(Table2[NewPointsHome],Table2[GameDate], "&lt;=" &amp; $A116, Table2[HomeTeam], AE$1)</f>
        <v>1</v>
      </c>
      <c r="AF116" s="145">
        <f>SUMIFS(Table2[NewPointsAway],Table2[GameDate], "&lt;=" &amp; $A116, Table2[AwayTeam], AF$1)+SUMIFS(Table2[NewPointsHome],Table2[GameDate], "&lt;=" &amp; $A116, Table2[HomeTeam], AF$1)</f>
        <v>0</v>
      </c>
      <c r="AG116" s="145">
        <f>SUMIFS(Table2[NewPointsAway],Table2[GameDate], "&lt;=" &amp; $A116, Table2[AwayTeam], AG$1)+SUMIFS(Table2[NewPointsHome],Table2[GameDate], "&lt;=" &amp; $A116, Table2[HomeTeam], AG$1)</f>
        <v>0</v>
      </c>
    </row>
    <row r="117" spans="1:33" x14ac:dyDescent="0.25">
      <c r="A117" s="3">
        <v>46048</v>
      </c>
      <c r="B117" s="145">
        <f>SUMIFS(Table2[NewPointsAway],Table2[GameDate], "&lt;=" &amp; $A117, Table2[AwayTeam], B$1)+SUMIFS(Table2[NewPointsHome],Table2[GameDate], "&lt;=" &amp; $A117, Table2[HomeTeam], B$1)</f>
        <v>0</v>
      </c>
      <c r="C117" s="145">
        <f>SUMIFS(Table2[NewPointsAway],Table2[GameDate], "&lt;=" &amp; $A117, Table2[AwayTeam], C$1)+SUMIFS(Table2[NewPointsHome],Table2[GameDate], "&lt;=" &amp; $A117, Table2[HomeTeam], C$1)</f>
        <v>2</v>
      </c>
      <c r="D117" s="145">
        <f>SUMIFS(Table2[NewPointsAway],Table2[GameDate], "&lt;=" &amp; $A117, Table2[AwayTeam], D$1)+SUMIFS(Table2[NewPointsHome],Table2[GameDate], "&lt;=" &amp; $A117, Table2[HomeTeam], D$1)</f>
        <v>0</v>
      </c>
      <c r="E117" s="145">
        <f>SUMIFS(Table2[NewPointsAway],Table2[GameDate], "&lt;=" &amp; $A117, Table2[AwayTeam], E$1)+SUMIFS(Table2[NewPointsHome],Table2[GameDate], "&lt;=" &amp; $A117, Table2[HomeTeam], E$1)</f>
        <v>0</v>
      </c>
      <c r="F117" s="145">
        <f>SUMIFS(Table2[NewPointsAway],Table2[GameDate], "&lt;=" &amp; $A117, Table2[AwayTeam], F$1)+SUMIFS(Table2[NewPointsHome],Table2[GameDate], "&lt;=" &amp; $A117, Table2[HomeTeam], F$1)</f>
        <v>0</v>
      </c>
      <c r="G117" s="145">
        <f>SUMIFS(Table2[NewPointsAway],Table2[GameDate], "&lt;=" &amp; $A117, Table2[AwayTeam], G$1)+SUMIFS(Table2[NewPointsHome],Table2[GameDate], "&lt;=" &amp; $A117, Table2[HomeTeam], G$1)</f>
        <v>2</v>
      </c>
      <c r="H117" s="145">
        <f>SUMIFS(Table2[NewPointsAway],Table2[GameDate], "&lt;=" &amp; $A117, Table2[AwayTeam], H$1)+SUMIFS(Table2[NewPointsHome],Table2[GameDate], "&lt;=" &amp; $A117, Table2[HomeTeam], H$1)</f>
        <v>0</v>
      </c>
      <c r="I117" s="145">
        <f>SUMIFS(Table2[NewPointsAway],Table2[GameDate], "&lt;=" &amp; $A117, Table2[AwayTeam], I$1)+SUMIFS(Table2[NewPointsHome],Table2[GameDate], "&lt;=" &amp; $A117, Table2[HomeTeam], I$1)</f>
        <v>2</v>
      </c>
      <c r="J117" s="145">
        <f>SUMIFS(Table2[NewPointsAway],Table2[GameDate], "&lt;=" &amp; $A117, Table2[AwayTeam], J$1)+SUMIFS(Table2[NewPointsHome],Table2[GameDate], "&lt;=" &amp; $A117, Table2[HomeTeam], J$1)</f>
        <v>0</v>
      </c>
      <c r="K117" s="145">
        <f>SUMIFS(Table2[NewPointsAway],Table2[GameDate], "&lt;=" &amp; $A117, Table2[AwayTeam], K$1)+SUMIFS(Table2[NewPointsHome],Table2[GameDate], "&lt;=" &amp; $A117, Table2[HomeTeam], K$1)</f>
        <v>0</v>
      </c>
      <c r="L117" s="145">
        <f>SUMIFS(Table2[NewPointsAway],Table2[GameDate], "&lt;=" &amp; $A117, Table2[AwayTeam], L$1)+SUMIFS(Table2[NewPointsHome],Table2[GameDate], "&lt;=" &amp; $A117, Table2[HomeTeam], L$1)</f>
        <v>1</v>
      </c>
      <c r="M117" s="145">
        <f>SUMIFS(Table2[NewPointsAway],Table2[GameDate], "&lt;=" &amp; $A117, Table2[AwayTeam], M$1)+SUMIFS(Table2[NewPointsHome],Table2[GameDate], "&lt;=" &amp; $A117, Table2[HomeTeam], M$1)</f>
        <v>2</v>
      </c>
      <c r="N117" s="145">
        <f>SUMIFS(Table2[NewPointsAway],Table2[GameDate], "&lt;=" &amp; $A117, Table2[AwayTeam], N$1)+SUMIFS(Table2[NewPointsHome],Table2[GameDate], "&lt;=" &amp; $A117, Table2[HomeTeam], N$1)</f>
        <v>2</v>
      </c>
      <c r="O117" s="145">
        <f>SUMIFS(Table2[NewPointsAway],Table2[GameDate], "&lt;=" &amp; $A117, Table2[AwayTeam], O$1)+SUMIFS(Table2[NewPointsHome],Table2[GameDate], "&lt;=" &amp; $A117, Table2[HomeTeam], O$1)</f>
        <v>0</v>
      </c>
      <c r="P117" s="145">
        <f>SUMIFS(Table2[NewPointsAway],Table2[GameDate], "&lt;=" &amp; $A117, Table2[AwayTeam], P$1)+SUMIFS(Table2[NewPointsHome],Table2[GameDate], "&lt;=" &amp; $A117, Table2[HomeTeam], P$1)</f>
        <v>0</v>
      </c>
      <c r="Q117" s="145">
        <f>SUMIFS(Table2[NewPointsAway],Table2[GameDate], "&lt;=" &amp; $A117, Table2[AwayTeam], Q$1)+SUMIFS(Table2[NewPointsHome],Table2[GameDate], "&lt;=" &amp; $A117, Table2[HomeTeam], Q$1)</f>
        <v>0</v>
      </c>
      <c r="R117" s="145">
        <f>SUMIFS(Table2[NewPointsAway],Table2[GameDate], "&lt;=" &amp; $A117, Table2[AwayTeam], R$1)+SUMIFS(Table2[NewPointsHome],Table2[GameDate], "&lt;=" &amp; $A117, Table2[HomeTeam], R$1)</f>
        <v>0</v>
      </c>
      <c r="S117" s="145">
        <f>SUMIFS(Table2[NewPointsAway],Table2[GameDate], "&lt;=" &amp; $A117, Table2[AwayTeam], S$1)+SUMIFS(Table2[NewPointsHome],Table2[GameDate], "&lt;=" &amp; $A117, Table2[HomeTeam], S$1)</f>
        <v>0</v>
      </c>
      <c r="T117" s="145">
        <f>SUMIFS(Table2[NewPointsAway],Table2[GameDate], "&lt;=" &amp; $A117, Table2[AwayTeam], T$1)+SUMIFS(Table2[NewPointsHome],Table2[GameDate], "&lt;=" &amp; $A117, Table2[HomeTeam], T$1)</f>
        <v>0</v>
      </c>
      <c r="U117" s="145">
        <f>SUMIFS(Table2[NewPointsAway],Table2[GameDate], "&lt;=" &amp; $A117, Table2[AwayTeam], U$1)+SUMIFS(Table2[NewPointsHome],Table2[GameDate], "&lt;=" &amp; $A117, Table2[HomeTeam], U$1)</f>
        <v>0</v>
      </c>
      <c r="V117" s="145">
        <f>SUMIFS(Table2[NewPointsAway],Table2[GameDate], "&lt;=" &amp; $A117, Table2[AwayTeam], V$1)+SUMIFS(Table2[NewPointsHome],Table2[GameDate], "&lt;=" &amp; $A117, Table2[HomeTeam], V$1)</f>
        <v>0</v>
      </c>
      <c r="W117" s="145">
        <f>SUMIFS(Table2[NewPointsAway],Table2[GameDate], "&lt;=" &amp; $A117, Table2[AwayTeam], W$1)+SUMIFS(Table2[NewPointsHome],Table2[GameDate], "&lt;=" &amp; $A117, Table2[HomeTeam], W$1)</f>
        <v>2</v>
      </c>
      <c r="X117" s="145">
        <f>SUMIFS(Table2[NewPointsAway],Table2[GameDate], "&lt;=" &amp; $A117, Table2[AwayTeam], X$1)+SUMIFS(Table2[NewPointsHome],Table2[GameDate], "&lt;=" &amp; $A117, Table2[HomeTeam], X$1)</f>
        <v>0</v>
      </c>
      <c r="Y117" s="145">
        <f>SUMIFS(Table2[NewPointsAway],Table2[GameDate], "&lt;=" &amp; $A117, Table2[AwayTeam], Y$1)+SUMIFS(Table2[NewPointsHome],Table2[GameDate], "&lt;=" &amp; $A117, Table2[HomeTeam], Y$1)</f>
        <v>0</v>
      </c>
      <c r="Z117" s="145">
        <f>SUMIFS(Table2[NewPointsAway],Table2[GameDate], "&lt;=" &amp; $A117, Table2[AwayTeam], Z$1)+SUMIFS(Table2[NewPointsHome],Table2[GameDate], "&lt;=" &amp; $A117, Table2[HomeTeam], Z$1)</f>
        <v>0</v>
      </c>
      <c r="AA117" s="145">
        <f>SUMIFS(Table2[NewPointsAway],Table2[GameDate], "&lt;=" &amp; $A117, Table2[AwayTeam], AA$1)+SUMIFS(Table2[NewPointsHome],Table2[GameDate], "&lt;=" &amp; $A117, Table2[HomeTeam], AA$1)</f>
        <v>0</v>
      </c>
      <c r="AB117" s="145">
        <f>SUMIFS(Table2[NewPointsAway],Table2[GameDate], "&lt;=" &amp; $A117, Table2[AwayTeam], AB$1)+SUMIFS(Table2[NewPointsHome],Table2[GameDate], "&lt;=" &amp; $A117, Table2[HomeTeam], AB$1)</f>
        <v>2</v>
      </c>
      <c r="AC117" s="145">
        <f>SUMIFS(Table2[NewPointsAway],Table2[GameDate], "&lt;=" &amp; $A117, Table2[AwayTeam], AC$1)+SUMIFS(Table2[NewPointsHome],Table2[GameDate], "&lt;=" &amp; $A117, Table2[HomeTeam], AC$1)</f>
        <v>0</v>
      </c>
      <c r="AD117" s="145">
        <f>SUMIFS(Table2[NewPointsAway],Table2[GameDate], "&lt;=" &amp; $A117, Table2[AwayTeam], AD$1)+SUMIFS(Table2[NewPointsHome],Table2[GameDate], "&lt;=" &amp; $A117, Table2[HomeTeam], AD$1)</f>
        <v>0</v>
      </c>
      <c r="AE117" s="145">
        <f>SUMIFS(Table2[NewPointsAway],Table2[GameDate], "&lt;=" &amp; $A117, Table2[AwayTeam], AE$1)+SUMIFS(Table2[NewPointsHome],Table2[GameDate], "&lt;=" &amp; $A117, Table2[HomeTeam], AE$1)</f>
        <v>1</v>
      </c>
      <c r="AF117" s="145">
        <f>SUMIFS(Table2[NewPointsAway],Table2[GameDate], "&lt;=" &amp; $A117, Table2[AwayTeam], AF$1)+SUMIFS(Table2[NewPointsHome],Table2[GameDate], "&lt;=" &amp; $A117, Table2[HomeTeam], AF$1)</f>
        <v>0</v>
      </c>
      <c r="AG117" s="145">
        <f>SUMIFS(Table2[NewPointsAway],Table2[GameDate], "&lt;=" &amp; $A117, Table2[AwayTeam], AG$1)+SUMIFS(Table2[NewPointsHome],Table2[GameDate], "&lt;=" &amp; $A117, Table2[HomeTeam], AG$1)</f>
        <v>0</v>
      </c>
    </row>
    <row r="118" spans="1:33" x14ac:dyDescent="0.25">
      <c r="A118" s="3">
        <v>46049</v>
      </c>
      <c r="B118" s="145">
        <f>SUMIFS(Table2[NewPointsAway],Table2[GameDate], "&lt;=" &amp; $A118, Table2[AwayTeam], B$1)+SUMIFS(Table2[NewPointsHome],Table2[GameDate], "&lt;=" &amp; $A118, Table2[HomeTeam], B$1)</f>
        <v>0</v>
      </c>
      <c r="C118" s="145">
        <f>SUMIFS(Table2[NewPointsAway],Table2[GameDate], "&lt;=" &amp; $A118, Table2[AwayTeam], C$1)+SUMIFS(Table2[NewPointsHome],Table2[GameDate], "&lt;=" &amp; $A118, Table2[HomeTeam], C$1)</f>
        <v>2</v>
      </c>
      <c r="D118" s="145">
        <f>SUMIFS(Table2[NewPointsAway],Table2[GameDate], "&lt;=" &amp; $A118, Table2[AwayTeam], D$1)+SUMIFS(Table2[NewPointsHome],Table2[GameDate], "&lt;=" &amp; $A118, Table2[HomeTeam], D$1)</f>
        <v>0</v>
      </c>
      <c r="E118" s="145">
        <f>SUMIFS(Table2[NewPointsAway],Table2[GameDate], "&lt;=" &amp; $A118, Table2[AwayTeam], E$1)+SUMIFS(Table2[NewPointsHome],Table2[GameDate], "&lt;=" &amp; $A118, Table2[HomeTeam], E$1)</f>
        <v>0</v>
      </c>
      <c r="F118" s="145">
        <f>SUMIFS(Table2[NewPointsAway],Table2[GameDate], "&lt;=" &amp; $A118, Table2[AwayTeam], F$1)+SUMIFS(Table2[NewPointsHome],Table2[GameDate], "&lt;=" &amp; $A118, Table2[HomeTeam], F$1)</f>
        <v>0</v>
      </c>
      <c r="G118" s="145">
        <f>SUMIFS(Table2[NewPointsAway],Table2[GameDate], "&lt;=" &amp; $A118, Table2[AwayTeam], G$1)+SUMIFS(Table2[NewPointsHome],Table2[GameDate], "&lt;=" &amp; $A118, Table2[HomeTeam], G$1)</f>
        <v>2</v>
      </c>
      <c r="H118" s="145">
        <f>SUMIFS(Table2[NewPointsAway],Table2[GameDate], "&lt;=" &amp; $A118, Table2[AwayTeam], H$1)+SUMIFS(Table2[NewPointsHome],Table2[GameDate], "&lt;=" &amp; $A118, Table2[HomeTeam], H$1)</f>
        <v>0</v>
      </c>
      <c r="I118" s="145">
        <f>SUMIFS(Table2[NewPointsAway],Table2[GameDate], "&lt;=" &amp; $A118, Table2[AwayTeam], I$1)+SUMIFS(Table2[NewPointsHome],Table2[GameDate], "&lt;=" &amp; $A118, Table2[HomeTeam], I$1)</f>
        <v>2</v>
      </c>
      <c r="J118" s="145">
        <f>SUMIFS(Table2[NewPointsAway],Table2[GameDate], "&lt;=" &amp; $A118, Table2[AwayTeam], J$1)+SUMIFS(Table2[NewPointsHome],Table2[GameDate], "&lt;=" &amp; $A118, Table2[HomeTeam], J$1)</f>
        <v>0</v>
      </c>
      <c r="K118" s="145">
        <f>SUMIFS(Table2[NewPointsAway],Table2[GameDate], "&lt;=" &amp; $A118, Table2[AwayTeam], K$1)+SUMIFS(Table2[NewPointsHome],Table2[GameDate], "&lt;=" &amp; $A118, Table2[HomeTeam], K$1)</f>
        <v>0</v>
      </c>
      <c r="L118" s="145">
        <f>SUMIFS(Table2[NewPointsAway],Table2[GameDate], "&lt;=" &amp; $A118, Table2[AwayTeam], L$1)+SUMIFS(Table2[NewPointsHome],Table2[GameDate], "&lt;=" &amp; $A118, Table2[HomeTeam], L$1)</f>
        <v>1</v>
      </c>
      <c r="M118" s="145">
        <f>SUMIFS(Table2[NewPointsAway],Table2[GameDate], "&lt;=" &amp; $A118, Table2[AwayTeam], M$1)+SUMIFS(Table2[NewPointsHome],Table2[GameDate], "&lt;=" &amp; $A118, Table2[HomeTeam], M$1)</f>
        <v>2</v>
      </c>
      <c r="N118" s="145">
        <f>SUMIFS(Table2[NewPointsAway],Table2[GameDate], "&lt;=" &amp; $A118, Table2[AwayTeam], N$1)+SUMIFS(Table2[NewPointsHome],Table2[GameDate], "&lt;=" &amp; $A118, Table2[HomeTeam], N$1)</f>
        <v>2</v>
      </c>
      <c r="O118" s="145">
        <f>SUMIFS(Table2[NewPointsAway],Table2[GameDate], "&lt;=" &amp; $A118, Table2[AwayTeam], O$1)+SUMIFS(Table2[NewPointsHome],Table2[GameDate], "&lt;=" &amp; $A118, Table2[HomeTeam], O$1)</f>
        <v>0</v>
      </c>
      <c r="P118" s="145">
        <f>SUMIFS(Table2[NewPointsAway],Table2[GameDate], "&lt;=" &amp; $A118, Table2[AwayTeam], P$1)+SUMIFS(Table2[NewPointsHome],Table2[GameDate], "&lt;=" &amp; $A118, Table2[HomeTeam], P$1)</f>
        <v>0</v>
      </c>
      <c r="Q118" s="145">
        <f>SUMIFS(Table2[NewPointsAway],Table2[GameDate], "&lt;=" &amp; $A118, Table2[AwayTeam], Q$1)+SUMIFS(Table2[NewPointsHome],Table2[GameDate], "&lt;=" &amp; $A118, Table2[HomeTeam], Q$1)</f>
        <v>0</v>
      </c>
      <c r="R118" s="145">
        <f>SUMIFS(Table2[NewPointsAway],Table2[GameDate], "&lt;=" &amp; $A118, Table2[AwayTeam], R$1)+SUMIFS(Table2[NewPointsHome],Table2[GameDate], "&lt;=" &amp; $A118, Table2[HomeTeam], R$1)</f>
        <v>0</v>
      </c>
      <c r="S118" s="145">
        <f>SUMIFS(Table2[NewPointsAway],Table2[GameDate], "&lt;=" &amp; $A118, Table2[AwayTeam], S$1)+SUMIFS(Table2[NewPointsHome],Table2[GameDate], "&lt;=" &amp; $A118, Table2[HomeTeam], S$1)</f>
        <v>0</v>
      </c>
      <c r="T118" s="145">
        <f>SUMIFS(Table2[NewPointsAway],Table2[GameDate], "&lt;=" &amp; $A118, Table2[AwayTeam], T$1)+SUMIFS(Table2[NewPointsHome],Table2[GameDate], "&lt;=" &amp; $A118, Table2[HomeTeam], T$1)</f>
        <v>0</v>
      </c>
      <c r="U118" s="145">
        <f>SUMIFS(Table2[NewPointsAway],Table2[GameDate], "&lt;=" &amp; $A118, Table2[AwayTeam], U$1)+SUMIFS(Table2[NewPointsHome],Table2[GameDate], "&lt;=" &amp; $A118, Table2[HomeTeam], U$1)</f>
        <v>0</v>
      </c>
      <c r="V118" s="145">
        <f>SUMIFS(Table2[NewPointsAway],Table2[GameDate], "&lt;=" &amp; $A118, Table2[AwayTeam], V$1)+SUMIFS(Table2[NewPointsHome],Table2[GameDate], "&lt;=" &amp; $A118, Table2[HomeTeam], V$1)</f>
        <v>0</v>
      </c>
      <c r="W118" s="145">
        <f>SUMIFS(Table2[NewPointsAway],Table2[GameDate], "&lt;=" &amp; $A118, Table2[AwayTeam], W$1)+SUMIFS(Table2[NewPointsHome],Table2[GameDate], "&lt;=" &amp; $A118, Table2[HomeTeam], W$1)</f>
        <v>2</v>
      </c>
      <c r="X118" s="145">
        <f>SUMIFS(Table2[NewPointsAway],Table2[GameDate], "&lt;=" &amp; $A118, Table2[AwayTeam], X$1)+SUMIFS(Table2[NewPointsHome],Table2[GameDate], "&lt;=" &amp; $A118, Table2[HomeTeam], X$1)</f>
        <v>0</v>
      </c>
      <c r="Y118" s="145">
        <f>SUMIFS(Table2[NewPointsAway],Table2[GameDate], "&lt;=" &amp; $A118, Table2[AwayTeam], Y$1)+SUMIFS(Table2[NewPointsHome],Table2[GameDate], "&lt;=" &amp; $A118, Table2[HomeTeam], Y$1)</f>
        <v>0</v>
      </c>
      <c r="Z118" s="145">
        <f>SUMIFS(Table2[NewPointsAway],Table2[GameDate], "&lt;=" &amp; $A118, Table2[AwayTeam], Z$1)+SUMIFS(Table2[NewPointsHome],Table2[GameDate], "&lt;=" &amp; $A118, Table2[HomeTeam], Z$1)</f>
        <v>0</v>
      </c>
      <c r="AA118" s="145">
        <f>SUMIFS(Table2[NewPointsAway],Table2[GameDate], "&lt;=" &amp; $A118, Table2[AwayTeam], AA$1)+SUMIFS(Table2[NewPointsHome],Table2[GameDate], "&lt;=" &amp; $A118, Table2[HomeTeam], AA$1)</f>
        <v>0</v>
      </c>
      <c r="AB118" s="145">
        <f>SUMIFS(Table2[NewPointsAway],Table2[GameDate], "&lt;=" &amp; $A118, Table2[AwayTeam], AB$1)+SUMIFS(Table2[NewPointsHome],Table2[GameDate], "&lt;=" &amp; $A118, Table2[HomeTeam], AB$1)</f>
        <v>2</v>
      </c>
      <c r="AC118" s="145">
        <f>SUMIFS(Table2[NewPointsAway],Table2[GameDate], "&lt;=" &amp; $A118, Table2[AwayTeam], AC$1)+SUMIFS(Table2[NewPointsHome],Table2[GameDate], "&lt;=" &amp; $A118, Table2[HomeTeam], AC$1)</f>
        <v>0</v>
      </c>
      <c r="AD118" s="145">
        <f>SUMIFS(Table2[NewPointsAway],Table2[GameDate], "&lt;=" &amp; $A118, Table2[AwayTeam], AD$1)+SUMIFS(Table2[NewPointsHome],Table2[GameDate], "&lt;=" &amp; $A118, Table2[HomeTeam], AD$1)</f>
        <v>0</v>
      </c>
      <c r="AE118" s="145">
        <f>SUMIFS(Table2[NewPointsAway],Table2[GameDate], "&lt;=" &amp; $A118, Table2[AwayTeam], AE$1)+SUMIFS(Table2[NewPointsHome],Table2[GameDate], "&lt;=" &amp; $A118, Table2[HomeTeam], AE$1)</f>
        <v>1</v>
      </c>
      <c r="AF118" s="145">
        <f>SUMIFS(Table2[NewPointsAway],Table2[GameDate], "&lt;=" &amp; $A118, Table2[AwayTeam], AF$1)+SUMIFS(Table2[NewPointsHome],Table2[GameDate], "&lt;=" &amp; $A118, Table2[HomeTeam], AF$1)</f>
        <v>0</v>
      </c>
      <c r="AG118" s="145">
        <f>SUMIFS(Table2[NewPointsAway],Table2[GameDate], "&lt;=" &amp; $A118, Table2[AwayTeam], AG$1)+SUMIFS(Table2[NewPointsHome],Table2[GameDate], "&lt;=" &amp; $A118, Table2[HomeTeam], AG$1)</f>
        <v>0</v>
      </c>
    </row>
    <row r="119" spans="1:33" x14ac:dyDescent="0.25">
      <c r="A119" s="3">
        <v>46050</v>
      </c>
      <c r="B119" s="145">
        <f>SUMIFS(Table2[NewPointsAway],Table2[GameDate], "&lt;=" &amp; $A119, Table2[AwayTeam], B$1)+SUMIFS(Table2[NewPointsHome],Table2[GameDate], "&lt;=" &amp; $A119, Table2[HomeTeam], B$1)</f>
        <v>0</v>
      </c>
      <c r="C119" s="145">
        <f>SUMIFS(Table2[NewPointsAway],Table2[GameDate], "&lt;=" &amp; $A119, Table2[AwayTeam], C$1)+SUMIFS(Table2[NewPointsHome],Table2[GameDate], "&lt;=" &amp; $A119, Table2[HomeTeam], C$1)</f>
        <v>2</v>
      </c>
      <c r="D119" s="145">
        <f>SUMIFS(Table2[NewPointsAway],Table2[GameDate], "&lt;=" &amp; $A119, Table2[AwayTeam], D$1)+SUMIFS(Table2[NewPointsHome],Table2[GameDate], "&lt;=" &amp; $A119, Table2[HomeTeam], D$1)</f>
        <v>0</v>
      </c>
      <c r="E119" s="145">
        <f>SUMIFS(Table2[NewPointsAway],Table2[GameDate], "&lt;=" &amp; $A119, Table2[AwayTeam], E$1)+SUMIFS(Table2[NewPointsHome],Table2[GameDate], "&lt;=" &amp; $A119, Table2[HomeTeam], E$1)</f>
        <v>0</v>
      </c>
      <c r="F119" s="145">
        <f>SUMIFS(Table2[NewPointsAway],Table2[GameDate], "&lt;=" &amp; $A119, Table2[AwayTeam], F$1)+SUMIFS(Table2[NewPointsHome],Table2[GameDate], "&lt;=" &amp; $A119, Table2[HomeTeam], F$1)</f>
        <v>0</v>
      </c>
      <c r="G119" s="145">
        <f>SUMIFS(Table2[NewPointsAway],Table2[GameDate], "&lt;=" &amp; $A119, Table2[AwayTeam], G$1)+SUMIFS(Table2[NewPointsHome],Table2[GameDate], "&lt;=" &amp; $A119, Table2[HomeTeam], G$1)</f>
        <v>2</v>
      </c>
      <c r="H119" s="145">
        <f>SUMIFS(Table2[NewPointsAway],Table2[GameDate], "&lt;=" &amp; $A119, Table2[AwayTeam], H$1)+SUMIFS(Table2[NewPointsHome],Table2[GameDate], "&lt;=" &amp; $A119, Table2[HomeTeam], H$1)</f>
        <v>0</v>
      </c>
      <c r="I119" s="145">
        <f>SUMIFS(Table2[NewPointsAway],Table2[GameDate], "&lt;=" &amp; $A119, Table2[AwayTeam], I$1)+SUMIFS(Table2[NewPointsHome],Table2[GameDate], "&lt;=" &amp; $A119, Table2[HomeTeam], I$1)</f>
        <v>2</v>
      </c>
      <c r="J119" s="145">
        <f>SUMIFS(Table2[NewPointsAway],Table2[GameDate], "&lt;=" &amp; $A119, Table2[AwayTeam], J$1)+SUMIFS(Table2[NewPointsHome],Table2[GameDate], "&lt;=" &amp; $A119, Table2[HomeTeam], J$1)</f>
        <v>0</v>
      </c>
      <c r="K119" s="145">
        <f>SUMIFS(Table2[NewPointsAway],Table2[GameDate], "&lt;=" &amp; $A119, Table2[AwayTeam], K$1)+SUMIFS(Table2[NewPointsHome],Table2[GameDate], "&lt;=" &amp; $A119, Table2[HomeTeam], K$1)</f>
        <v>0</v>
      </c>
      <c r="L119" s="145">
        <f>SUMIFS(Table2[NewPointsAway],Table2[GameDate], "&lt;=" &amp; $A119, Table2[AwayTeam], L$1)+SUMIFS(Table2[NewPointsHome],Table2[GameDate], "&lt;=" &amp; $A119, Table2[HomeTeam], L$1)</f>
        <v>1</v>
      </c>
      <c r="M119" s="145">
        <f>SUMIFS(Table2[NewPointsAway],Table2[GameDate], "&lt;=" &amp; $A119, Table2[AwayTeam], M$1)+SUMIFS(Table2[NewPointsHome],Table2[GameDate], "&lt;=" &amp; $A119, Table2[HomeTeam], M$1)</f>
        <v>2</v>
      </c>
      <c r="N119" s="145">
        <f>SUMIFS(Table2[NewPointsAway],Table2[GameDate], "&lt;=" &amp; $A119, Table2[AwayTeam], N$1)+SUMIFS(Table2[NewPointsHome],Table2[GameDate], "&lt;=" &amp; $A119, Table2[HomeTeam], N$1)</f>
        <v>2</v>
      </c>
      <c r="O119" s="145">
        <f>SUMIFS(Table2[NewPointsAway],Table2[GameDate], "&lt;=" &amp; $A119, Table2[AwayTeam], O$1)+SUMIFS(Table2[NewPointsHome],Table2[GameDate], "&lt;=" &amp; $A119, Table2[HomeTeam], O$1)</f>
        <v>0</v>
      </c>
      <c r="P119" s="145">
        <f>SUMIFS(Table2[NewPointsAway],Table2[GameDate], "&lt;=" &amp; $A119, Table2[AwayTeam], P$1)+SUMIFS(Table2[NewPointsHome],Table2[GameDate], "&lt;=" &amp; $A119, Table2[HomeTeam], P$1)</f>
        <v>0</v>
      </c>
      <c r="Q119" s="145">
        <f>SUMIFS(Table2[NewPointsAway],Table2[GameDate], "&lt;=" &amp; $A119, Table2[AwayTeam], Q$1)+SUMIFS(Table2[NewPointsHome],Table2[GameDate], "&lt;=" &amp; $A119, Table2[HomeTeam], Q$1)</f>
        <v>0</v>
      </c>
      <c r="R119" s="145">
        <f>SUMIFS(Table2[NewPointsAway],Table2[GameDate], "&lt;=" &amp; $A119, Table2[AwayTeam], R$1)+SUMIFS(Table2[NewPointsHome],Table2[GameDate], "&lt;=" &amp; $A119, Table2[HomeTeam], R$1)</f>
        <v>0</v>
      </c>
      <c r="S119" s="145">
        <f>SUMIFS(Table2[NewPointsAway],Table2[GameDate], "&lt;=" &amp; $A119, Table2[AwayTeam], S$1)+SUMIFS(Table2[NewPointsHome],Table2[GameDate], "&lt;=" &amp; $A119, Table2[HomeTeam], S$1)</f>
        <v>0</v>
      </c>
      <c r="T119" s="145">
        <f>SUMIFS(Table2[NewPointsAway],Table2[GameDate], "&lt;=" &amp; $A119, Table2[AwayTeam], T$1)+SUMIFS(Table2[NewPointsHome],Table2[GameDate], "&lt;=" &amp; $A119, Table2[HomeTeam], T$1)</f>
        <v>0</v>
      </c>
      <c r="U119" s="145">
        <f>SUMIFS(Table2[NewPointsAway],Table2[GameDate], "&lt;=" &amp; $A119, Table2[AwayTeam], U$1)+SUMIFS(Table2[NewPointsHome],Table2[GameDate], "&lt;=" &amp; $A119, Table2[HomeTeam], U$1)</f>
        <v>0</v>
      </c>
      <c r="V119" s="145">
        <f>SUMIFS(Table2[NewPointsAway],Table2[GameDate], "&lt;=" &amp; $A119, Table2[AwayTeam], V$1)+SUMIFS(Table2[NewPointsHome],Table2[GameDate], "&lt;=" &amp; $A119, Table2[HomeTeam], V$1)</f>
        <v>0</v>
      </c>
      <c r="W119" s="145">
        <f>SUMIFS(Table2[NewPointsAway],Table2[GameDate], "&lt;=" &amp; $A119, Table2[AwayTeam], W$1)+SUMIFS(Table2[NewPointsHome],Table2[GameDate], "&lt;=" &amp; $A119, Table2[HomeTeam], W$1)</f>
        <v>2</v>
      </c>
      <c r="X119" s="145">
        <f>SUMIFS(Table2[NewPointsAway],Table2[GameDate], "&lt;=" &amp; $A119, Table2[AwayTeam], X$1)+SUMIFS(Table2[NewPointsHome],Table2[GameDate], "&lt;=" &amp; $A119, Table2[HomeTeam], X$1)</f>
        <v>0</v>
      </c>
      <c r="Y119" s="145">
        <f>SUMIFS(Table2[NewPointsAway],Table2[GameDate], "&lt;=" &amp; $A119, Table2[AwayTeam], Y$1)+SUMIFS(Table2[NewPointsHome],Table2[GameDate], "&lt;=" &amp; $A119, Table2[HomeTeam], Y$1)</f>
        <v>0</v>
      </c>
      <c r="Z119" s="145">
        <f>SUMIFS(Table2[NewPointsAway],Table2[GameDate], "&lt;=" &amp; $A119, Table2[AwayTeam], Z$1)+SUMIFS(Table2[NewPointsHome],Table2[GameDate], "&lt;=" &amp; $A119, Table2[HomeTeam], Z$1)</f>
        <v>0</v>
      </c>
      <c r="AA119" s="145">
        <f>SUMIFS(Table2[NewPointsAway],Table2[GameDate], "&lt;=" &amp; $A119, Table2[AwayTeam], AA$1)+SUMIFS(Table2[NewPointsHome],Table2[GameDate], "&lt;=" &amp; $A119, Table2[HomeTeam], AA$1)</f>
        <v>0</v>
      </c>
      <c r="AB119" s="145">
        <f>SUMIFS(Table2[NewPointsAway],Table2[GameDate], "&lt;=" &amp; $A119, Table2[AwayTeam], AB$1)+SUMIFS(Table2[NewPointsHome],Table2[GameDate], "&lt;=" &amp; $A119, Table2[HomeTeam], AB$1)</f>
        <v>2</v>
      </c>
      <c r="AC119" s="145">
        <f>SUMIFS(Table2[NewPointsAway],Table2[GameDate], "&lt;=" &amp; $A119, Table2[AwayTeam], AC$1)+SUMIFS(Table2[NewPointsHome],Table2[GameDate], "&lt;=" &amp; $A119, Table2[HomeTeam], AC$1)</f>
        <v>0</v>
      </c>
      <c r="AD119" s="145">
        <f>SUMIFS(Table2[NewPointsAway],Table2[GameDate], "&lt;=" &amp; $A119, Table2[AwayTeam], AD$1)+SUMIFS(Table2[NewPointsHome],Table2[GameDate], "&lt;=" &amp; $A119, Table2[HomeTeam], AD$1)</f>
        <v>0</v>
      </c>
      <c r="AE119" s="145">
        <f>SUMIFS(Table2[NewPointsAway],Table2[GameDate], "&lt;=" &amp; $A119, Table2[AwayTeam], AE$1)+SUMIFS(Table2[NewPointsHome],Table2[GameDate], "&lt;=" &amp; $A119, Table2[HomeTeam], AE$1)</f>
        <v>1</v>
      </c>
      <c r="AF119" s="145">
        <f>SUMIFS(Table2[NewPointsAway],Table2[GameDate], "&lt;=" &amp; $A119, Table2[AwayTeam], AF$1)+SUMIFS(Table2[NewPointsHome],Table2[GameDate], "&lt;=" &amp; $A119, Table2[HomeTeam], AF$1)</f>
        <v>0</v>
      </c>
      <c r="AG119" s="145">
        <f>SUMIFS(Table2[NewPointsAway],Table2[GameDate], "&lt;=" &amp; $A119, Table2[AwayTeam], AG$1)+SUMIFS(Table2[NewPointsHome],Table2[GameDate], "&lt;=" &amp; $A119, Table2[HomeTeam], AG$1)</f>
        <v>0</v>
      </c>
    </row>
    <row r="120" spans="1:33" x14ac:dyDescent="0.25">
      <c r="A120" s="3">
        <v>46051</v>
      </c>
      <c r="B120" s="145">
        <f>SUMIFS(Table2[NewPointsAway],Table2[GameDate], "&lt;=" &amp; $A120, Table2[AwayTeam], B$1)+SUMIFS(Table2[NewPointsHome],Table2[GameDate], "&lt;=" &amp; $A120, Table2[HomeTeam], B$1)</f>
        <v>0</v>
      </c>
      <c r="C120" s="145">
        <f>SUMIFS(Table2[NewPointsAway],Table2[GameDate], "&lt;=" &amp; $A120, Table2[AwayTeam], C$1)+SUMIFS(Table2[NewPointsHome],Table2[GameDate], "&lt;=" &amp; $A120, Table2[HomeTeam], C$1)</f>
        <v>2</v>
      </c>
      <c r="D120" s="145">
        <f>SUMIFS(Table2[NewPointsAway],Table2[GameDate], "&lt;=" &amp; $A120, Table2[AwayTeam], D$1)+SUMIFS(Table2[NewPointsHome],Table2[GameDate], "&lt;=" &amp; $A120, Table2[HomeTeam], D$1)</f>
        <v>0</v>
      </c>
      <c r="E120" s="145">
        <f>SUMIFS(Table2[NewPointsAway],Table2[GameDate], "&lt;=" &amp; $A120, Table2[AwayTeam], E$1)+SUMIFS(Table2[NewPointsHome],Table2[GameDate], "&lt;=" &amp; $A120, Table2[HomeTeam], E$1)</f>
        <v>0</v>
      </c>
      <c r="F120" s="145">
        <f>SUMIFS(Table2[NewPointsAway],Table2[GameDate], "&lt;=" &amp; $A120, Table2[AwayTeam], F$1)+SUMIFS(Table2[NewPointsHome],Table2[GameDate], "&lt;=" &amp; $A120, Table2[HomeTeam], F$1)</f>
        <v>0</v>
      </c>
      <c r="G120" s="145">
        <f>SUMIFS(Table2[NewPointsAway],Table2[GameDate], "&lt;=" &amp; $A120, Table2[AwayTeam], G$1)+SUMIFS(Table2[NewPointsHome],Table2[GameDate], "&lt;=" &amp; $A120, Table2[HomeTeam], G$1)</f>
        <v>2</v>
      </c>
      <c r="H120" s="145">
        <f>SUMIFS(Table2[NewPointsAway],Table2[GameDate], "&lt;=" &amp; $A120, Table2[AwayTeam], H$1)+SUMIFS(Table2[NewPointsHome],Table2[GameDate], "&lt;=" &amp; $A120, Table2[HomeTeam], H$1)</f>
        <v>0</v>
      </c>
      <c r="I120" s="145">
        <f>SUMIFS(Table2[NewPointsAway],Table2[GameDate], "&lt;=" &amp; $A120, Table2[AwayTeam], I$1)+SUMIFS(Table2[NewPointsHome],Table2[GameDate], "&lt;=" &amp; $A120, Table2[HomeTeam], I$1)</f>
        <v>2</v>
      </c>
      <c r="J120" s="145">
        <f>SUMIFS(Table2[NewPointsAway],Table2[GameDate], "&lt;=" &amp; $A120, Table2[AwayTeam], J$1)+SUMIFS(Table2[NewPointsHome],Table2[GameDate], "&lt;=" &amp; $A120, Table2[HomeTeam], J$1)</f>
        <v>0</v>
      </c>
      <c r="K120" s="145">
        <f>SUMIFS(Table2[NewPointsAway],Table2[GameDate], "&lt;=" &amp; $A120, Table2[AwayTeam], K$1)+SUMIFS(Table2[NewPointsHome],Table2[GameDate], "&lt;=" &amp; $A120, Table2[HomeTeam], K$1)</f>
        <v>0</v>
      </c>
      <c r="L120" s="145">
        <f>SUMIFS(Table2[NewPointsAway],Table2[GameDate], "&lt;=" &amp; $A120, Table2[AwayTeam], L$1)+SUMIFS(Table2[NewPointsHome],Table2[GameDate], "&lt;=" &amp; $A120, Table2[HomeTeam], L$1)</f>
        <v>1</v>
      </c>
      <c r="M120" s="145">
        <f>SUMIFS(Table2[NewPointsAway],Table2[GameDate], "&lt;=" &amp; $A120, Table2[AwayTeam], M$1)+SUMIFS(Table2[NewPointsHome],Table2[GameDate], "&lt;=" &amp; $A120, Table2[HomeTeam], M$1)</f>
        <v>2</v>
      </c>
      <c r="N120" s="145">
        <f>SUMIFS(Table2[NewPointsAway],Table2[GameDate], "&lt;=" &amp; $A120, Table2[AwayTeam], N$1)+SUMIFS(Table2[NewPointsHome],Table2[GameDate], "&lt;=" &amp; $A120, Table2[HomeTeam], N$1)</f>
        <v>2</v>
      </c>
      <c r="O120" s="145">
        <f>SUMIFS(Table2[NewPointsAway],Table2[GameDate], "&lt;=" &amp; $A120, Table2[AwayTeam], O$1)+SUMIFS(Table2[NewPointsHome],Table2[GameDate], "&lt;=" &amp; $A120, Table2[HomeTeam], O$1)</f>
        <v>0</v>
      </c>
      <c r="P120" s="145">
        <f>SUMIFS(Table2[NewPointsAway],Table2[GameDate], "&lt;=" &amp; $A120, Table2[AwayTeam], P$1)+SUMIFS(Table2[NewPointsHome],Table2[GameDate], "&lt;=" &amp; $A120, Table2[HomeTeam], P$1)</f>
        <v>0</v>
      </c>
      <c r="Q120" s="145">
        <f>SUMIFS(Table2[NewPointsAway],Table2[GameDate], "&lt;=" &amp; $A120, Table2[AwayTeam], Q$1)+SUMIFS(Table2[NewPointsHome],Table2[GameDate], "&lt;=" &amp; $A120, Table2[HomeTeam], Q$1)</f>
        <v>0</v>
      </c>
      <c r="R120" s="145">
        <f>SUMIFS(Table2[NewPointsAway],Table2[GameDate], "&lt;=" &amp; $A120, Table2[AwayTeam], R$1)+SUMIFS(Table2[NewPointsHome],Table2[GameDate], "&lt;=" &amp; $A120, Table2[HomeTeam], R$1)</f>
        <v>0</v>
      </c>
      <c r="S120" s="145">
        <f>SUMIFS(Table2[NewPointsAway],Table2[GameDate], "&lt;=" &amp; $A120, Table2[AwayTeam], S$1)+SUMIFS(Table2[NewPointsHome],Table2[GameDate], "&lt;=" &amp; $A120, Table2[HomeTeam], S$1)</f>
        <v>0</v>
      </c>
      <c r="T120" s="145">
        <f>SUMIFS(Table2[NewPointsAway],Table2[GameDate], "&lt;=" &amp; $A120, Table2[AwayTeam], T$1)+SUMIFS(Table2[NewPointsHome],Table2[GameDate], "&lt;=" &amp; $A120, Table2[HomeTeam], T$1)</f>
        <v>0</v>
      </c>
      <c r="U120" s="145">
        <f>SUMIFS(Table2[NewPointsAway],Table2[GameDate], "&lt;=" &amp; $A120, Table2[AwayTeam], U$1)+SUMIFS(Table2[NewPointsHome],Table2[GameDate], "&lt;=" &amp; $A120, Table2[HomeTeam], U$1)</f>
        <v>0</v>
      </c>
      <c r="V120" s="145">
        <f>SUMIFS(Table2[NewPointsAway],Table2[GameDate], "&lt;=" &amp; $A120, Table2[AwayTeam], V$1)+SUMIFS(Table2[NewPointsHome],Table2[GameDate], "&lt;=" &amp; $A120, Table2[HomeTeam], V$1)</f>
        <v>0</v>
      </c>
      <c r="W120" s="145">
        <f>SUMIFS(Table2[NewPointsAway],Table2[GameDate], "&lt;=" &amp; $A120, Table2[AwayTeam], W$1)+SUMIFS(Table2[NewPointsHome],Table2[GameDate], "&lt;=" &amp; $A120, Table2[HomeTeam], W$1)</f>
        <v>2</v>
      </c>
      <c r="X120" s="145">
        <f>SUMIFS(Table2[NewPointsAway],Table2[GameDate], "&lt;=" &amp; $A120, Table2[AwayTeam], X$1)+SUMIFS(Table2[NewPointsHome],Table2[GameDate], "&lt;=" &amp; $A120, Table2[HomeTeam], X$1)</f>
        <v>0</v>
      </c>
      <c r="Y120" s="145">
        <f>SUMIFS(Table2[NewPointsAway],Table2[GameDate], "&lt;=" &amp; $A120, Table2[AwayTeam], Y$1)+SUMIFS(Table2[NewPointsHome],Table2[GameDate], "&lt;=" &amp; $A120, Table2[HomeTeam], Y$1)</f>
        <v>0</v>
      </c>
      <c r="Z120" s="145">
        <f>SUMIFS(Table2[NewPointsAway],Table2[GameDate], "&lt;=" &amp; $A120, Table2[AwayTeam], Z$1)+SUMIFS(Table2[NewPointsHome],Table2[GameDate], "&lt;=" &amp; $A120, Table2[HomeTeam], Z$1)</f>
        <v>0</v>
      </c>
      <c r="AA120" s="145">
        <f>SUMIFS(Table2[NewPointsAway],Table2[GameDate], "&lt;=" &amp; $A120, Table2[AwayTeam], AA$1)+SUMIFS(Table2[NewPointsHome],Table2[GameDate], "&lt;=" &amp; $A120, Table2[HomeTeam], AA$1)</f>
        <v>0</v>
      </c>
      <c r="AB120" s="145">
        <f>SUMIFS(Table2[NewPointsAway],Table2[GameDate], "&lt;=" &amp; $A120, Table2[AwayTeam], AB$1)+SUMIFS(Table2[NewPointsHome],Table2[GameDate], "&lt;=" &amp; $A120, Table2[HomeTeam], AB$1)</f>
        <v>2</v>
      </c>
      <c r="AC120" s="145">
        <f>SUMIFS(Table2[NewPointsAway],Table2[GameDate], "&lt;=" &amp; $A120, Table2[AwayTeam], AC$1)+SUMIFS(Table2[NewPointsHome],Table2[GameDate], "&lt;=" &amp; $A120, Table2[HomeTeam], AC$1)</f>
        <v>0</v>
      </c>
      <c r="AD120" s="145">
        <f>SUMIFS(Table2[NewPointsAway],Table2[GameDate], "&lt;=" &amp; $A120, Table2[AwayTeam], AD$1)+SUMIFS(Table2[NewPointsHome],Table2[GameDate], "&lt;=" &amp; $A120, Table2[HomeTeam], AD$1)</f>
        <v>0</v>
      </c>
      <c r="AE120" s="145">
        <f>SUMIFS(Table2[NewPointsAway],Table2[GameDate], "&lt;=" &amp; $A120, Table2[AwayTeam], AE$1)+SUMIFS(Table2[NewPointsHome],Table2[GameDate], "&lt;=" &amp; $A120, Table2[HomeTeam], AE$1)</f>
        <v>1</v>
      </c>
      <c r="AF120" s="145">
        <f>SUMIFS(Table2[NewPointsAway],Table2[GameDate], "&lt;=" &amp; $A120, Table2[AwayTeam], AF$1)+SUMIFS(Table2[NewPointsHome],Table2[GameDate], "&lt;=" &amp; $A120, Table2[HomeTeam], AF$1)</f>
        <v>0</v>
      </c>
      <c r="AG120" s="145">
        <f>SUMIFS(Table2[NewPointsAway],Table2[GameDate], "&lt;=" &amp; $A120, Table2[AwayTeam], AG$1)+SUMIFS(Table2[NewPointsHome],Table2[GameDate], "&lt;=" &amp; $A120, Table2[HomeTeam], AG$1)</f>
        <v>0</v>
      </c>
    </row>
    <row r="121" spans="1:33" x14ac:dyDescent="0.25">
      <c r="A121" s="3">
        <v>46052</v>
      </c>
      <c r="B121" s="145">
        <f>SUMIFS(Table2[NewPointsAway],Table2[GameDate], "&lt;=" &amp; $A121, Table2[AwayTeam], B$1)+SUMIFS(Table2[NewPointsHome],Table2[GameDate], "&lt;=" &amp; $A121, Table2[HomeTeam], B$1)</f>
        <v>0</v>
      </c>
      <c r="C121" s="145">
        <f>SUMIFS(Table2[NewPointsAway],Table2[GameDate], "&lt;=" &amp; $A121, Table2[AwayTeam], C$1)+SUMIFS(Table2[NewPointsHome],Table2[GameDate], "&lt;=" &amp; $A121, Table2[HomeTeam], C$1)</f>
        <v>2</v>
      </c>
      <c r="D121" s="145">
        <f>SUMIFS(Table2[NewPointsAway],Table2[GameDate], "&lt;=" &amp; $A121, Table2[AwayTeam], D$1)+SUMIFS(Table2[NewPointsHome],Table2[GameDate], "&lt;=" &amp; $A121, Table2[HomeTeam], D$1)</f>
        <v>0</v>
      </c>
      <c r="E121" s="145">
        <f>SUMIFS(Table2[NewPointsAway],Table2[GameDate], "&lt;=" &amp; $A121, Table2[AwayTeam], E$1)+SUMIFS(Table2[NewPointsHome],Table2[GameDate], "&lt;=" &amp; $A121, Table2[HomeTeam], E$1)</f>
        <v>0</v>
      </c>
      <c r="F121" s="145">
        <f>SUMIFS(Table2[NewPointsAway],Table2[GameDate], "&lt;=" &amp; $A121, Table2[AwayTeam], F$1)+SUMIFS(Table2[NewPointsHome],Table2[GameDate], "&lt;=" &amp; $A121, Table2[HomeTeam], F$1)</f>
        <v>0</v>
      </c>
      <c r="G121" s="145">
        <f>SUMIFS(Table2[NewPointsAway],Table2[GameDate], "&lt;=" &amp; $A121, Table2[AwayTeam], G$1)+SUMIFS(Table2[NewPointsHome],Table2[GameDate], "&lt;=" &amp; $A121, Table2[HomeTeam], G$1)</f>
        <v>2</v>
      </c>
      <c r="H121" s="145">
        <f>SUMIFS(Table2[NewPointsAway],Table2[GameDate], "&lt;=" &amp; $A121, Table2[AwayTeam], H$1)+SUMIFS(Table2[NewPointsHome],Table2[GameDate], "&lt;=" &amp; $A121, Table2[HomeTeam], H$1)</f>
        <v>0</v>
      </c>
      <c r="I121" s="145">
        <f>SUMIFS(Table2[NewPointsAway],Table2[GameDate], "&lt;=" &amp; $A121, Table2[AwayTeam], I$1)+SUMIFS(Table2[NewPointsHome],Table2[GameDate], "&lt;=" &amp; $A121, Table2[HomeTeam], I$1)</f>
        <v>2</v>
      </c>
      <c r="J121" s="145">
        <f>SUMIFS(Table2[NewPointsAway],Table2[GameDate], "&lt;=" &amp; $A121, Table2[AwayTeam], J$1)+SUMIFS(Table2[NewPointsHome],Table2[GameDate], "&lt;=" &amp; $A121, Table2[HomeTeam], J$1)</f>
        <v>0</v>
      </c>
      <c r="K121" s="145">
        <f>SUMIFS(Table2[NewPointsAway],Table2[GameDate], "&lt;=" &amp; $A121, Table2[AwayTeam], K$1)+SUMIFS(Table2[NewPointsHome],Table2[GameDate], "&lt;=" &amp; $A121, Table2[HomeTeam], K$1)</f>
        <v>0</v>
      </c>
      <c r="L121" s="145">
        <f>SUMIFS(Table2[NewPointsAway],Table2[GameDate], "&lt;=" &amp; $A121, Table2[AwayTeam], L$1)+SUMIFS(Table2[NewPointsHome],Table2[GameDate], "&lt;=" &amp; $A121, Table2[HomeTeam], L$1)</f>
        <v>1</v>
      </c>
      <c r="M121" s="145">
        <f>SUMIFS(Table2[NewPointsAway],Table2[GameDate], "&lt;=" &amp; $A121, Table2[AwayTeam], M$1)+SUMIFS(Table2[NewPointsHome],Table2[GameDate], "&lt;=" &amp; $A121, Table2[HomeTeam], M$1)</f>
        <v>2</v>
      </c>
      <c r="N121" s="145">
        <f>SUMIFS(Table2[NewPointsAway],Table2[GameDate], "&lt;=" &amp; $A121, Table2[AwayTeam], N$1)+SUMIFS(Table2[NewPointsHome],Table2[GameDate], "&lt;=" &amp; $A121, Table2[HomeTeam], N$1)</f>
        <v>2</v>
      </c>
      <c r="O121" s="145">
        <f>SUMIFS(Table2[NewPointsAway],Table2[GameDate], "&lt;=" &amp; $A121, Table2[AwayTeam], O$1)+SUMIFS(Table2[NewPointsHome],Table2[GameDate], "&lt;=" &amp; $A121, Table2[HomeTeam], O$1)</f>
        <v>0</v>
      </c>
      <c r="P121" s="145">
        <f>SUMIFS(Table2[NewPointsAway],Table2[GameDate], "&lt;=" &amp; $A121, Table2[AwayTeam], P$1)+SUMIFS(Table2[NewPointsHome],Table2[GameDate], "&lt;=" &amp; $A121, Table2[HomeTeam], P$1)</f>
        <v>0</v>
      </c>
      <c r="Q121" s="145">
        <f>SUMIFS(Table2[NewPointsAway],Table2[GameDate], "&lt;=" &amp; $A121, Table2[AwayTeam], Q$1)+SUMIFS(Table2[NewPointsHome],Table2[GameDate], "&lt;=" &amp; $A121, Table2[HomeTeam], Q$1)</f>
        <v>0</v>
      </c>
      <c r="R121" s="145">
        <f>SUMIFS(Table2[NewPointsAway],Table2[GameDate], "&lt;=" &amp; $A121, Table2[AwayTeam], R$1)+SUMIFS(Table2[NewPointsHome],Table2[GameDate], "&lt;=" &amp; $A121, Table2[HomeTeam], R$1)</f>
        <v>0</v>
      </c>
      <c r="S121" s="145">
        <f>SUMIFS(Table2[NewPointsAway],Table2[GameDate], "&lt;=" &amp; $A121, Table2[AwayTeam], S$1)+SUMIFS(Table2[NewPointsHome],Table2[GameDate], "&lt;=" &amp; $A121, Table2[HomeTeam], S$1)</f>
        <v>0</v>
      </c>
      <c r="T121" s="145">
        <f>SUMIFS(Table2[NewPointsAway],Table2[GameDate], "&lt;=" &amp; $A121, Table2[AwayTeam], T$1)+SUMIFS(Table2[NewPointsHome],Table2[GameDate], "&lt;=" &amp; $A121, Table2[HomeTeam], T$1)</f>
        <v>0</v>
      </c>
      <c r="U121" s="145">
        <f>SUMIFS(Table2[NewPointsAway],Table2[GameDate], "&lt;=" &amp; $A121, Table2[AwayTeam], U$1)+SUMIFS(Table2[NewPointsHome],Table2[GameDate], "&lt;=" &amp; $A121, Table2[HomeTeam], U$1)</f>
        <v>0</v>
      </c>
      <c r="V121" s="145">
        <f>SUMIFS(Table2[NewPointsAway],Table2[GameDate], "&lt;=" &amp; $A121, Table2[AwayTeam], V$1)+SUMIFS(Table2[NewPointsHome],Table2[GameDate], "&lt;=" &amp; $A121, Table2[HomeTeam], V$1)</f>
        <v>0</v>
      </c>
      <c r="W121" s="145">
        <f>SUMIFS(Table2[NewPointsAway],Table2[GameDate], "&lt;=" &amp; $A121, Table2[AwayTeam], W$1)+SUMIFS(Table2[NewPointsHome],Table2[GameDate], "&lt;=" &amp; $A121, Table2[HomeTeam], W$1)</f>
        <v>2</v>
      </c>
      <c r="X121" s="145">
        <f>SUMIFS(Table2[NewPointsAway],Table2[GameDate], "&lt;=" &amp; $A121, Table2[AwayTeam], X$1)+SUMIFS(Table2[NewPointsHome],Table2[GameDate], "&lt;=" &amp; $A121, Table2[HomeTeam], X$1)</f>
        <v>0</v>
      </c>
      <c r="Y121" s="145">
        <f>SUMIFS(Table2[NewPointsAway],Table2[GameDate], "&lt;=" &amp; $A121, Table2[AwayTeam], Y$1)+SUMIFS(Table2[NewPointsHome],Table2[GameDate], "&lt;=" &amp; $A121, Table2[HomeTeam], Y$1)</f>
        <v>0</v>
      </c>
      <c r="Z121" s="145">
        <f>SUMIFS(Table2[NewPointsAway],Table2[GameDate], "&lt;=" &amp; $A121, Table2[AwayTeam], Z$1)+SUMIFS(Table2[NewPointsHome],Table2[GameDate], "&lt;=" &amp; $A121, Table2[HomeTeam], Z$1)</f>
        <v>0</v>
      </c>
      <c r="AA121" s="145">
        <f>SUMIFS(Table2[NewPointsAway],Table2[GameDate], "&lt;=" &amp; $A121, Table2[AwayTeam], AA$1)+SUMIFS(Table2[NewPointsHome],Table2[GameDate], "&lt;=" &amp; $A121, Table2[HomeTeam], AA$1)</f>
        <v>0</v>
      </c>
      <c r="AB121" s="145">
        <f>SUMIFS(Table2[NewPointsAway],Table2[GameDate], "&lt;=" &amp; $A121, Table2[AwayTeam], AB$1)+SUMIFS(Table2[NewPointsHome],Table2[GameDate], "&lt;=" &amp; $A121, Table2[HomeTeam], AB$1)</f>
        <v>2</v>
      </c>
      <c r="AC121" s="145">
        <f>SUMIFS(Table2[NewPointsAway],Table2[GameDate], "&lt;=" &amp; $A121, Table2[AwayTeam], AC$1)+SUMIFS(Table2[NewPointsHome],Table2[GameDate], "&lt;=" &amp; $A121, Table2[HomeTeam], AC$1)</f>
        <v>0</v>
      </c>
      <c r="AD121" s="145">
        <f>SUMIFS(Table2[NewPointsAway],Table2[GameDate], "&lt;=" &amp; $A121, Table2[AwayTeam], AD$1)+SUMIFS(Table2[NewPointsHome],Table2[GameDate], "&lt;=" &amp; $A121, Table2[HomeTeam], AD$1)</f>
        <v>0</v>
      </c>
      <c r="AE121" s="145">
        <f>SUMIFS(Table2[NewPointsAway],Table2[GameDate], "&lt;=" &amp; $A121, Table2[AwayTeam], AE$1)+SUMIFS(Table2[NewPointsHome],Table2[GameDate], "&lt;=" &amp; $A121, Table2[HomeTeam], AE$1)</f>
        <v>1</v>
      </c>
      <c r="AF121" s="145">
        <f>SUMIFS(Table2[NewPointsAway],Table2[GameDate], "&lt;=" &amp; $A121, Table2[AwayTeam], AF$1)+SUMIFS(Table2[NewPointsHome],Table2[GameDate], "&lt;=" &amp; $A121, Table2[HomeTeam], AF$1)</f>
        <v>0</v>
      </c>
      <c r="AG121" s="145">
        <f>SUMIFS(Table2[NewPointsAway],Table2[GameDate], "&lt;=" &amp; $A121, Table2[AwayTeam], AG$1)+SUMIFS(Table2[NewPointsHome],Table2[GameDate], "&lt;=" &amp; $A121, Table2[HomeTeam], AG$1)</f>
        <v>0</v>
      </c>
    </row>
    <row r="122" spans="1:33" x14ac:dyDescent="0.25">
      <c r="A122" s="3">
        <v>46053</v>
      </c>
      <c r="B122" s="145">
        <f>SUMIFS(Table2[NewPointsAway],Table2[GameDate], "&lt;=" &amp; $A122, Table2[AwayTeam], B$1)+SUMIFS(Table2[NewPointsHome],Table2[GameDate], "&lt;=" &amp; $A122, Table2[HomeTeam], B$1)</f>
        <v>0</v>
      </c>
      <c r="C122" s="145">
        <f>SUMIFS(Table2[NewPointsAway],Table2[GameDate], "&lt;=" &amp; $A122, Table2[AwayTeam], C$1)+SUMIFS(Table2[NewPointsHome],Table2[GameDate], "&lt;=" &amp; $A122, Table2[HomeTeam], C$1)</f>
        <v>2</v>
      </c>
      <c r="D122" s="145">
        <f>SUMIFS(Table2[NewPointsAway],Table2[GameDate], "&lt;=" &amp; $A122, Table2[AwayTeam], D$1)+SUMIFS(Table2[NewPointsHome],Table2[GameDate], "&lt;=" &amp; $A122, Table2[HomeTeam], D$1)</f>
        <v>0</v>
      </c>
      <c r="E122" s="145">
        <f>SUMIFS(Table2[NewPointsAway],Table2[GameDate], "&lt;=" &amp; $A122, Table2[AwayTeam], E$1)+SUMIFS(Table2[NewPointsHome],Table2[GameDate], "&lt;=" &amp; $A122, Table2[HomeTeam], E$1)</f>
        <v>0</v>
      </c>
      <c r="F122" s="145">
        <f>SUMIFS(Table2[NewPointsAway],Table2[GameDate], "&lt;=" &amp; $A122, Table2[AwayTeam], F$1)+SUMIFS(Table2[NewPointsHome],Table2[GameDate], "&lt;=" &amp; $A122, Table2[HomeTeam], F$1)</f>
        <v>0</v>
      </c>
      <c r="G122" s="145">
        <f>SUMIFS(Table2[NewPointsAway],Table2[GameDate], "&lt;=" &amp; $A122, Table2[AwayTeam], G$1)+SUMIFS(Table2[NewPointsHome],Table2[GameDate], "&lt;=" &amp; $A122, Table2[HomeTeam], G$1)</f>
        <v>2</v>
      </c>
      <c r="H122" s="145">
        <f>SUMIFS(Table2[NewPointsAway],Table2[GameDate], "&lt;=" &amp; $A122, Table2[AwayTeam], H$1)+SUMIFS(Table2[NewPointsHome],Table2[GameDate], "&lt;=" &amp; $A122, Table2[HomeTeam], H$1)</f>
        <v>0</v>
      </c>
      <c r="I122" s="145">
        <f>SUMIFS(Table2[NewPointsAway],Table2[GameDate], "&lt;=" &amp; $A122, Table2[AwayTeam], I$1)+SUMIFS(Table2[NewPointsHome],Table2[GameDate], "&lt;=" &amp; $A122, Table2[HomeTeam], I$1)</f>
        <v>2</v>
      </c>
      <c r="J122" s="145">
        <f>SUMIFS(Table2[NewPointsAway],Table2[GameDate], "&lt;=" &amp; $A122, Table2[AwayTeam], J$1)+SUMIFS(Table2[NewPointsHome],Table2[GameDate], "&lt;=" &amp; $A122, Table2[HomeTeam], J$1)</f>
        <v>0</v>
      </c>
      <c r="K122" s="145">
        <f>SUMIFS(Table2[NewPointsAway],Table2[GameDate], "&lt;=" &amp; $A122, Table2[AwayTeam], K$1)+SUMIFS(Table2[NewPointsHome],Table2[GameDate], "&lt;=" &amp; $A122, Table2[HomeTeam], K$1)</f>
        <v>0</v>
      </c>
      <c r="L122" s="145">
        <f>SUMIFS(Table2[NewPointsAway],Table2[GameDate], "&lt;=" &amp; $A122, Table2[AwayTeam], L$1)+SUMIFS(Table2[NewPointsHome],Table2[GameDate], "&lt;=" &amp; $A122, Table2[HomeTeam], L$1)</f>
        <v>1</v>
      </c>
      <c r="M122" s="145">
        <f>SUMIFS(Table2[NewPointsAway],Table2[GameDate], "&lt;=" &amp; $A122, Table2[AwayTeam], M$1)+SUMIFS(Table2[NewPointsHome],Table2[GameDate], "&lt;=" &amp; $A122, Table2[HomeTeam], M$1)</f>
        <v>2</v>
      </c>
      <c r="N122" s="145">
        <f>SUMIFS(Table2[NewPointsAway],Table2[GameDate], "&lt;=" &amp; $A122, Table2[AwayTeam], N$1)+SUMIFS(Table2[NewPointsHome],Table2[GameDate], "&lt;=" &amp; $A122, Table2[HomeTeam], N$1)</f>
        <v>2</v>
      </c>
      <c r="O122" s="145">
        <f>SUMIFS(Table2[NewPointsAway],Table2[GameDate], "&lt;=" &amp; $A122, Table2[AwayTeam], O$1)+SUMIFS(Table2[NewPointsHome],Table2[GameDate], "&lt;=" &amp; $A122, Table2[HomeTeam], O$1)</f>
        <v>0</v>
      </c>
      <c r="P122" s="145">
        <f>SUMIFS(Table2[NewPointsAway],Table2[GameDate], "&lt;=" &amp; $A122, Table2[AwayTeam], P$1)+SUMIFS(Table2[NewPointsHome],Table2[GameDate], "&lt;=" &amp; $A122, Table2[HomeTeam], P$1)</f>
        <v>0</v>
      </c>
      <c r="Q122" s="145">
        <f>SUMIFS(Table2[NewPointsAway],Table2[GameDate], "&lt;=" &amp; $A122, Table2[AwayTeam], Q$1)+SUMIFS(Table2[NewPointsHome],Table2[GameDate], "&lt;=" &amp; $A122, Table2[HomeTeam], Q$1)</f>
        <v>0</v>
      </c>
      <c r="R122" s="145">
        <f>SUMIFS(Table2[NewPointsAway],Table2[GameDate], "&lt;=" &amp; $A122, Table2[AwayTeam], R$1)+SUMIFS(Table2[NewPointsHome],Table2[GameDate], "&lt;=" &amp; $A122, Table2[HomeTeam], R$1)</f>
        <v>0</v>
      </c>
      <c r="S122" s="145">
        <f>SUMIFS(Table2[NewPointsAway],Table2[GameDate], "&lt;=" &amp; $A122, Table2[AwayTeam], S$1)+SUMIFS(Table2[NewPointsHome],Table2[GameDate], "&lt;=" &amp; $A122, Table2[HomeTeam], S$1)</f>
        <v>0</v>
      </c>
      <c r="T122" s="145">
        <f>SUMIFS(Table2[NewPointsAway],Table2[GameDate], "&lt;=" &amp; $A122, Table2[AwayTeam], T$1)+SUMIFS(Table2[NewPointsHome],Table2[GameDate], "&lt;=" &amp; $A122, Table2[HomeTeam], T$1)</f>
        <v>0</v>
      </c>
      <c r="U122" s="145">
        <f>SUMIFS(Table2[NewPointsAway],Table2[GameDate], "&lt;=" &amp; $A122, Table2[AwayTeam], U$1)+SUMIFS(Table2[NewPointsHome],Table2[GameDate], "&lt;=" &amp; $A122, Table2[HomeTeam], U$1)</f>
        <v>0</v>
      </c>
      <c r="V122" s="145">
        <f>SUMIFS(Table2[NewPointsAway],Table2[GameDate], "&lt;=" &amp; $A122, Table2[AwayTeam], V$1)+SUMIFS(Table2[NewPointsHome],Table2[GameDate], "&lt;=" &amp; $A122, Table2[HomeTeam], V$1)</f>
        <v>0</v>
      </c>
      <c r="W122" s="145">
        <f>SUMIFS(Table2[NewPointsAway],Table2[GameDate], "&lt;=" &amp; $A122, Table2[AwayTeam], W$1)+SUMIFS(Table2[NewPointsHome],Table2[GameDate], "&lt;=" &amp; $A122, Table2[HomeTeam], W$1)</f>
        <v>2</v>
      </c>
      <c r="X122" s="145">
        <f>SUMIFS(Table2[NewPointsAway],Table2[GameDate], "&lt;=" &amp; $A122, Table2[AwayTeam], X$1)+SUMIFS(Table2[NewPointsHome],Table2[GameDate], "&lt;=" &amp; $A122, Table2[HomeTeam], X$1)</f>
        <v>0</v>
      </c>
      <c r="Y122" s="145">
        <f>SUMIFS(Table2[NewPointsAway],Table2[GameDate], "&lt;=" &amp; $A122, Table2[AwayTeam], Y$1)+SUMIFS(Table2[NewPointsHome],Table2[GameDate], "&lt;=" &amp; $A122, Table2[HomeTeam], Y$1)</f>
        <v>0</v>
      </c>
      <c r="Z122" s="145">
        <f>SUMIFS(Table2[NewPointsAway],Table2[GameDate], "&lt;=" &amp; $A122, Table2[AwayTeam], Z$1)+SUMIFS(Table2[NewPointsHome],Table2[GameDate], "&lt;=" &amp; $A122, Table2[HomeTeam], Z$1)</f>
        <v>0</v>
      </c>
      <c r="AA122" s="145">
        <f>SUMIFS(Table2[NewPointsAway],Table2[GameDate], "&lt;=" &amp; $A122, Table2[AwayTeam], AA$1)+SUMIFS(Table2[NewPointsHome],Table2[GameDate], "&lt;=" &amp; $A122, Table2[HomeTeam], AA$1)</f>
        <v>0</v>
      </c>
      <c r="AB122" s="145">
        <f>SUMIFS(Table2[NewPointsAway],Table2[GameDate], "&lt;=" &amp; $A122, Table2[AwayTeam], AB$1)+SUMIFS(Table2[NewPointsHome],Table2[GameDate], "&lt;=" &amp; $A122, Table2[HomeTeam], AB$1)</f>
        <v>2</v>
      </c>
      <c r="AC122" s="145">
        <f>SUMIFS(Table2[NewPointsAway],Table2[GameDate], "&lt;=" &amp; $A122, Table2[AwayTeam], AC$1)+SUMIFS(Table2[NewPointsHome],Table2[GameDate], "&lt;=" &amp; $A122, Table2[HomeTeam], AC$1)</f>
        <v>0</v>
      </c>
      <c r="AD122" s="145">
        <f>SUMIFS(Table2[NewPointsAway],Table2[GameDate], "&lt;=" &amp; $A122, Table2[AwayTeam], AD$1)+SUMIFS(Table2[NewPointsHome],Table2[GameDate], "&lt;=" &amp; $A122, Table2[HomeTeam], AD$1)</f>
        <v>0</v>
      </c>
      <c r="AE122" s="145">
        <f>SUMIFS(Table2[NewPointsAway],Table2[GameDate], "&lt;=" &amp; $A122, Table2[AwayTeam], AE$1)+SUMIFS(Table2[NewPointsHome],Table2[GameDate], "&lt;=" &amp; $A122, Table2[HomeTeam], AE$1)</f>
        <v>1</v>
      </c>
      <c r="AF122" s="145">
        <f>SUMIFS(Table2[NewPointsAway],Table2[GameDate], "&lt;=" &amp; $A122, Table2[AwayTeam], AF$1)+SUMIFS(Table2[NewPointsHome],Table2[GameDate], "&lt;=" &amp; $A122, Table2[HomeTeam], AF$1)</f>
        <v>0</v>
      </c>
      <c r="AG122" s="145">
        <f>SUMIFS(Table2[NewPointsAway],Table2[GameDate], "&lt;=" &amp; $A122, Table2[AwayTeam], AG$1)+SUMIFS(Table2[NewPointsHome],Table2[GameDate], "&lt;=" &amp; $A122, Table2[HomeTeam], AG$1)</f>
        <v>0</v>
      </c>
    </row>
    <row r="123" spans="1:33" x14ac:dyDescent="0.25">
      <c r="A123" s="3">
        <v>46054</v>
      </c>
      <c r="B123" s="145">
        <f>SUMIFS(Table2[NewPointsAway],Table2[GameDate], "&lt;=" &amp; $A123, Table2[AwayTeam], B$1)+SUMIFS(Table2[NewPointsHome],Table2[GameDate], "&lt;=" &amp; $A123, Table2[HomeTeam], B$1)</f>
        <v>0</v>
      </c>
      <c r="C123" s="145">
        <f>SUMIFS(Table2[NewPointsAway],Table2[GameDate], "&lt;=" &amp; $A123, Table2[AwayTeam], C$1)+SUMIFS(Table2[NewPointsHome],Table2[GameDate], "&lt;=" &amp; $A123, Table2[HomeTeam], C$1)</f>
        <v>2</v>
      </c>
      <c r="D123" s="145">
        <f>SUMIFS(Table2[NewPointsAway],Table2[GameDate], "&lt;=" &amp; $A123, Table2[AwayTeam], D$1)+SUMIFS(Table2[NewPointsHome],Table2[GameDate], "&lt;=" &amp; $A123, Table2[HomeTeam], D$1)</f>
        <v>0</v>
      </c>
      <c r="E123" s="145">
        <f>SUMIFS(Table2[NewPointsAway],Table2[GameDate], "&lt;=" &amp; $A123, Table2[AwayTeam], E$1)+SUMIFS(Table2[NewPointsHome],Table2[GameDate], "&lt;=" &amp; $A123, Table2[HomeTeam], E$1)</f>
        <v>0</v>
      </c>
      <c r="F123" s="145">
        <f>SUMIFS(Table2[NewPointsAway],Table2[GameDate], "&lt;=" &amp; $A123, Table2[AwayTeam], F$1)+SUMIFS(Table2[NewPointsHome],Table2[GameDate], "&lt;=" &amp; $A123, Table2[HomeTeam], F$1)</f>
        <v>0</v>
      </c>
      <c r="G123" s="145">
        <f>SUMIFS(Table2[NewPointsAway],Table2[GameDate], "&lt;=" &amp; $A123, Table2[AwayTeam], G$1)+SUMIFS(Table2[NewPointsHome],Table2[GameDate], "&lt;=" &amp; $A123, Table2[HomeTeam], G$1)</f>
        <v>2</v>
      </c>
      <c r="H123" s="145">
        <f>SUMIFS(Table2[NewPointsAway],Table2[GameDate], "&lt;=" &amp; $A123, Table2[AwayTeam], H$1)+SUMIFS(Table2[NewPointsHome],Table2[GameDate], "&lt;=" &amp; $A123, Table2[HomeTeam], H$1)</f>
        <v>0</v>
      </c>
      <c r="I123" s="145">
        <f>SUMIFS(Table2[NewPointsAway],Table2[GameDate], "&lt;=" &amp; $A123, Table2[AwayTeam], I$1)+SUMIFS(Table2[NewPointsHome],Table2[GameDate], "&lt;=" &amp; $A123, Table2[HomeTeam], I$1)</f>
        <v>2</v>
      </c>
      <c r="J123" s="145">
        <f>SUMIFS(Table2[NewPointsAway],Table2[GameDate], "&lt;=" &amp; $A123, Table2[AwayTeam], J$1)+SUMIFS(Table2[NewPointsHome],Table2[GameDate], "&lt;=" &amp; $A123, Table2[HomeTeam], J$1)</f>
        <v>0</v>
      </c>
      <c r="K123" s="145">
        <f>SUMIFS(Table2[NewPointsAway],Table2[GameDate], "&lt;=" &amp; $A123, Table2[AwayTeam], K$1)+SUMIFS(Table2[NewPointsHome],Table2[GameDate], "&lt;=" &amp; $A123, Table2[HomeTeam], K$1)</f>
        <v>0</v>
      </c>
      <c r="L123" s="145">
        <f>SUMIFS(Table2[NewPointsAway],Table2[GameDate], "&lt;=" &amp; $A123, Table2[AwayTeam], L$1)+SUMIFS(Table2[NewPointsHome],Table2[GameDate], "&lt;=" &amp; $A123, Table2[HomeTeam], L$1)</f>
        <v>1</v>
      </c>
      <c r="M123" s="145">
        <f>SUMIFS(Table2[NewPointsAway],Table2[GameDate], "&lt;=" &amp; $A123, Table2[AwayTeam], M$1)+SUMIFS(Table2[NewPointsHome],Table2[GameDate], "&lt;=" &amp; $A123, Table2[HomeTeam], M$1)</f>
        <v>2</v>
      </c>
      <c r="N123" s="145">
        <f>SUMIFS(Table2[NewPointsAway],Table2[GameDate], "&lt;=" &amp; $A123, Table2[AwayTeam], N$1)+SUMIFS(Table2[NewPointsHome],Table2[GameDate], "&lt;=" &amp; $A123, Table2[HomeTeam], N$1)</f>
        <v>2</v>
      </c>
      <c r="O123" s="145">
        <f>SUMIFS(Table2[NewPointsAway],Table2[GameDate], "&lt;=" &amp; $A123, Table2[AwayTeam], O$1)+SUMIFS(Table2[NewPointsHome],Table2[GameDate], "&lt;=" &amp; $A123, Table2[HomeTeam], O$1)</f>
        <v>0</v>
      </c>
      <c r="P123" s="145">
        <f>SUMIFS(Table2[NewPointsAway],Table2[GameDate], "&lt;=" &amp; $A123, Table2[AwayTeam], P$1)+SUMIFS(Table2[NewPointsHome],Table2[GameDate], "&lt;=" &amp; $A123, Table2[HomeTeam], P$1)</f>
        <v>0</v>
      </c>
      <c r="Q123" s="145">
        <f>SUMIFS(Table2[NewPointsAway],Table2[GameDate], "&lt;=" &amp; $A123, Table2[AwayTeam], Q$1)+SUMIFS(Table2[NewPointsHome],Table2[GameDate], "&lt;=" &amp; $A123, Table2[HomeTeam], Q$1)</f>
        <v>0</v>
      </c>
      <c r="R123" s="145">
        <f>SUMIFS(Table2[NewPointsAway],Table2[GameDate], "&lt;=" &amp; $A123, Table2[AwayTeam], R$1)+SUMIFS(Table2[NewPointsHome],Table2[GameDate], "&lt;=" &amp; $A123, Table2[HomeTeam], R$1)</f>
        <v>0</v>
      </c>
      <c r="S123" s="145">
        <f>SUMIFS(Table2[NewPointsAway],Table2[GameDate], "&lt;=" &amp; $A123, Table2[AwayTeam], S$1)+SUMIFS(Table2[NewPointsHome],Table2[GameDate], "&lt;=" &amp; $A123, Table2[HomeTeam], S$1)</f>
        <v>0</v>
      </c>
      <c r="T123" s="145">
        <f>SUMIFS(Table2[NewPointsAway],Table2[GameDate], "&lt;=" &amp; $A123, Table2[AwayTeam], T$1)+SUMIFS(Table2[NewPointsHome],Table2[GameDate], "&lt;=" &amp; $A123, Table2[HomeTeam], T$1)</f>
        <v>0</v>
      </c>
      <c r="U123" s="145">
        <f>SUMIFS(Table2[NewPointsAway],Table2[GameDate], "&lt;=" &amp; $A123, Table2[AwayTeam], U$1)+SUMIFS(Table2[NewPointsHome],Table2[GameDate], "&lt;=" &amp; $A123, Table2[HomeTeam], U$1)</f>
        <v>0</v>
      </c>
      <c r="V123" s="145">
        <f>SUMIFS(Table2[NewPointsAway],Table2[GameDate], "&lt;=" &amp; $A123, Table2[AwayTeam], V$1)+SUMIFS(Table2[NewPointsHome],Table2[GameDate], "&lt;=" &amp; $A123, Table2[HomeTeam], V$1)</f>
        <v>0</v>
      </c>
      <c r="W123" s="145">
        <f>SUMIFS(Table2[NewPointsAway],Table2[GameDate], "&lt;=" &amp; $A123, Table2[AwayTeam], W$1)+SUMIFS(Table2[NewPointsHome],Table2[GameDate], "&lt;=" &amp; $A123, Table2[HomeTeam], W$1)</f>
        <v>2</v>
      </c>
      <c r="X123" s="145">
        <f>SUMIFS(Table2[NewPointsAway],Table2[GameDate], "&lt;=" &amp; $A123, Table2[AwayTeam], X$1)+SUMIFS(Table2[NewPointsHome],Table2[GameDate], "&lt;=" &amp; $A123, Table2[HomeTeam], X$1)</f>
        <v>0</v>
      </c>
      <c r="Y123" s="145">
        <f>SUMIFS(Table2[NewPointsAway],Table2[GameDate], "&lt;=" &amp; $A123, Table2[AwayTeam], Y$1)+SUMIFS(Table2[NewPointsHome],Table2[GameDate], "&lt;=" &amp; $A123, Table2[HomeTeam], Y$1)</f>
        <v>0</v>
      </c>
      <c r="Z123" s="145">
        <f>SUMIFS(Table2[NewPointsAway],Table2[GameDate], "&lt;=" &amp; $A123, Table2[AwayTeam], Z$1)+SUMIFS(Table2[NewPointsHome],Table2[GameDate], "&lt;=" &amp; $A123, Table2[HomeTeam], Z$1)</f>
        <v>0</v>
      </c>
      <c r="AA123" s="145">
        <f>SUMIFS(Table2[NewPointsAway],Table2[GameDate], "&lt;=" &amp; $A123, Table2[AwayTeam], AA$1)+SUMIFS(Table2[NewPointsHome],Table2[GameDate], "&lt;=" &amp; $A123, Table2[HomeTeam], AA$1)</f>
        <v>0</v>
      </c>
      <c r="AB123" s="145">
        <f>SUMIFS(Table2[NewPointsAway],Table2[GameDate], "&lt;=" &amp; $A123, Table2[AwayTeam], AB$1)+SUMIFS(Table2[NewPointsHome],Table2[GameDate], "&lt;=" &amp; $A123, Table2[HomeTeam], AB$1)</f>
        <v>2</v>
      </c>
      <c r="AC123" s="145">
        <f>SUMIFS(Table2[NewPointsAway],Table2[GameDate], "&lt;=" &amp; $A123, Table2[AwayTeam], AC$1)+SUMIFS(Table2[NewPointsHome],Table2[GameDate], "&lt;=" &amp; $A123, Table2[HomeTeam], AC$1)</f>
        <v>0</v>
      </c>
      <c r="AD123" s="145">
        <f>SUMIFS(Table2[NewPointsAway],Table2[GameDate], "&lt;=" &amp; $A123, Table2[AwayTeam], AD$1)+SUMIFS(Table2[NewPointsHome],Table2[GameDate], "&lt;=" &amp; $A123, Table2[HomeTeam], AD$1)</f>
        <v>0</v>
      </c>
      <c r="AE123" s="145">
        <f>SUMIFS(Table2[NewPointsAway],Table2[GameDate], "&lt;=" &amp; $A123, Table2[AwayTeam], AE$1)+SUMIFS(Table2[NewPointsHome],Table2[GameDate], "&lt;=" &amp; $A123, Table2[HomeTeam], AE$1)</f>
        <v>1</v>
      </c>
      <c r="AF123" s="145">
        <f>SUMIFS(Table2[NewPointsAway],Table2[GameDate], "&lt;=" &amp; $A123, Table2[AwayTeam], AF$1)+SUMIFS(Table2[NewPointsHome],Table2[GameDate], "&lt;=" &amp; $A123, Table2[HomeTeam], AF$1)</f>
        <v>0</v>
      </c>
      <c r="AG123" s="145">
        <f>SUMIFS(Table2[NewPointsAway],Table2[GameDate], "&lt;=" &amp; $A123, Table2[AwayTeam], AG$1)+SUMIFS(Table2[NewPointsHome],Table2[GameDate], "&lt;=" &amp; $A123, Table2[HomeTeam], AG$1)</f>
        <v>0</v>
      </c>
    </row>
    <row r="124" spans="1:33" x14ac:dyDescent="0.25">
      <c r="A124" s="3">
        <v>46055</v>
      </c>
      <c r="B124" s="145">
        <f>SUMIFS(Table2[NewPointsAway],Table2[GameDate], "&lt;=" &amp; $A124, Table2[AwayTeam], B$1)+SUMIFS(Table2[NewPointsHome],Table2[GameDate], "&lt;=" &amp; $A124, Table2[HomeTeam], B$1)</f>
        <v>0</v>
      </c>
      <c r="C124" s="145">
        <f>SUMIFS(Table2[NewPointsAway],Table2[GameDate], "&lt;=" &amp; $A124, Table2[AwayTeam], C$1)+SUMIFS(Table2[NewPointsHome],Table2[GameDate], "&lt;=" &amp; $A124, Table2[HomeTeam], C$1)</f>
        <v>2</v>
      </c>
      <c r="D124" s="145">
        <f>SUMIFS(Table2[NewPointsAway],Table2[GameDate], "&lt;=" &amp; $A124, Table2[AwayTeam], D$1)+SUMIFS(Table2[NewPointsHome],Table2[GameDate], "&lt;=" &amp; $A124, Table2[HomeTeam], D$1)</f>
        <v>0</v>
      </c>
      <c r="E124" s="145">
        <f>SUMIFS(Table2[NewPointsAway],Table2[GameDate], "&lt;=" &amp; $A124, Table2[AwayTeam], E$1)+SUMIFS(Table2[NewPointsHome],Table2[GameDate], "&lt;=" &amp; $A124, Table2[HomeTeam], E$1)</f>
        <v>0</v>
      </c>
      <c r="F124" s="145">
        <f>SUMIFS(Table2[NewPointsAway],Table2[GameDate], "&lt;=" &amp; $A124, Table2[AwayTeam], F$1)+SUMIFS(Table2[NewPointsHome],Table2[GameDate], "&lt;=" &amp; $A124, Table2[HomeTeam], F$1)</f>
        <v>0</v>
      </c>
      <c r="G124" s="145">
        <f>SUMIFS(Table2[NewPointsAway],Table2[GameDate], "&lt;=" &amp; $A124, Table2[AwayTeam], G$1)+SUMIFS(Table2[NewPointsHome],Table2[GameDate], "&lt;=" &amp; $A124, Table2[HomeTeam], G$1)</f>
        <v>2</v>
      </c>
      <c r="H124" s="145">
        <f>SUMIFS(Table2[NewPointsAway],Table2[GameDate], "&lt;=" &amp; $A124, Table2[AwayTeam], H$1)+SUMIFS(Table2[NewPointsHome],Table2[GameDate], "&lt;=" &amp; $A124, Table2[HomeTeam], H$1)</f>
        <v>0</v>
      </c>
      <c r="I124" s="145">
        <f>SUMIFS(Table2[NewPointsAway],Table2[GameDate], "&lt;=" &amp; $A124, Table2[AwayTeam], I$1)+SUMIFS(Table2[NewPointsHome],Table2[GameDate], "&lt;=" &amp; $A124, Table2[HomeTeam], I$1)</f>
        <v>2</v>
      </c>
      <c r="J124" s="145">
        <f>SUMIFS(Table2[NewPointsAway],Table2[GameDate], "&lt;=" &amp; $A124, Table2[AwayTeam], J$1)+SUMIFS(Table2[NewPointsHome],Table2[GameDate], "&lt;=" &amp; $A124, Table2[HomeTeam], J$1)</f>
        <v>0</v>
      </c>
      <c r="K124" s="145">
        <f>SUMIFS(Table2[NewPointsAway],Table2[GameDate], "&lt;=" &amp; $A124, Table2[AwayTeam], K$1)+SUMIFS(Table2[NewPointsHome],Table2[GameDate], "&lt;=" &amp; $A124, Table2[HomeTeam], K$1)</f>
        <v>0</v>
      </c>
      <c r="L124" s="145">
        <f>SUMIFS(Table2[NewPointsAway],Table2[GameDate], "&lt;=" &amp; $A124, Table2[AwayTeam], L$1)+SUMIFS(Table2[NewPointsHome],Table2[GameDate], "&lt;=" &amp; $A124, Table2[HomeTeam], L$1)</f>
        <v>1</v>
      </c>
      <c r="M124" s="145">
        <f>SUMIFS(Table2[NewPointsAway],Table2[GameDate], "&lt;=" &amp; $A124, Table2[AwayTeam], M$1)+SUMIFS(Table2[NewPointsHome],Table2[GameDate], "&lt;=" &amp; $A124, Table2[HomeTeam], M$1)</f>
        <v>2</v>
      </c>
      <c r="N124" s="145">
        <f>SUMIFS(Table2[NewPointsAway],Table2[GameDate], "&lt;=" &amp; $A124, Table2[AwayTeam], N$1)+SUMIFS(Table2[NewPointsHome],Table2[GameDate], "&lt;=" &amp; $A124, Table2[HomeTeam], N$1)</f>
        <v>2</v>
      </c>
      <c r="O124" s="145">
        <f>SUMIFS(Table2[NewPointsAway],Table2[GameDate], "&lt;=" &amp; $A124, Table2[AwayTeam], O$1)+SUMIFS(Table2[NewPointsHome],Table2[GameDate], "&lt;=" &amp; $A124, Table2[HomeTeam], O$1)</f>
        <v>0</v>
      </c>
      <c r="P124" s="145">
        <f>SUMIFS(Table2[NewPointsAway],Table2[GameDate], "&lt;=" &amp; $A124, Table2[AwayTeam], P$1)+SUMIFS(Table2[NewPointsHome],Table2[GameDate], "&lt;=" &amp; $A124, Table2[HomeTeam], P$1)</f>
        <v>0</v>
      </c>
      <c r="Q124" s="145">
        <f>SUMIFS(Table2[NewPointsAway],Table2[GameDate], "&lt;=" &amp; $A124, Table2[AwayTeam], Q$1)+SUMIFS(Table2[NewPointsHome],Table2[GameDate], "&lt;=" &amp; $A124, Table2[HomeTeam], Q$1)</f>
        <v>0</v>
      </c>
      <c r="R124" s="145">
        <f>SUMIFS(Table2[NewPointsAway],Table2[GameDate], "&lt;=" &amp; $A124, Table2[AwayTeam], R$1)+SUMIFS(Table2[NewPointsHome],Table2[GameDate], "&lt;=" &amp; $A124, Table2[HomeTeam], R$1)</f>
        <v>0</v>
      </c>
      <c r="S124" s="145">
        <f>SUMIFS(Table2[NewPointsAway],Table2[GameDate], "&lt;=" &amp; $A124, Table2[AwayTeam], S$1)+SUMIFS(Table2[NewPointsHome],Table2[GameDate], "&lt;=" &amp; $A124, Table2[HomeTeam], S$1)</f>
        <v>0</v>
      </c>
      <c r="T124" s="145">
        <f>SUMIFS(Table2[NewPointsAway],Table2[GameDate], "&lt;=" &amp; $A124, Table2[AwayTeam], T$1)+SUMIFS(Table2[NewPointsHome],Table2[GameDate], "&lt;=" &amp; $A124, Table2[HomeTeam], T$1)</f>
        <v>0</v>
      </c>
      <c r="U124" s="145">
        <f>SUMIFS(Table2[NewPointsAway],Table2[GameDate], "&lt;=" &amp; $A124, Table2[AwayTeam], U$1)+SUMIFS(Table2[NewPointsHome],Table2[GameDate], "&lt;=" &amp; $A124, Table2[HomeTeam], U$1)</f>
        <v>0</v>
      </c>
      <c r="V124" s="145">
        <f>SUMIFS(Table2[NewPointsAway],Table2[GameDate], "&lt;=" &amp; $A124, Table2[AwayTeam], V$1)+SUMIFS(Table2[NewPointsHome],Table2[GameDate], "&lt;=" &amp; $A124, Table2[HomeTeam], V$1)</f>
        <v>0</v>
      </c>
      <c r="W124" s="145">
        <f>SUMIFS(Table2[NewPointsAway],Table2[GameDate], "&lt;=" &amp; $A124, Table2[AwayTeam], W$1)+SUMIFS(Table2[NewPointsHome],Table2[GameDate], "&lt;=" &amp; $A124, Table2[HomeTeam], W$1)</f>
        <v>2</v>
      </c>
      <c r="X124" s="145">
        <f>SUMIFS(Table2[NewPointsAway],Table2[GameDate], "&lt;=" &amp; $A124, Table2[AwayTeam], X$1)+SUMIFS(Table2[NewPointsHome],Table2[GameDate], "&lt;=" &amp; $A124, Table2[HomeTeam], X$1)</f>
        <v>0</v>
      </c>
      <c r="Y124" s="145">
        <f>SUMIFS(Table2[NewPointsAway],Table2[GameDate], "&lt;=" &amp; $A124, Table2[AwayTeam], Y$1)+SUMIFS(Table2[NewPointsHome],Table2[GameDate], "&lt;=" &amp; $A124, Table2[HomeTeam], Y$1)</f>
        <v>0</v>
      </c>
      <c r="Z124" s="145">
        <f>SUMIFS(Table2[NewPointsAway],Table2[GameDate], "&lt;=" &amp; $A124, Table2[AwayTeam], Z$1)+SUMIFS(Table2[NewPointsHome],Table2[GameDate], "&lt;=" &amp; $A124, Table2[HomeTeam], Z$1)</f>
        <v>0</v>
      </c>
      <c r="AA124" s="145">
        <f>SUMIFS(Table2[NewPointsAway],Table2[GameDate], "&lt;=" &amp; $A124, Table2[AwayTeam], AA$1)+SUMIFS(Table2[NewPointsHome],Table2[GameDate], "&lt;=" &amp; $A124, Table2[HomeTeam], AA$1)</f>
        <v>0</v>
      </c>
      <c r="AB124" s="145">
        <f>SUMIFS(Table2[NewPointsAway],Table2[GameDate], "&lt;=" &amp; $A124, Table2[AwayTeam], AB$1)+SUMIFS(Table2[NewPointsHome],Table2[GameDate], "&lt;=" &amp; $A124, Table2[HomeTeam], AB$1)</f>
        <v>2</v>
      </c>
      <c r="AC124" s="145">
        <f>SUMIFS(Table2[NewPointsAway],Table2[GameDate], "&lt;=" &amp; $A124, Table2[AwayTeam], AC$1)+SUMIFS(Table2[NewPointsHome],Table2[GameDate], "&lt;=" &amp; $A124, Table2[HomeTeam], AC$1)</f>
        <v>0</v>
      </c>
      <c r="AD124" s="145">
        <f>SUMIFS(Table2[NewPointsAway],Table2[GameDate], "&lt;=" &amp; $A124, Table2[AwayTeam], AD$1)+SUMIFS(Table2[NewPointsHome],Table2[GameDate], "&lt;=" &amp; $A124, Table2[HomeTeam], AD$1)</f>
        <v>0</v>
      </c>
      <c r="AE124" s="145">
        <f>SUMIFS(Table2[NewPointsAway],Table2[GameDate], "&lt;=" &amp; $A124, Table2[AwayTeam], AE$1)+SUMIFS(Table2[NewPointsHome],Table2[GameDate], "&lt;=" &amp; $A124, Table2[HomeTeam], AE$1)</f>
        <v>1</v>
      </c>
      <c r="AF124" s="145">
        <f>SUMIFS(Table2[NewPointsAway],Table2[GameDate], "&lt;=" &amp; $A124, Table2[AwayTeam], AF$1)+SUMIFS(Table2[NewPointsHome],Table2[GameDate], "&lt;=" &amp; $A124, Table2[HomeTeam], AF$1)</f>
        <v>0</v>
      </c>
      <c r="AG124" s="145">
        <f>SUMIFS(Table2[NewPointsAway],Table2[GameDate], "&lt;=" &amp; $A124, Table2[AwayTeam], AG$1)+SUMIFS(Table2[NewPointsHome],Table2[GameDate], "&lt;=" &amp; $A124, Table2[HomeTeam], AG$1)</f>
        <v>0</v>
      </c>
    </row>
    <row r="125" spans="1:33" x14ac:dyDescent="0.25">
      <c r="A125" s="3">
        <v>46056</v>
      </c>
      <c r="B125" s="145">
        <f>SUMIFS(Table2[NewPointsAway],Table2[GameDate], "&lt;=" &amp; $A125, Table2[AwayTeam], B$1)+SUMIFS(Table2[NewPointsHome],Table2[GameDate], "&lt;=" &amp; $A125, Table2[HomeTeam], B$1)</f>
        <v>0</v>
      </c>
      <c r="C125" s="145">
        <f>SUMIFS(Table2[NewPointsAway],Table2[GameDate], "&lt;=" &amp; $A125, Table2[AwayTeam], C$1)+SUMIFS(Table2[NewPointsHome],Table2[GameDate], "&lt;=" &amp; $A125, Table2[HomeTeam], C$1)</f>
        <v>2</v>
      </c>
      <c r="D125" s="145">
        <f>SUMIFS(Table2[NewPointsAway],Table2[GameDate], "&lt;=" &amp; $A125, Table2[AwayTeam], D$1)+SUMIFS(Table2[NewPointsHome],Table2[GameDate], "&lt;=" &amp; $A125, Table2[HomeTeam], D$1)</f>
        <v>0</v>
      </c>
      <c r="E125" s="145">
        <f>SUMIFS(Table2[NewPointsAway],Table2[GameDate], "&lt;=" &amp; $A125, Table2[AwayTeam], E$1)+SUMIFS(Table2[NewPointsHome],Table2[GameDate], "&lt;=" &amp; $A125, Table2[HomeTeam], E$1)</f>
        <v>0</v>
      </c>
      <c r="F125" s="145">
        <f>SUMIFS(Table2[NewPointsAway],Table2[GameDate], "&lt;=" &amp; $A125, Table2[AwayTeam], F$1)+SUMIFS(Table2[NewPointsHome],Table2[GameDate], "&lt;=" &amp; $A125, Table2[HomeTeam], F$1)</f>
        <v>0</v>
      </c>
      <c r="G125" s="145">
        <f>SUMIFS(Table2[NewPointsAway],Table2[GameDate], "&lt;=" &amp; $A125, Table2[AwayTeam], G$1)+SUMIFS(Table2[NewPointsHome],Table2[GameDate], "&lt;=" &amp; $A125, Table2[HomeTeam], G$1)</f>
        <v>2</v>
      </c>
      <c r="H125" s="145">
        <f>SUMIFS(Table2[NewPointsAway],Table2[GameDate], "&lt;=" &amp; $A125, Table2[AwayTeam], H$1)+SUMIFS(Table2[NewPointsHome],Table2[GameDate], "&lt;=" &amp; $A125, Table2[HomeTeam], H$1)</f>
        <v>0</v>
      </c>
      <c r="I125" s="145">
        <f>SUMIFS(Table2[NewPointsAway],Table2[GameDate], "&lt;=" &amp; $A125, Table2[AwayTeam], I$1)+SUMIFS(Table2[NewPointsHome],Table2[GameDate], "&lt;=" &amp; $A125, Table2[HomeTeam], I$1)</f>
        <v>2</v>
      </c>
      <c r="J125" s="145">
        <f>SUMIFS(Table2[NewPointsAway],Table2[GameDate], "&lt;=" &amp; $A125, Table2[AwayTeam], J$1)+SUMIFS(Table2[NewPointsHome],Table2[GameDate], "&lt;=" &amp; $A125, Table2[HomeTeam], J$1)</f>
        <v>0</v>
      </c>
      <c r="K125" s="145">
        <f>SUMIFS(Table2[NewPointsAway],Table2[GameDate], "&lt;=" &amp; $A125, Table2[AwayTeam], K$1)+SUMIFS(Table2[NewPointsHome],Table2[GameDate], "&lt;=" &amp; $A125, Table2[HomeTeam], K$1)</f>
        <v>0</v>
      </c>
      <c r="L125" s="145">
        <f>SUMIFS(Table2[NewPointsAway],Table2[GameDate], "&lt;=" &amp; $A125, Table2[AwayTeam], L$1)+SUMIFS(Table2[NewPointsHome],Table2[GameDate], "&lt;=" &amp; $A125, Table2[HomeTeam], L$1)</f>
        <v>1</v>
      </c>
      <c r="M125" s="145">
        <f>SUMIFS(Table2[NewPointsAway],Table2[GameDate], "&lt;=" &amp; $A125, Table2[AwayTeam], M$1)+SUMIFS(Table2[NewPointsHome],Table2[GameDate], "&lt;=" &amp; $A125, Table2[HomeTeam], M$1)</f>
        <v>2</v>
      </c>
      <c r="N125" s="145">
        <f>SUMIFS(Table2[NewPointsAway],Table2[GameDate], "&lt;=" &amp; $A125, Table2[AwayTeam], N$1)+SUMIFS(Table2[NewPointsHome],Table2[GameDate], "&lt;=" &amp; $A125, Table2[HomeTeam], N$1)</f>
        <v>2</v>
      </c>
      <c r="O125" s="145">
        <f>SUMIFS(Table2[NewPointsAway],Table2[GameDate], "&lt;=" &amp; $A125, Table2[AwayTeam], O$1)+SUMIFS(Table2[NewPointsHome],Table2[GameDate], "&lt;=" &amp; $A125, Table2[HomeTeam], O$1)</f>
        <v>0</v>
      </c>
      <c r="P125" s="145">
        <f>SUMIFS(Table2[NewPointsAway],Table2[GameDate], "&lt;=" &amp; $A125, Table2[AwayTeam], P$1)+SUMIFS(Table2[NewPointsHome],Table2[GameDate], "&lt;=" &amp; $A125, Table2[HomeTeam], P$1)</f>
        <v>0</v>
      </c>
      <c r="Q125" s="145">
        <f>SUMIFS(Table2[NewPointsAway],Table2[GameDate], "&lt;=" &amp; $A125, Table2[AwayTeam], Q$1)+SUMIFS(Table2[NewPointsHome],Table2[GameDate], "&lt;=" &amp; $A125, Table2[HomeTeam], Q$1)</f>
        <v>0</v>
      </c>
      <c r="R125" s="145">
        <f>SUMIFS(Table2[NewPointsAway],Table2[GameDate], "&lt;=" &amp; $A125, Table2[AwayTeam], R$1)+SUMIFS(Table2[NewPointsHome],Table2[GameDate], "&lt;=" &amp; $A125, Table2[HomeTeam], R$1)</f>
        <v>0</v>
      </c>
      <c r="S125" s="145">
        <f>SUMIFS(Table2[NewPointsAway],Table2[GameDate], "&lt;=" &amp; $A125, Table2[AwayTeam], S$1)+SUMIFS(Table2[NewPointsHome],Table2[GameDate], "&lt;=" &amp; $A125, Table2[HomeTeam], S$1)</f>
        <v>0</v>
      </c>
      <c r="T125" s="145">
        <f>SUMIFS(Table2[NewPointsAway],Table2[GameDate], "&lt;=" &amp; $A125, Table2[AwayTeam], T$1)+SUMIFS(Table2[NewPointsHome],Table2[GameDate], "&lt;=" &amp; $A125, Table2[HomeTeam], T$1)</f>
        <v>0</v>
      </c>
      <c r="U125" s="145">
        <f>SUMIFS(Table2[NewPointsAway],Table2[GameDate], "&lt;=" &amp; $A125, Table2[AwayTeam], U$1)+SUMIFS(Table2[NewPointsHome],Table2[GameDate], "&lt;=" &amp; $A125, Table2[HomeTeam], U$1)</f>
        <v>0</v>
      </c>
      <c r="V125" s="145">
        <f>SUMIFS(Table2[NewPointsAway],Table2[GameDate], "&lt;=" &amp; $A125, Table2[AwayTeam], V$1)+SUMIFS(Table2[NewPointsHome],Table2[GameDate], "&lt;=" &amp; $A125, Table2[HomeTeam], V$1)</f>
        <v>0</v>
      </c>
      <c r="W125" s="145">
        <f>SUMIFS(Table2[NewPointsAway],Table2[GameDate], "&lt;=" &amp; $A125, Table2[AwayTeam], W$1)+SUMIFS(Table2[NewPointsHome],Table2[GameDate], "&lt;=" &amp; $A125, Table2[HomeTeam], W$1)</f>
        <v>2</v>
      </c>
      <c r="X125" s="145">
        <f>SUMIFS(Table2[NewPointsAway],Table2[GameDate], "&lt;=" &amp; $A125, Table2[AwayTeam], X$1)+SUMIFS(Table2[NewPointsHome],Table2[GameDate], "&lt;=" &amp; $A125, Table2[HomeTeam], X$1)</f>
        <v>0</v>
      </c>
      <c r="Y125" s="145">
        <f>SUMIFS(Table2[NewPointsAway],Table2[GameDate], "&lt;=" &amp; $A125, Table2[AwayTeam], Y$1)+SUMIFS(Table2[NewPointsHome],Table2[GameDate], "&lt;=" &amp; $A125, Table2[HomeTeam], Y$1)</f>
        <v>0</v>
      </c>
      <c r="Z125" s="145">
        <f>SUMIFS(Table2[NewPointsAway],Table2[GameDate], "&lt;=" &amp; $A125, Table2[AwayTeam], Z$1)+SUMIFS(Table2[NewPointsHome],Table2[GameDate], "&lt;=" &amp; $A125, Table2[HomeTeam], Z$1)</f>
        <v>0</v>
      </c>
      <c r="AA125" s="145">
        <f>SUMIFS(Table2[NewPointsAway],Table2[GameDate], "&lt;=" &amp; $A125, Table2[AwayTeam], AA$1)+SUMIFS(Table2[NewPointsHome],Table2[GameDate], "&lt;=" &amp; $A125, Table2[HomeTeam], AA$1)</f>
        <v>0</v>
      </c>
      <c r="AB125" s="145">
        <f>SUMIFS(Table2[NewPointsAway],Table2[GameDate], "&lt;=" &amp; $A125, Table2[AwayTeam], AB$1)+SUMIFS(Table2[NewPointsHome],Table2[GameDate], "&lt;=" &amp; $A125, Table2[HomeTeam], AB$1)</f>
        <v>2</v>
      </c>
      <c r="AC125" s="145">
        <f>SUMIFS(Table2[NewPointsAway],Table2[GameDate], "&lt;=" &amp; $A125, Table2[AwayTeam], AC$1)+SUMIFS(Table2[NewPointsHome],Table2[GameDate], "&lt;=" &amp; $A125, Table2[HomeTeam], AC$1)</f>
        <v>0</v>
      </c>
      <c r="AD125" s="145">
        <f>SUMIFS(Table2[NewPointsAway],Table2[GameDate], "&lt;=" &amp; $A125, Table2[AwayTeam], AD$1)+SUMIFS(Table2[NewPointsHome],Table2[GameDate], "&lt;=" &amp; $A125, Table2[HomeTeam], AD$1)</f>
        <v>0</v>
      </c>
      <c r="AE125" s="145">
        <f>SUMIFS(Table2[NewPointsAway],Table2[GameDate], "&lt;=" &amp; $A125, Table2[AwayTeam], AE$1)+SUMIFS(Table2[NewPointsHome],Table2[GameDate], "&lt;=" &amp; $A125, Table2[HomeTeam], AE$1)</f>
        <v>1</v>
      </c>
      <c r="AF125" s="145">
        <f>SUMIFS(Table2[NewPointsAway],Table2[GameDate], "&lt;=" &amp; $A125, Table2[AwayTeam], AF$1)+SUMIFS(Table2[NewPointsHome],Table2[GameDate], "&lt;=" &amp; $A125, Table2[HomeTeam], AF$1)</f>
        <v>0</v>
      </c>
      <c r="AG125" s="145">
        <f>SUMIFS(Table2[NewPointsAway],Table2[GameDate], "&lt;=" &amp; $A125, Table2[AwayTeam], AG$1)+SUMIFS(Table2[NewPointsHome],Table2[GameDate], "&lt;=" &amp; $A125, Table2[HomeTeam], AG$1)</f>
        <v>0</v>
      </c>
    </row>
    <row r="126" spans="1:33" x14ac:dyDescent="0.25">
      <c r="A126" s="3">
        <v>46057</v>
      </c>
      <c r="B126" s="145">
        <f>SUMIFS(Table2[NewPointsAway],Table2[GameDate], "&lt;=" &amp; $A126, Table2[AwayTeam], B$1)+SUMIFS(Table2[NewPointsHome],Table2[GameDate], "&lt;=" &amp; $A126, Table2[HomeTeam], B$1)</f>
        <v>0</v>
      </c>
      <c r="C126" s="145">
        <f>SUMIFS(Table2[NewPointsAway],Table2[GameDate], "&lt;=" &amp; $A126, Table2[AwayTeam], C$1)+SUMIFS(Table2[NewPointsHome],Table2[GameDate], "&lt;=" &amp; $A126, Table2[HomeTeam], C$1)</f>
        <v>2</v>
      </c>
      <c r="D126" s="145">
        <f>SUMIFS(Table2[NewPointsAway],Table2[GameDate], "&lt;=" &amp; $A126, Table2[AwayTeam], D$1)+SUMIFS(Table2[NewPointsHome],Table2[GameDate], "&lt;=" &amp; $A126, Table2[HomeTeam], D$1)</f>
        <v>0</v>
      </c>
      <c r="E126" s="145">
        <f>SUMIFS(Table2[NewPointsAway],Table2[GameDate], "&lt;=" &amp; $A126, Table2[AwayTeam], E$1)+SUMIFS(Table2[NewPointsHome],Table2[GameDate], "&lt;=" &amp; $A126, Table2[HomeTeam], E$1)</f>
        <v>0</v>
      </c>
      <c r="F126" s="145">
        <f>SUMIFS(Table2[NewPointsAway],Table2[GameDate], "&lt;=" &amp; $A126, Table2[AwayTeam], F$1)+SUMIFS(Table2[NewPointsHome],Table2[GameDate], "&lt;=" &amp; $A126, Table2[HomeTeam], F$1)</f>
        <v>0</v>
      </c>
      <c r="G126" s="145">
        <f>SUMIFS(Table2[NewPointsAway],Table2[GameDate], "&lt;=" &amp; $A126, Table2[AwayTeam], G$1)+SUMIFS(Table2[NewPointsHome],Table2[GameDate], "&lt;=" &amp; $A126, Table2[HomeTeam], G$1)</f>
        <v>2</v>
      </c>
      <c r="H126" s="145">
        <f>SUMIFS(Table2[NewPointsAway],Table2[GameDate], "&lt;=" &amp; $A126, Table2[AwayTeam], H$1)+SUMIFS(Table2[NewPointsHome],Table2[GameDate], "&lt;=" &amp; $A126, Table2[HomeTeam], H$1)</f>
        <v>0</v>
      </c>
      <c r="I126" s="145">
        <f>SUMIFS(Table2[NewPointsAway],Table2[GameDate], "&lt;=" &amp; $A126, Table2[AwayTeam], I$1)+SUMIFS(Table2[NewPointsHome],Table2[GameDate], "&lt;=" &amp; $A126, Table2[HomeTeam], I$1)</f>
        <v>2</v>
      </c>
      <c r="J126" s="145">
        <f>SUMIFS(Table2[NewPointsAway],Table2[GameDate], "&lt;=" &amp; $A126, Table2[AwayTeam], J$1)+SUMIFS(Table2[NewPointsHome],Table2[GameDate], "&lt;=" &amp; $A126, Table2[HomeTeam], J$1)</f>
        <v>0</v>
      </c>
      <c r="K126" s="145">
        <f>SUMIFS(Table2[NewPointsAway],Table2[GameDate], "&lt;=" &amp; $A126, Table2[AwayTeam], K$1)+SUMIFS(Table2[NewPointsHome],Table2[GameDate], "&lt;=" &amp; $A126, Table2[HomeTeam], K$1)</f>
        <v>0</v>
      </c>
      <c r="L126" s="145">
        <f>SUMIFS(Table2[NewPointsAway],Table2[GameDate], "&lt;=" &amp; $A126, Table2[AwayTeam], L$1)+SUMIFS(Table2[NewPointsHome],Table2[GameDate], "&lt;=" &amp; $A126, Table2[HomeTeam], L$1)</f>
        <v>1</v>
      </c>
      <c r="M126" s="145">
        <f>SUMIFS(Table2[NewPointsAway],Table2[GameDate], "&lt;=" &amp; $A126, Table2[AwayTeam], M$1)+SUMIFS(Table2[NewPointsHome],Table2[GameDate], "&lt;=" &amp; $A126, Table2[HomeTeam], M$1)</f>
        <v>2</v>
      </c>
      <c r="N126" s="145">
        <f>SUMIFS(Table2[NewPointsAway],Table2[GameDate], "&lt;=" &amp; $A126, Table2[AwayTeam], N$1)+SUMIFS(Table2[NewPointsHome],Table2[GameDate], "&lt;=" &amp; $A126, Table2[HomeTeam], N$1)</f>
        <v>2</v>
      </c>
      <c r="O126" s="145">
        <f>SUMIFS(Table2[NewPointsAway],Table2[GameDate], "&lt;=" &amp; $A126, Table2[AwayTeam], O$1)+SUMIFS(Table2[NewPointsHome],Table2[GameDate], "&lt;=" &amp; $A126, Table2[HomeTeam], O$1)</f>
        <v>0</v>
      </c>
      <c r="P126" s="145">
        <f>SUMIFS(Table2[NewPointsAway],Table2[GameDate], "&lt;=" &amp; $A126, Table2[AwayTeam], P$1)+SUMIFS(Table2[NewPointsHome],Table2[GameDate], "&lt;=" &amp; $A126, Table2[HomeTeam], P$1)</f>
        <v>0</v>
      </c>
      <c r="Q126" s="145">
        <f>SUMIFS(Table2[NewPointsAway],Table2[GameDate], "&lt;=" &amp; $A126, Table2[AwayTeam], Q$1)+SUMIFS(Table2[NewPointsHome],Table2[GameDate], "&lt;=" &amp; $A126, Table2[HomeTeam], Q$1)</f>
        <v>0</v>
      </c>
      <c r="R126" s="145">
        <f>SUMIFS(Table2[NewPointsAway],Table2[GameDate], "&lt;=" &amp; $A126, Table2[AwayTeam], R$1)+SUMIFS(Table2[NewPointsHome],Table2[GameDate], "&lt;=" &amp; $A126, Table2[HomeTeam], R$1)</f>
        <v>0</v>
      </c>
      <c r="S126" s="145">
        <f>SUMIFS(Table2[NewPointsAway],Table2[GameDate], "&lt;=" &amp; $A126, Table2[AwayTeam], S$1)+SUMIFS(Table2[NewPointsHome],Table2[GameDate], "&lt;=" &amp; $A126, Table2[HomeTeam], S$1)</f>
        <v>0</v>
      </c>
      <c r="T126" s="145">
        <f>SUMIFS(Table2[NewPointsAway],Table2[GameDate], "&lt;=" &amp; $A126, Table2[AwayTeam], T$1)+SUMIFS(Table2[NewPointsHome],Table2[GameDate], "&lt;=" &amp; $A126, Table2[HomeTeam], T$1)</f>
        <v>0</v>
      </c>
      <c r="U126" s="145">
        <f>SUMIFS(Table2[NewPointsAway],Table2[GameDate], "&lt;=" &amp; $A126, Table2[AwayTeam], U$1)+SUMIFS(Table2[NewPointsHome],Table2[GameDate], "&lt;=" &amp; $A126, Table2[HomeTeam], U$1)</f>
        <v>0</v>
      </c>
      <c r="V126" s="145">
        <f>SUMIFS(Table2[NewPointsAway],Table2[GameDate], "&lt;=" &amp; $A126, Table2[AwayTeam], V$1)+SUMIFS(Table2[NewPointsHome],Table2[GameDate], "&lt;=" &amp; $A126, Table2[HomeTeam], V$1)</f>
        <v>0</v>
      </c>
      <c r="W126" s="145">
        <f>SUMIFS(Table2[NewPointsAway],Table2[GameDate], "&lt;=" &amp; $A126, Table2[AwayTeam], W$1)+SUMIFS(Table2[NewPointsHome],Table2[GameDate], "&lt;=" &amp; $A126, Table2[HomeTeam], W$1)</f>
        <v>2</v>
      </c>
      <c r="X126" s="145">
        <f>SUMIFS(Table2[NewPointsAway],Table2[GameDate], "&lt;=" &amp; $A126, Table2[AwayTeam], X$1)+SUMIFS(Table2[NewPointsHome],Table2[GameDate], "&lt;=" &amp; $A126, Table2[HomeTeam], X$1)</f>
        <v>0</v>
      </c>
      <c r="Y126" s="145">
        <f>SUMIFS(Table2[NewPointsAway],Table2[GameDate], "&lt;=" &amp; $A126, Table2[AwayTeam], Y$1)+SUMIFS(Table2[NewPointsHome],Table2[GameDate], "&lt;=" &amp; $A126, Table2[HomeTeam], Y$1)</f>
        <v>0</v>
      </c>
      <c r="Z126" s="145">
        <f>SUMIFS(Table2[NewPointsAway],Table2[GameDate], "&lt;=" &amp; $A126, Table2[AwayTeam], Z$1)+SUMIFS(Table2[NewPointsHome],Table2[GameDate], "&lt;=" &amp; $A126, Table2[HomeTeam], Z$1)</f>
        <v>0</v>
      </c>
      <c r="AA126" s="145">
        <f>SUMIFS(Table2[NewPointsAway],Table2[GameDate], "&lt;=" &amp; $A126, Table2[AwayTeam], AA$1)+SUMIFS(Table2[NewPointsHome],Table2[GameDate], "&lt;=" &amp; $A126, Table2[HomeTeam], AA$1)</f>
        <v>0</v>
      </c>
      <c r="AB126" s="145">
        <f>SUMIFS(Table2[NewPointsAway],Table2[GameDate], "&lt;=" &amp; $A126, Table2[AwayTeam], AB$1)+SUMIFS(Table2[NewPointsHome],Table2[GameDate], "&lt;=" &amp; $A126, Table2[HomeTeam], AB$1)</f>
        <v>2</v>
      </c>
      <c r="AC126" s="145">
        <f>SUMIFS(Table2[NewPointsAway],Table2[GameDate], "&lt;=" &amp; $A126, Table2[AwayTeam], AC$1)+SUMIFS(Table2[NewPointsHome],Table2[GameDate], "&lt;=" &amp; $A126, Table2[HomeTeam], AC$1)</f>
        <v>0</v>
      </c>
      <c r="AD126" s="145">
        <f>SUMIFS(Table2[NewPointsAway],Table2[GameDate], "&lt;=" &amp; $A126, Table2[AwayTeam], AD$1)+SUMIFS(Table2[NewPointsHome],Table2[GameDate], "&lt;=" &amp; $A126, Table2[HomeTeam], AD$1)</f>
        <v>0</v>
      </c>
      <c r="AE126" s="145">
        <f>SUMIFS(Table2[NewPointsAway],Table2[GameDate], "&lt;=" &amp; $A126, Table2[AwayTeam], AE$1)+SUMIFS(Table2[NewPointsHome],Table2[GameDate], "&lt;=" &amp; $A126, Table2[HomeTeam], AE$1)</f>
        <v>1</v>
      </c>
      <c r="AF126" s="145">
        <f>SUMIFS(Table2[NewPointsAway],Table2[GameDate], "&lt;=" &amp; $A126, Table2[AwayTeam], AF$1)+SUMIFS(Table2[NewPointsHome],Table2[GameDate], "&lt;=" &amp; $A126, Table2[HomeTeam], AF$1)</f>
        <v>0</v>
      </c>
      <c r="AG126" s="145">
        <f>SUMIFS(Table2[NewPointsAway],Table2[GameDate], "&lt;=" &amp; $A126, Table2[AwayTeam], AG$1)+SUMIFS(Table2[NewPointsHome],Table2[GameDate], "&lt;=" &amp; $A126, Table2[HomeTeam], AG$1)</f>
        <v>0</v>
      </c>
    </row>
    <row r="127" spans="1:33" x14ac:dyDescent="0.25">
      <c r="A127" s="3">
        <v>46058</v>
      </c>
      <c r="B127" s="145">
        <f>SUMIFS(Table2[NewPointsAway],Table2[GameDate], "&lt;=" &amp; $A127, Table2[AwayTeam], B$1)+SUMIFS(Table2[NewPointsHome],Table2[GameDate], "&lt;=" &amp; $A127, Table2[HomeTeam], B$1)</f>
        <v>0</v>
      </c>
      <c r="C127" s="145">
        <f>SUMIFS(Table2[NewPointsAway],Table2[GameDate], "&lt;=" &amp; $A127, Table2[AwayTeam], C$1)+SUMIFS(Table2[NewPointsHome],Table2[GameDate], "&lt;=" &amp; $A127, Table2[HomeTeam], C$1)</f>
        <v>2</v>
      </c>
      <c r="D127" s="145">
        <f>SUMIFS(Table2[NewPointsAway],Table2[GameDate], "&lt;=" &amp; $A127, Table2[AwayTeam], D$1)+SUMIFS(Table2[NewPointsHome],Table2[GameDate], "&lt;=" &amp; $A127, Table2[HomeTeam], D$1)</f>
        <v>0</v>
      </c>
      <c r="E127" s="145">
        <f>SUMIFS(Table2[NewPointsAway],Table2[GameDate], "&lt;=" &amp; $A127, Table2[AwayTeam], E$1)+SUMIFS(Table2[NewPointsHome],Table2[GameDate], "&lt;=" &amp; $A127, Table2[HomeTeam], E$1)</f>
        <v>0</v>
      </c>
      <c r="F127" s="145">
        <f>SUMIFS(Table2[NewPointsAway],Table2[GameDate], "&lt;=" &amp; $A127, Table2[AwayTeam], F$1)+SUMIFS(Table2[NewPointsHome],Table2[GameDate], "&lt;=" &amp; $A127, Table2[HomeTeam], F$1)</f>
        <v>0</v>
      </c>
      <c r="G127" s="145">
        <f>SUMIFS(Table2[NewPointsAway],Table2[GameDate], "&lt;=" &amp; $A127, Table2[AwayTeam], G$1)+SUMIFS(Table2[NewPointsHome],Table2[GameDate], "&lt;=" &amp; $A127, Table2[HomeTeam], G$1)</f>
        <v>2</v>
      </c>
      <c r="H127" s="145">
        <f>SUMIFS(Table2[NewPointsAway],Table2[GameDate], "&lt;=" &amp; $A127, Table2[AwayTeam], H$1)+SUMIFS(Table2[NewPointsHome],Table2[GameDate], "&lt;=" &amp; $A127, Table2[HomeTeam], H$1)</f>
        <v>0</v>
      </c>
      <c r="I127" s="145">
        <f>SUMIFS(Table2[NewPointsAway],Table2[GameDate], "&lt;=" &amp; $A127, Table2[AwayTeam], I$1)+SUMIFS(Table2[NewPointsHome],Table2[GameDate], "&lt;=" &amp; $A127, Table2[HomeTeam], I$1)</f>
        <v>2</v>
      </c>
      <c r="J127" s="145">
        <f>SUMIFS(Table2[NewPointsAway],Table2[GameDate], "&lt;=" &amp; $A127, Table2[AwayTeam], J$1)+SUMIFS(Table2[NewPointsHome],Table2[GameDate], "&lt;=" &amp; $A127, Table2[HomeTeam], J$1)</f>
        <v>0</v>
      </c>
      <c r="K127" s="145">
        <f>SUMIFS(Table2[NewPointsAway],Table2[GameDate], "&lt;=" &amp; $A127, Table2[AwayTeam], K$1)+SUMIFS(Table2[NewPointsHome],Table2[GameDate], "&lt;=" &amp; $A127, Table2[HomeTeam], K$1)</f>
        <v>0</v>
      </c>
      <c r="L127" s="145">
        <f>SUMIFS(Table2[NewPointsAway],Table2[GameDate], "&lt;=" &amp; $A127, Table2[AwayTeam], L$1)+SUMIFS(Table2[NewPointsHome],Table2[GameDate], "&lt;=" &amp; $A127, Table2[HomeTeam], L$1)</f>
        <v>1</v>
      </c>
      <c r="M127" s="145">
        <f>SUMIFS(Table2[NewPointsAway],Table2[GameDate], "&lt;=" &amp; $A127, Table2[AwayTeam], M$1)+SUMIFS(Table2[NewPointsHome],Table2[GameDate], "&lt;=" &amp; $A127, Table2[HomeTeam], M$1)</f>
        <v>2</v>
      </c>
      <c r="N127" s="145">
        <f>SUMIFS(Table2[NewPointsAway],Table2[GameDate], "&lt;=" &amp; $A127, Table2[AwayTeam], N$1)+SUMIFS(Table2[NewPointsHome],Table2[GameDate], "&lt;=" &amp; $A127, Table2[HomeTeam], N$1)</f>
        <v>2</v>
      </c>
      <c r="O127" s="145">
        <f>SUMIFS(Table2[NewPointsAway],Table2[GameDate], "&lt;=" &amp; $A127, Table2[AwayTeam], O$1)+SUMIFS(Table2[NewPointsHome],Table2[GameDate], "&lt;=" &amp; $A127, Table2[HomeTeam], O$1)</f>
        <v>0</v>
      </c>
      <c r="P127" s="145">
        <f>SUMIFS(Table2[NewPointsAway],Table2[GameDate], "&lt;=" &amp; $A127, Table2[AwayTeam], P$1)+SUMIFS(Table2[NewPointsHome],Table2[GameDate], "&lt;=" &amp; $A127, Table2[HomeTeam], P$1)</f>
        <v>0</v>
      </c>
      <c r="Q127" s="145">
        <f>SUMIFS(Table2[NewPointsAway],Table2[GameDate], "&lt;=" &amp; $A127, Table2[AwayTeam], Q$1)+SUMIFS(Table2[NewPointsHome],Table2[GameDate], "&lt;=" &amp; $A127, Table2[HomeTeam], Q$1)</f>
        <v>0</v>
      </c>
      <c r="R127" s="145">
        <f>SUMIFS(Table2[NewPointsAway],Table2[GameDate], "&lt;=" &amp; $A127, Table2[AwayTeam], R$1)+SUMIFS(Table2[NewPointsHome],Table2[GameDate], "&lt;=" &amp; $A127, Table2[HomeTeam], R$1)</f>
        <v>0</v>
      </c>
      <c r="S127" s="145">
        <f>SUMIFS(Table2[NewPointsAway],Table2[GameDate], "&lt;=" &amp; $A127, Table2[AwayTeam], S$1)+SUMIFS(Table2[NewPointsHome],Table2[GameDate], "&lt;=" &amp; $A127, Table2[HomeTeam], S$1)</f>
        <v>0</v>
      </c>
      <c r="T127" s="145">
        <f>SUMIFS(Table2[NewPointsAway],Table2[GameDate], "&lt;=" &amp; $A127, Table2[AwayTeam], T$1)+SUMIFS(Table2[NewPointsHome],Table2[GameDate], "&lt;=" &amp; $A127, Table2[HomeTeam], T$1)</f>
        <v>0</v>
      </c>
      <c r="U127" s="145">
        <f>SUMIFS(Table2[NewPointsAway],Table2[GameDate], "&lt;=" &amp; $A127, Table2[AwayTeam], U$1)+SUMIFS(Table2[NewPointsHome],Table2[GameDate], "&lt;=" &amp; $A127, Table2[HomeTeam], U$1)</f>
        <v>0</v>
      </c>
      <c r="V127" s="145">
        <f>SUMIFS(Table2[NewPointsAway],Table2[GameDate], "&lt;=" &amp; $A127, Table2[AwayTeam], V$1)+SUMIFS(Table2[NewPointsHome],Table2[GameDate], "&lt;=" &amp; $A127, Table2[HomeTeam], V$1)</f>
        <v>0</v>
      </c>
      <c r="W127" s="145">
        <f>SUMIFS(Table2[NewPointsAway],Table2[GameDate], "&lt;=" &amp; $A127, Table2[AwayTeam], W$1)+SUMIFS(Table2[NewPointsHome],Table2[GameDate], "&lt;=" &amp; $A127, Table2[HomeTeam], W$1)</f>
        <v>2</v>
      </c>
      <c r="X127" s="145">
        <f>SUMIFS(Table2[NewPointsAway],Table2[GameDate], "&lt;=" &amp; $A127, Table2[AwayTeam], X$1)+SUMIFS(Table2[NewPointsHome],Table2[GameDate], "&lt;=" &amp; $A127, Table2[HomeTeam], X$1)</f>
        <v>0</v>
      </c>
      <c r="Y127" s="145">
        <f>SUMIFS(Table2[NewPointsAway],Table2[GameDate], "&lt;=" &amp; $A127, Table2[AwayTeam], Y$1)+SUMIFS(Table2[NewPointsHome],Table2[GameDate], "&lt;=" &amp; $A127, Table2[HomeTeam], Y$1)</f>
        <v>0</v>
      </c>
      <c r="Z127" s="145">
        <f>SUMIFS(Table2[NewPointsAway],Table2[GameDate], "&lt;=" &amp; $A127, Table2[AwayTeam], Z$1)+SUMIFS(Table2[NewPointsHome],Table2[GameDate], "&lt;=" &amp; $A127, Table2[HomeTeam], Z$1)</f>
        <v>0</v>
      </c>
      <c r="AA127" s="145">
        <f>SUMIFS(Table2[NewPointsAway],Table2[GameDate], "&lt;=" &amp; $A127, Table2[AwayTeam], AA$1)+SUMIFS(Table2[NewPointsHome],Table2[GameDate], "&lt;=" &amp; $A127, Table2[HomeTeam], AA$1)</f>
        <v>0</v>
      </c>
      <c r="AB127" s="145">
        <f>SUMIFS(Table2[NewPointsAway],Table2[GameDate], "&lt;=" &amp; $A127, Table2[AwayTeam], AB$1)+SUMIFS(Table2[NewPointsHome],Table2[GameDate], "&lt;=" &amp; $A127, Table2[HomeTeam], AB$1)</f>
        <v>2</v>
      </c>
      <c r="AC127" s="145">
        <f>SUMIFS(Table2[NewPointsAway],Table2[GameDate], "&lt;=" &amp; $A127, Table2[AwayTeam], AC$1)+SUMIFS(Table2[NewPointsHome],Table2[GameDate], "&lt;=" &amp; $A127, Table2[HomeTeam], AC$1)</f>
        <v>0</v>
      </c>
      <c r="AD127" s="145">
        <f>SUMIFS(Table2[NewPointsAway],Table2[GameDate], "&lt;=" &amp; $A127, Table2[AwayTeam], AD$1)+SUMIFS(Table2[NewPointsHome],Table2[GameDate], "&lt;=" &amp; $A127, Table2[HomeTeam], AD$1)</f>
        <v>0</v>
      </c>
      <c r="AE127" s="145">
        <f>SUMIFS(Table2[NewPointsAway],Table2[GameDate], "&lt;=" &amp; $A127, Table2[AwayTeam], AE$1)+SUMIFS(Table2[NewPointsHome],Table2[GameDate], "&lt;=" &amp; $A127, Table2[HomeTeam], AE$1)</f>
        <v>1</v>
      </c>
      <c r="AF127" s="145">
        <f>SUMIFS(Table2[NewPointsAway],Table2[GameDate], "&lt;=" &amp; $A127, Table2[AwayTeam], AF$1)+SUMIFS(Table2[NewPointsHome],Table2[GameDate], "&lt;=" &amp; $A127, Table2[HomeTeam], AF$1)</f>
        <v>0</v>
      </c>
      <c r="AG127" s="145">
        <f>SUMIFS(Table2[NewPointsAway],Table2[GameDate], "&lt;=" &amp; $A127, Table2[AwayTeam], AG$1)+SUMIFS(Table2[NewPointsHome],Table2[GameDate], "&lt;=" &amp; $A127, Table2[HomeTeam], AG$1)</f>
        <v>0</v>
      </c>
    </row>
    <row r="128" spans="1:33" x14ac:dyDescent="0.25">
      <c r="A128" s="3">
        <v>46059</v>
      </c>
      <c r="B128" s="145">
        <f>SUMIFS(Table2[NewPointsAway],Table2[GameDate], "&lt;=" &amp; $A128, Table2[AwayTeam], B$1)+SUMIFS(Table2[NewPointsHome],Table2[GameDate], "&lt;=" &amp; $A128, Table2[HomeTeam], B$1)</f>
        <v>0</v>
      </c>
      <c r="C128" s="145">
        <f>SUMIFS(Table2[NewPointsAway],Table2[GameDate], "&lt;=" &amp; $A128, Table2[AwayTeam], C$1)+SUMIFS(Table2[NewPointsHome],Table2[GameDate], "&lt;=" &amp; $A128, Table2[HomeTeam], C$1)</f>
        <v>2</v>
      </c>
      <c r="D128" s="145">
        <f>SUMIFS(Table2[NewPointsAway],Table2[GameDate], "&lt;=" &amp; $A128, Table2[AwayTeam], D$1)+SUMIFS(Table2[NewPointsHome],Table2[GameDate], "&lt;=" &amp; $A128, Table2[HomeTeam], D$1)</f>
        <v>0</v>
      </c>
      <c r="E128" s="145">
        <f>SUMIFS(Table2[NewPointsAway],Table2[GameDate], "&lt;=" &amp; $A128, Table2[AwayTeam], E$1)+SUMIFS(Table2[NewPointsHome],Table2[GameDate], "&lt;=" &amp; $A128, Table2[HomeTeam], E$1)</f>
        <v>0</v>
      </c>
      <c r="F128" s="145">
        <f>SUMIFS(Table2[NewPointsAway],Table2[GameDate], "&lt;=" &amp; $A128, Table2[AwayTeam], F$1)+SUMIFS(Table2[NewPointsHome],Table2[GameDate], "&lt;=" &amp; $A128, Table2[HomeTeam], F$1)</f>
        <v>0</v>
      </c>
      <c r="G128" s="145">
        <f>SUMIFS(Table2[NewPointsAway],Table2[GameDate], "&lt;=" &amp; $A128, Table2[AwayTeam], G$1)+SUMIFS(Table2[NewPointsHome],Table2[GameDate], "&lt;=" &amp; $A128, Table2[HomeTeam], G$1)</f>
        <v>2</v>
      </c>
      <c r="H128" s="145">
        <f>SUMIFS(Table2[NewPointsAway],Table2[GameDate], "&lt;=" &amp; $A128, Table2[AwayTeam], H$1)+SUMIFS(Table2[NewPointsHome],Table2[GameDate], "&lt;=" &amp; $A128, Table2[HomeTeam], H$1)</f>
        <v>0</v>
      </c>
      <c r="I128" s="145">
        <f>SUMIFS(Table2[NewPointsAway],Table2[GameDate], "&lt;=" &amp; $A128, Table2[AwayTeam], I$1)+SUMIFS(Table2[NewPointsHome],Table2[GameDate], "&lt;=" &amp; $A128, Table2[HomeTeam], I$1)</f>
        <v>2</v>
      </c>
      <c r="J128" s="145">
        <f>SUMIFS(Table2[NewPointsAway],Table2[GameDate], "&lt;=" &amp; $A128, Table2[AwayTeam], J$1)+SUMIFS(Table2[NewPointsHome],Table2[GameDate], "&lt;=" &amp; $A128, Table2[HomeTeam], J$1)</f>
        <v>0</v>
      </c>
      <c r="K128" s="145">
        <f>SUMIFS(Table2[NewPointsAway],Table2[GameDate], "&lt;=" &amp; $A128, Table2[AwayTeam], K$1)+SUMIFS(Table2[NewPointsHome],Table2[GameDate], "&lt;=" &amp; $A128, Table2[HomeTeam], K$1)</f>
        <v>0</v>
      </c>
      <c r="L128" s="145">
        <f>SUMIFS(Table2[NewPointsAway],Table2[GameDate], "&lt;=" &amp; $A128, Table2[AwayTeam], L$1)+SUMIFS(Table2[NewPointsHome],Table2[GameDate], "&lt;=" &amp; $A128, Table2[HomeTeam], L$1)</f>
        <v>1</v>
      </c>
      <c r="M128" s="145">
        <f>SUMIFS(Table2[NewPointsAway],Table2[GameDate], "&lt;=" &amp; $A128, Table2[AwayTeam], M$1)+SUMIFS(Table2[NewPointsHome],Table2[GameDate], "&lt;=" &amp; $A128, Table2[HomeTeam], M$1)</f>
        <v>2</v>
      </c>
      <c r="N128" s="145">
        <f>SUMIFS(Table2[NewPointsAway],Table2[GameDate], "&lt;=" &amp; $A128, Table2[AwayTeam], N$1)+SUMIFS(Table2[NewPointsHome],Table2[GameDate], "&lt;=" &amp; $A128, Table2[HomeTeam], N$1)</f>
        <v>2</v>
      </c>
      <c r="O128" s="145">
        <f>SUMIFS(Table2[NewPointsAway],Table2[GameDate], "&lt;=" &amp; $A128, Table2[AwayTeam], O$1)+SUMIFS(Table2[NewPointsHome],Table2[GameDate], "&lt;=" &amp; $A128, Table2[HomeTeam], O$1)</f>
        <v>0</v>
      </c>
      <c r="P128" s="145">
        <f>SUMIFS(Table2[NewPointsAway],Table2[GameDate], "&lt;=" &amp; $A128, Table2[AwayTeam], P$1)+SUMIFS(Table2[NewPointsHome],Table2[GameDate], "&lt;=" &amp; $A128, Table2[HomeTeam], P$1)</f>
        <v>0</v>
      </c>
      <c r="Q128" s="145">
        <f>SUMIFS(Table2[NewPointsAway],Table2[GameDate], "&lt;=" &amp; $A128, Table2[AwayTeam], Q$1)+SUMIFS(Table2[NewPointsHome],Table2[GameDate], "&lt;=" &amp; $A128, Table2[HomeTeam], Q$1)</f>
        <v>0</v>
      </c>
      <c r="R128" s="145">
        <f>SUMIFS(Table2[NewPointsAway],Table2[GameDate], "&lt;=" &amp; $A128, Table2[AwayTeam], R$1)+SUMIFS(Table2[NewPointsHome],Table2[GameDate], "&lt;=" &amp; $A128, Table2[HomeTeam], R$1)</f>
        <v>0</v>
      </c>
      <c r="S128" s="145">
        <f>SUMIFS(Table2[NewPointsAway],Table2[GameDate], "&lt;=" &amp; $A128, Table2[AwayTeam], S$1)+SUMIFS(Table2[NewPointsHome],Table2[GameDate], "&lt;=" &amp; $A128, Table2[HomeTeam], S$1)</f>
        <v>0</v>
      </c>
      <c r="T128" s="145">
        <f>SUMIFS(Table2[NewPointsAway],Table2[GameDate], "&lt;=" &amp; $A128, Table2[AwayTeam], T$1)+SUMIFS(Table2[NewPointsHome],Table2[GameDate], "&lt;=" &amp; $A128, Table2[HomeTeam], T$1)</f>
        <v>0</v>
      </c>
      <c r="U128" s="145">
        <f>SUMIFS(Table2[NewPointsAway],Table2[GameDate], "&lt;=" &amp; $A128, Table2[AwayTeam], U$1)+SUMIFS(Table2[NewPointsHome],Table2[GameDate], "&lt;=" &amp; $A128, Table2[HomeTeam], U$1)</f>
        <v>0</v>
      </c>
      <c r="V128" s="145">
        <f>SUMIFS(Table2[NewPointsAway],Table2[GameDate], "&lt;=" &amp; $A128, Table2[AwayTeam], V$1)+SUMIFS(Table2[NewPointsHome],Table2[GameDate], "&lt;=" &amp; $A128, Table2[HomeTeam], V$1)</f>
        <v>0</v>
      </c>
      <c r="W128" s="145">
        <f>SUMIFS(Table2[NewPointsAway],Table2[GameDate], "&lt;=" &amp; $A128, Table2[AwayTeam], W$1)+SUMIFS(Table2[NewPointsHome],Table2[GameDate], "&lt;=" &amp; $A128, Table2[HomeTeam], W$1)</f>
        <v>2</v>
      </c>
      <c r="X128" s="145">
        <f>SUMIFS(Table2[NewPointsAway],Table2[GameDate], "&lt;=" &amp; $A128, Table2[AwayTeam], X$1)+SUMIFS(Table2[NewPointsHome],Table2[GameDate], "&lt;=" &amp; $A128, Table2[HomeTeam], X$1)</f>
        <v>0</v>
      </c>
      <c r="Y128" s="145">
        <f>SUMIFS(Table2[NewPointsAway],Table2[GameDate], "&lt;=" &amp; $A128, Table2[AwayTeam], Y$1)+SUMIFS(Table2[NewPointsHome],Table2[GameDate], "&lt;=" &amp; $A128, Table2[HomeTeam], Y$1)</f>
        <v>0</v>
      </c>
      <c r="Z128" s="145">
        <f>SUMIFS(Table2[NewPointsAway],Table2[GameDate], "&lt;=" &amp; $A128, Table2[AwayTeam], Z$1)+SUMIFS(Table2[NewPointsHome],Table2[GameDate], "&lt;=" &amp; $A128, Table2[HomeTeam], Z$1)</f>
        <v>0</v>
      </c>
      <c r="AA128" s="145">
        <f>SUMIFS(Table2[NewPointsAway],Table2[GameDate], "&lt;=" &amp; $A128, Table2[AwayTeam], AA$1)+SUMIFS(Table2[NewPointsHome],Table2[GameDate], "&lt;=" &amp; $A128, Table2[HomeTeam], AA$1)</f>
        <v>0</v>
      </c>
      <c r="AB128" s="145">
        <f>SUMIFS(Table2[NewPointsAway],Table2[GameDate], "&lt;=" &amp; $A128, Table2[AwayTeam], AB$1)+SUMIFS(Table2[NewPointsHome],Table2[GameDate], "&lt;=" &amp; $A128, Table2[HomeTeam], AB$1)</f>
        <v>2</v>
      </c>
      <c r="AC128" s="145">
        <f>SUMIFS(Table2[NewPointsAway],Table2[GameDate], "&lt;=" &amp; $A128, Table2[AwayTeam], AC$1)+SUMIFS(Table2[NewPointsHome],Table2[GameDate], "&lt;=" &amp; $A128, Table2[HomeTeam], AC$1)</f>
        <v>0</v>
      </c>
      <c r="AD128" s="145">
        <f>SUMIFS(Table2[NewPointsAway],Table2[GameDate], "&lt;=" &amp; $A128, Table2[AwayTeam], AD$1)+SUMIFS(Table2[NewPointsHome],Table2[GameDate], "&lt;=" &amp; $A128, Table2[HomeTeam], AD$1)</f>
        <v>0</v>
      </c>
      <c r="AE128" s="145">
        <f>SUMIFS(Table2[NewPointsAway],Table2[GameDate], "&lt;=" &amp; $A128, Table2[AwayTeam], AE$1)+SUMIFS(Table2[NewPointsHome],Table2[GameDate], "&lt;=" &amp; $A128, Table2[HomeTeam], AE$1)</f>
        <v>1</v>
      </c>
      <c r="AF128" s="145">
        <f>SUMIFS(Table2[NewPointsAway],Table2[GameDate], "&lt;=" &amp; $A128, Table2[AwayTeam], AF$1)+SUMIFS(Table2[NewPointsHome],Table2[GameDate], "&lt;=" &amp; $A128, Table2[HomeTeam], AF$1)</f>
        <v>0</v>
      </c>
      <c r="AG128" s="145">
        <f>SUMIFS(Table2[NewPointsAway],Table2[GameDate], "&lt;=" &amp; $A128, Table2[AwayTeam], AG$1)+SUMIFS(Table2[NewPointsHome],Table2[GameDate], "&lt;=" &amp; $A128, Table2[HomeTeam], AG$1)</f>
        <v>0</v>
      </c>
    </row>
    <row r="129" spans="1:33" x14ac:dyDescent="0.25">
      <c r="A129" s="3">
        <v>46060</v>
      </c>
      <c r="B129" s="145">
        <f>SUMIFS(Table2[NewPointsAway],Table2[GameDate], "&lt;=" &amp; $A129, Table2[AwayTeam], B$1)+SUMIFS(Table2[NewPointsHome],Table2[GameDate], "&lt;=" &amp; $A129, Table2[HomeTeam], B$1)</f>
        <v>0</v>
      </c>
      <c r="C129" s="145">
        <f>SUMIFS(Table2[NewPointsAway],Table2[GameDate], "&lt;=" &amp; $A129, Table2[AwayTeam], C$1)+SUMIFS(Table2[NewPointsHome],Table2[GameDate], "&lt;=" &amp; $A129, Table2[HomeTeam], C$1)</f>
        <v>2</v>
      </c>
      <c r="D129" s="145">
        <f>SUMIFS(Table2[NewPointsAway],Table2[GameDate], "&lt;=" &amp; $A129, Table2[AwayTeam], D$1)+SUMIFS(Table2[NewPointsHome],Table2[GameDate], "&lt;=" &amp; $A129, Table2[HomeTeam], D$1)</f>
        <v>0</v>
      </c>
      <c r="E129" s="145">
        <f>SUMIFS(Table2[NewPointsAway],Table2[GameDate], "&lt;=" &amp; $A129, Table2[AwayTeam], E$1)+SUMIFS(Table2[NewPointsHome],Table2[GameDate], "&lt;=" &amp; $A129, Table2[HomeTeam], E$1)</f>
        <v>0</v>
      </c>
      <c r="F129" s="145">
        <f>SUMIFS(Table2[NewPointsAway],Table2[GameDate], "&lt;=" &amp; $A129, Table2[AwayTeam], F$1)+SUMIFS(Table2[NewPointsHome],Table2[GameDate], "&lt;=" &amp; $A129, Table2[HomeTeam], F$1)</f>
        <v>0</v>
      </c>
      <c r="G129" s="145">
        <f>SUMIFS(Table2[NewPointsAway],Table2[GameDate], "&lt;=" &amp; $A129, Table2[AwayTeam], G$1)+SUMIFS(Table2[NewPointsHome],Table2[GameDate], "&lt;=" &amp; $A129, Table2[HomeTeam], G$1)</f>
        <v>2</v>
      </c>
      <c r="H129" s="145">
        <f>SUMIFS(Table2[NewPointsAway],Table2[GameDate], "&lt;=" &amp; $A129, Table2[AwayTeam], H$1)+SUMIFS(Table2[NewPointsHome],Table2[GameDate], "&lt;=" &amp; $A129, Table2[HomeTeam], H$1)</f>
        <v>0</v>
      </c>
      <c r="I129" s="145">
        <f>SUMIFS(Table2[NewPointsAway],Table2[GameDate], "&lt;=" &amp; $A129, Table2[AwayTeam], I$1)+SUMIFS(Table2[NewPointsHome],Table2[GameDate], "&lt;=" &amp; $A129, Table2[HomeTeam], I$1)</f>
        <v>2</v>
      </c>
      <c r="J129" s="145">
        <f>SUMIFS(Table2[NewPointsAway],Table2[GameDate], "&lt;=" &amp; $A129, Table2[AwayTeam], J$1)+SUMIFS(Table2[NewPointsHome],Table2[GameDate], "&lt;=" &amp; $A129, Table2[HomeTeam], J$1)</f>
        <v>0</v>
      </c>
      <c r="K129" s="145">
        <f>SUMIFS(Table2[NewPointsAway],Table2[GameDate], "&lt;=" &amp; $A129, Table2[AwayTeam], K$1)+SUMIFS(Table2[NewPointsHome],Table2[GameDate], "&lt;=" &amp; $A129, Table2[HomeTeam], K$1)</f>
        <v>0</v>
      </c>
      <c r="L129" s="145">
        <f>SUMIFS(Table2[NewPointsAway],Table2[GameDate], "&lt;=" &amp; $A129, Table2[AwayTeam], L$1)+SUMIFS(Table2[NewPointsHome],Table2[GameDate], "&lt;=" &amp; $A129, Table2[HomeTeam], L$1)</f>
        <v>1</v>
      </c>
      <c r="M129" s="145">
        <f>SUMIFS(Table2[NewPointsAway],Table2[GameDate], "&lt;=" &amp; $A129, Table2[AwayTeam], M$1)+SUMIFS(Table2[NewPointsHome],Table2[GameDate], "&lt;=" &amp; $A129, Table2[HomeTeam], M$1)</f>
        <v>2</v>
      </c>
      <c r="N129" s="145">
        <f>SUMIFS(Table2[NewPointsAway],Table2[GameDate], "&lt;=" &amp; $A129, Table2[AwayTeam], N$1)+SUMIFS(Table2[NewPointsHome],Table2[GameDate], "&lt;=" &amp; $A129, Table2[HomeTeam], N$1)</f>
        <v>2</v>
      </c>
      <c r="O129" s="145">
        <f>SUMIFS(Table2[NewPointsAway],Table2[GameDate], "&lt;=" &amp; $A129, Table2[AwayTeam], O$1)+SUMIFS(Table2[NewPointsHome],Table2[GameDate], "&lt;=" &amp; $A129, Table2[HomeTeam], O$1)</f>
        <v>0</v>
      </c>
      <c r="P129" s="145">
        <f>SUMIFS(Table2[NewPointsAway],Table2[GameDate], "&lt;=" &amp; $A129, Table2[AwayTeam], P$1)+SUMIFS(Table2[NewPointsHome],Table2[GameDate], "&lt;=" &amp; $A129, Table2[HomeTeam], P$1)</f>
        <v>0</v>
      </c>
      <c r="Q129" s="145">
        <f>SUMIFS(Table2[NewPointsAway],Table2[GameDate], "&lt;=" &amp; $A129, Table2[AwayTeam], Q$1)+SUMIFS(Table2[NewPointsHome],Table2[GameDate], "&lt;=" &amp; $A129, Table2[HomeTeam], Q$1)</f>
        <v>0</v>
      </c>
      <c r="R129" s="145">
        <f>SUMIFS(Table2[NewPointsAway],Table2[GameDate], "&lt;=" &amp; $A129, Table2[AwayTeam], R$1)+SUMIFS(Table2[NewPointsHome],Table2[GameDate], "&lt;=" &amp; $A129, Table2[HomeTeam], R$1)</f>
        <v>0</v>
      </c>
      <c r="S129" s="145">
        <f>SUMIFS(Table2[NewPointsAway],Table2[GameDate], "&lt;=" &amp; $A129, Table2[AwayTeam], S$1)+SUMIFS(Table2[NewPointsHome],Table2[GameDate], "&lt;=" &amp; $A129, Table2[HomeTeam], S$1)</f>
        <v>0</v>
      </c>
      <c r="T129" s="145">
        <f>SUMIFS(Table2[NewPointsAway],Table2[GameDate], "&lt;=" &amp; $A129, Table2[AwayTeam], T$1)+SUMIFS(Table2[NewPointsHome],Table2[GameDate], "&lt;=" &amp; $A129, Table2[HomeTeam], T$1)</f>
        <v>0</v>
      </c>
      <c r="U129" s="145">
        <f>SUMIFS(Table2[NewPointsAway],Table2[GameDate], "&lt;=" &amp; $A129, Table2[AwayTeam], U$1)+SUMIFS(Table2[NewPointsHome],Table2[GameDate], "&lt;=" &amp; $A129, Table2[HomeTeam], U$1)</f>
        <v>0</v>
      </c>
      <c r="V129" s="145">
        <f>SUMIFS(Table2[NewPointsAway],Table2[GameDate], "&lt;=" &amp; $A129, Table2[AwayTeam], V$1)+SUMIFS(Table2[NewPointsHome],Table2[GameDate], "&lt;=" &amp; $A129, Table2[HomeTeam], V$1)</f>
        <v>0</v>
      </c>
      <c r="W129" s="145">
        <f>SUMIFS(Table2[NewPointsAway],Table2[GameDate], "&lt;=" &amp; $A129, Table2[AwayTeam], W$1)+SUMIFS(Table2[NewPointsHome],Table2[GameDate], "&lt;=" &amp; $A129, Table2[HomeTeam], W$1)</f>
        <v>2</v>
      </c>
      <c r="X129" s="145">
        <f>SUMIFS(Table2[NewPointsAway],Table2[GameDate], "&lt;=" &amp; $A129, Table2[AwayTeam], X$1)+SUMIFS(Table2[NewPointsHome],Table2[GameDate], "&lt;=" &amp; $A129, Table2[HomeTeam], X$1)</f>
        <v>0</v>
      </c>
      <c r="Y129" s="145">
        <f>SUMIFS(Table2[NewPointsAway],Table2[GameDate], "&lt;=" &amp; $A129, Table2[AwayTeam], Y$1)+SUMIFS(Table2[NewPointsHome],Table2[GameDate], "&lt;=" &amp; $A129, Table2[HomeTeam], Y$1)</f>
        <v>0</v>
      </c>
      <c r="Z129" s="145">
        <f>SUMIFS(Table2[NewPointsAway],Table2[GameDate], "&lt;=" &amp; $A129, Table2[AwayTeam], Z$1)+SUMIFS(Table2[NewPointsHome],Table2[GameDate], "&lt;=" &amp; $A129, Table2[HomeTeam], Z$1)</f>
        <v>0</v>
      </c>
      <c r="AA129" s="145">
        <f>SUMIFS(Table2[NewPointsAway],Table2[GameDate], "&lt;=" &amp; $A129, Table2[AwayTeam], AA$1)+SUMIFS(Table2[NewPointsHome],Table2[GameDate], "&lt;=" &amp; $A129, Table2[HomeTeam], AA$1)</f>
        <v>0</v>
      </c>
      <c r="AB129" s="145">
        <f>SUMIFS(Table2[NewPointsAway],Table2[GameDate], "&lt;=" &amp; $A129, Table2[AwayTeam], AB$1)+SUMIFS(Table2[NewPointsHome],Table2[GameDate], "&lt;=" &amp; $A129, Table2[HomeTeam], AB$1)</f>
        <v>2</v>
      </c>
      <c r="AC129" s="145">
        <f>SUMIFS(Table2[NewPointsAway],Table2[GameDate], "&lt;=" &amp; $A129, Table2[AwayTeam], AC$1)+SUMIFS(Table2[NewPointsHome],Table2[GameDate], "&lt;=" &amp; $A129, Table2[HomeTeam], AC$1)</f>
        <v>0</v>
      </c>
      <c r="AD129" s="145">
        <f>SUMIFS(Table2[NewPointsAway],Table2[GameDate], "&lt;=" &amp; $A129, Table2[AwayTeam], AD$1)+SUMIFS(Table2[NewPointsHome],Table2[GameDate], "&lt;=" &amp; $A129, Table2[HomeTeam], AD$1)</f>
        <v>0</v>
      </c>
      <c r="AE129" s="145">
        <f>SUMIFS(Table2[NewPointsAway],Table2[GameDate], "&lt;=" &amp; $A129, Table2[AwayTeam], AE$1)+SUMIFS(Table2[NewPointsHome],Table2[GameDate], "&lt;=" &amp; $A129, Table2[HomeTeam], AE$1)</f>
        <v>1</v>
      </c>
      <c r="AF129" s="145">
        <f>SUMIFS(Table2[NewPointsAway],Table2[GameDate], "&lt;=" &amp; $A129, Table2[AwayTeam], AF$1)+SUMIFS(Table2[NewPointsHome],Table2[GameDate], "&lt;=" &amp; $A129, Table2[HomeTeam], AF$1)</f>
        <v>0</v>
      </c>
      <c r="AG129" s="145">
        <f>SUMIFS(Table2[NewPointsAway],Table2[GameDate], "&lt;=" &amp; $A129, Table2[AwayTeam], AG$1)+SUMIFS(Table2[NewPointsHome],Table2[GameDate], "&lt;=" &amp; $A129, Table2[HomeTeam], AG$1)</f>
        <v>0</v>
      </c>
    </row>
    <row r="130" spans="1:33" x14ac:dyDescent="0.25">
      <c r="A130" s="3">
        <v>46061</v>
      </c>
      <c r="B130" s="145">
        <f>SUMIFS(Table2[NewPointsAway],Table2[GameDate], "&lt;=" &amp; $A130, Table2[AwayTeam], B$1)+SUMIFS(Table2[NewPointsHome],Table2[GameDate], "&lt;=" &amp; $A130, Table2[HomeTeam], B$1)</f>
        <v>0</v>
      </c>
      <c r="C130" s="145">
        <f>SUMIFS(Table2[NewPointsAway],Table2[GameDate], "&lt;=" &amp; $A130, Table2[AwayTeam], C$1)+SUMIFS(Table2[NewPointsHome],Table2[GameDate], "&lt;=" &amp; $A130, Table2[HomeTeam], C$1)</f>
        <v>2</v>
      </c>
      <c r="D130" s="145">
        <f>SUMIFS(Table2[NewPointsAway],Table2[GameDate], "&lt;=" &amp; $A130, Table2[AwayTeam], D$1)+SUMIFS(Table2[NewPointsHome],Table2[GameDate], "&lt;=" &amp; $A130, Table2[HomeTeam], D$1)</f>
        <v>0</v>
      </c>
      <c r="E130" s="145">
        <f>SUMIFS(Table2[NewPointsAway],Table2[GameDate], "&lt;=" &amp; $A130, Table2[AwayTeam], E$1)+SUMIFS(Table2[NewPointsHome],Table2[GameDate], "&lt;=" &amp; $A130, Table2[HomeTeam], E$1)</f>
        <v>0</v>
      </c>
      <c r="F130" s="145">
        <f>SUMIFS(Table2[NewPointsAway],Table2[GameDate], "&lt;=" &amp; $A130, Table2[AwayTeam], F$1)+SUMIFS(Table2[NewPointsHome],Table2[GameDate], "&lt;=" &amp; $A130, Table2[HomeTeam], F$1)</f>
        <v>0</v>
      </c>
      <c r="G130" s="145">
        <f>SUMIFS(Table2[NewPointsAway],Table2[GameDate], "&lt;=" &amp; $A130, Table2[AwayTeam], G$1)+SUMIFS(Table2[NewPointsHome],Table2[GameDate], "&lt;=" &amp; $A130, Table2[HomeTeam], G$1)</f>
        <v>2</v>
      </c>
      <c r="H130" s="145">
        <f>SUMIFS(Table2[NewPointsAway],Table2[GameDate], "&lt;=" &amp; $A130, Table2[AwayTeam], H$1)+SUMIFS(Table2[NewPointsHome],Table2[GameDate], "&lt;=" &amp; $A130, Table2[HomeTeam], H$1)</f>
        <v>0</v>
      </c>
      <c r="I130" s="145">
        <f>SUMIFS(Table2[NewPointsAway],Table2[GameDate], "&lt;=" &amp; $A130, Table2[AwayTeam], I$1)+SUMIFS(Table2[NewPointsHome],Table2[GameDate], "&lt;=" &amp; $A130, Table2[HomeTeam], I$1)</f>
        <v>2</v>
      </c>
      <c r="J130" s="145">
        <f>SUMIFS(Table2[NewPointsAway],Table2[GameDate], "&lt;=" &amp; $A130, Table2[AwayTeam], J$1)+SUMIFS(Table2[NewPointsHome],Table2[GameDate], "&lt;=" &amp; $A130, Table2[HomeTeam], J$1)</f>
        <v>0</v>
      </c>
      <c r="K130" s="145">
        <f>SUMIFS(Table2[NewPointsAway],Table2[GameDate], "&lt;=" &amp; $A130, Table2[AwayTeam], K$1)+SUMIFS(Table2[NewPointsHome],Table2[GameDate], "&lt;=" &amp; $A130, Table2[HomeTeam], K$1)</f>
        <v>0</v>
      </c>
      <c r="L130" s="145">
        <f>SUMIFS(Table2[NewPointsAway],Table2[GameDate], "&lt;=" &amp; $A130, Table2[AwayTeam], L$1)+SUMIFS(Table2[NewPointsHome],Table2[GameDate], "&lt;=" &amp; $A130, Table2[HomeTeam], L$1)</f>
        <v>1</v>
      </c>
      <c r="M130" s="145">
        <f>SUMIFS(Table2[NewPointsAway],Table2[GameDate], "&lt;=" &amp; $A130, Table2[AwayTeam], M$1)+SUMIFS(Table2[NewPointsHome],Table2[GameDate], "&lt;=" &amp; $A130, Table2[HomeTeam], M$1)</f>
        <v>2</v>
      </c>
      <c r="N130" s="145">
        <f>SUMIFS(Table2[NewPointsAway],Table2[GameDate], "&lt;=" &amp; $A130, Table2[AwayTeam], N$1)+SUMIFS(Table2[NewPointsHome],Table2[GameDate], "&lt;=" &amp; $A130, Table2[HomeTeam], N$1)</f>
        <v>2</v>
      </c>
      <c r="O130" s="145">
        <f>SUMIFS(Table2[NewPointsAway],Table2[GameDate], "&lt;=" &amp; $A130, Table2[AwayTeam], O$1)+SUMIFS(Table2[NewPointsHome],Table2[GameDate], "&lt;=" &amp; $A130, Table2[HomeTeam], O$1)</f>
        <v>0</v>
      </c>
      <c r="P130" s="145">
        <f>SUMIFS(Table2[NewPointsAway],Table2[GameDate], "&lt;=" &amp; $A130, Table2[AwayTeam], P$1)+SUMIFS(Table2[NewPointsHome],Table2[GameDate], "&lt;=" &amp; $A130, Table2[HomeTeam], P$1)</f>
        <v>0</v>
      </c>
      <c r="Q130" s="145">
        <f>SUMIFS(Table2[NewPointsAway],Table2[GameDate], "&lt;=" &amp; $A130, Table2[AwayTeam], Q$1)+SUMIFS(Table2[NewPointsHome],Table2[GameDate], "&lt;=" &amp; $A130, Table2[HomeTeam], Q$1)</f>
        <v>0</v>
      </c>
      <c r="R130" s="145">
        <f>SUMIFS(Table2[NewPointsAway],Table2[GameDate], "&lt;=" &amp; $A130, Table2[AwayTeam], R$1)+SUMIFS(Table2[NewPointsHome],Table2[GameDate], "&lt;=" &amp; $A130, Table2[HomeTeam], R$1)</f>
        <v>0</v>
      </c>
      <c r="S130" s="145">
        <f>SUMIFS(Table2[NewPointsAway],Table2[GameDate], "&lt;=" &amp; $A130, Table2[AwayTeam], S$1)+SUMIFS(Table2[NewPointsHome],Table2[GameDate], "&lt;=" &amp; $A130, Table2[HomeTeam], S$1)</f>
        <v>0</v>
      </c>
      <c r="T130" s="145">
        <f>SUMIFS(Table2[NewPointsAway],Table2[GameDate], "&lt;=" &amp; $A130, Table2[AwayTeam], T$1)+SUMIFS(Table2[NewPointsHome],Table2[GameDate], "&lt;=" &amp; $A130, Table2[HomeTeam], T$1)</f>
        <v>0</v>
      </c>
      <c r="U130" s="145">
        <f>SUMIFS(Table2[NewPointsAway],Table2[GameDate], "&lt;=" &amp; $A130, Table2[AwayTeam], U$1)+SUMIFS(Table2[NewPointsHome],Table2[GameDate], "&lt;=" &amp; $A130, Table2[HomeTeam], U$1)</f>
        <v>0</v>
      </c>
      <c r="V130" s="145">
        <f>SUMIFS(Table2[NewPointsAway],Table2[GameDate], "&lt;=" &amp; $A130, Table2[AwayTeam], V$1)+SUMIFS(Table2[NewPointsHome],Table2[GameDate], "&lt;=" &amp; $A130, Table2[HomeTeam], V$1)</f>
        <v>0</v>
      </c>
      <c r="W130" s="145">
        <f>SUMIFS(Table2[NewPointsAway],Table2[GameDate], "&lt;=" &amp; $A130, Table2[AwayTeam], W$1)+SUMIFS(Table2[NewPointsHome],Table2[GameDate], "&lt;=" &amp; $A130, Table2[HomeTeam], W$1)</f>
        <v>2</v>
      </c>
      <c r="X130" s="145">
        <f>SUMIFS(Table2[NewPointsAway],Table2[GameDate], "&lt;=" &amp; $A130, Table2[AwayTeam], X$1)+SUMIFS(Table2[NewPointsHome],Table2[GameDate], "&lt;=" &amp; $A130, Table2[HomeTeam], X$1)</f>
        <v>0</v>
      </c>
      <c r="Y130" s="145">
        <f>SUMIFS(Table2[NewPointsAway],Table2[GameDate], "&lt;=" &amp; $A130, Table2[AwayTeam], Y$1)+SUMIFS(Table2[NewPointsHome],Table2[GameDate], "&lt;=" &amp; $A130, Table2[HomeTeam], Y$1)</f>
        <v>0</v>
      </c>
      <c r="Z130" s="145">
        <f>SUMIFS(Table2[NewPointsAway],Table2[GameDate], "&lt;=" &amp; $A130, Table2[AwayTeam], Z$1)+SUMIFS(Table2[NewPointsHome],Table2[GameDate], "&lt;=" &amp; $A130, Table2[HomeTeam], Z$1)</f>
        <v>0</v>
      </c>
      <c r="AA130" s="145">
        <f>SUMIFS(Table2[NewPointsAway],Table2[GameDate], "&lt;=" &amp; $A130, Table2[AwayTeam], AA$1)+SUMIFS(Table2[NewPointsHome],Table2[GameDate], "&lt;=" &amp; $A130, Table2[HomeTeam], AA$1)</f>
        <v>0</v>
      </c>
      <c r="AB130" s="145">
        <f>SUMIFS(Table2[NewPointsAway],Table2[GameDate], "&lt;=" &amp; $A130, Table2[AwayTeam], AB$1)+SUMIFS(Table2[NewPointsHome],Table2[GameDate], "&lt;=" &amp; $A130, Table2[HomeTeam], AB$1)</f>
        <v>2</v>
      </c>
      <c r="AC130" s="145">
        <f>SUMIFS(Table2[NewPointsAway],Table2[GameDate], "&lt;=" &amp; $A130, Table2[AwayTeam], AC$1)+SUMIFS(Table2[NewPointsHome],Table2[GameDate], "&lt;=" &amp; $A130, Table2[HomeTeam], AC$1)</f>
        <v>0</v>
      </c>
      <c r="AD130" s="145">
        <f>SUMIFS(Table2[NewPointsAway],Table2[GameDate], "&lt;=" &amp; $A130, Table2[AwayTeam], AD$1)+SUMIFS(Table2[NewPointsHome],Table2[GameDate], "&lt;=" &amp; $A130, Table2[HomeTeam], AD$1)</f>
        <v>0</v>
      </c>
      <c r="AE130" s="145">
        <f>SUMIFS(Table2[NewPointsAway],Table2[GameDate], "&lt;=" &amp; $A130, Table2[AwayTeam], AE$1)+SUMIFS(Table2[NewPointsHome],Table2[GameDate], "&lt;=" &amp; $A130, Table2[HomeTeam], AE$1)</f>
        <v>1</v>
      </c>
      <c r="AF130" s="145">
        <f>SUMIFS(Table2[NewPointsAway],Table2[GameDate], "&lt;=" &amp; $A130, Table2[AwayTeam], AF$1)+SUMIFS(Table2[NewPointsHome],Table2[GameDate], "&lt;=" &amp; $A130, Table2[HomeTeam], AF$1)</f>
        <v>0</v>
      </c>
      <c r="AG130" s="145">
        <f>SUMIFS(Table2[NewPointsAway],Table2[GameDate], "&lt;=" &amp; $A130, Table2[AwayTeam], AG$1)+SUMIFS(Table2[NewPointsHome],Table2[GameDate], "&lt;=" &amp; $A130, Table2[HomeTeam], AG$1)</f>
        <v>0</v>
      </c>
    </row>
    <row r="131" spans="1:33" x14ac:dyDescent="0.25">
      <c r="A131" s="3">
        <v>46062</v>
      </c>
      <c r="B131" s="145">
        <f>SUMIFS(Table2[NewPointsAway],Table2[GameDate], "&lt;=" &amp; $A131, Table2[AwayTeam], B$1)+SUMIFS(Table2[NewPointsHome],Table2[GameDate], "&lt;=" &amp; $A131, Table2[HomeTeam], B$1)</f>
        <v>0</v>
      </c>
      <c r="C131" s="145">
        <f>SUMIFS(Table2[NewPointsAway],Table2[GameDate], "&lt;=" &amp; $A131, Table2[AwayTeam], C$1)+SUMIFS(Table2[NewPointsHome],Table2[GameDate], "&lt;=" &amp; $A131, Table2[HomeTeam], C$1)</f>
        <v>2</v>
      </c>
      <c r="D131" s="145">
        <f>SUMIFS(Table2[NewPointsAway],Table2[GameDate], "&lt;=" &amp; $A131, Table2[AwayTeam], D$1)+SUMIFS(Table2[NewPointsHome],Table2[GameDate], "&lt;=" &amp; $A131, Table2[HomeTeam], D$1)</f>
        <v>0</v>
      </c>
      <c r="E131" s="145">
        <f>SUMIFS(Table2[NewPointsAway],Table2[GameDate], "&lt;=" &amp; $A131, Table2[AwayTeam], E$1)+SUMIFS(Table2[NewPointsHome],Table2[GameDate], "&lt;=" &amp; $A131, Table2[HomeTeam], E$1)</f>
        <v>0</v>
      </c>
      <c r="F131" s="145">
        <f>SUMIFS(Table2[NewPointsAway],Table2[GameDate], "&lt;=" &amp; $A131, Table2[AwayTeam], F$1)+SUMIFS(Table2[NewPointsHome],Table2[GameDate], "&lt;=" &amp; $A131, Table2[HomeTeam], F$1)</f>
        <v>0</v>
      </c>
      <c r="G131" s="145">
        <f>SUMIFS(Table2[NewPointsAway],Table2[GameDate], "&lt;=" &amp; $A131, Table2[AwayTeam], G$1)+SUMIFS(Table2[NewPointsHome],Table2[GameDate], "&lt;=" &amp; $A131, Table2[HomeTeam], G$1)</f>
        <v>2</v>
      </c>
      <c r="H131" s="145">
        <f>SUMIFS(Table2[NewPointsAway],Table2[GameDate], "&lt;=" &amp; $A131, Table2[AwayTeam], H$1)+SUMIFS(Table2[NewPointsHome],Table2[GameDate], "&lt;=" &amp; $A131, Table2[HomeTeam], H$1)</f>
        <v>0</v>
      </c>
      <c r="I131" s="145">
        <f>SUMIFS(Table2[NewPointsAway],Table2[GameDate], "&lt;=" &amp; $A131, Table2[AwayTeam], I$1)+SUMIFS(Table2[NewPointsHome],Table2[GameDate], "&lt;=" &amp; $A131, Table2[HomeTeam], I$1)</f>
        <v>2</v>
      </c>
      <c r="J131" s="145">
        <f>SUMIFS(Table2[NewPointsAway],Table2[GameDate], "&lt;=" &amp; $A131, Table2[AwayTeam], J$1)+SUMIFS(Table2[NewPointsHome],Table2[GameDate], "&lt;=" &amp; $A131, Table2[HomeTeam], J$1)</f>
        <v>0</v>
      </c>
      <c r="K131" s="145">
        <f>SUMIFS(Table2[NewPointsAway],Table2[GameDate], "&lt;=" &amp; $A131, Table2[AwayTeam], K$1)+SUMIFS(Table2[NewPointsHome],Table2[GameDate], "&lt;=" &amp; $A131, Table2[HomeTeam], K$1)</f>
        <v>0</v>
      </c>
      <c r="L131" s="145">
        <f>SUMIFS(Table2[NewPointsAway],Table2[GameDate], "&lt;=" &amp; $A131, Table2[AwayTeam], L$1)+SUMIFS(Table2[NewPointsHome],Table2[GameDate], "&lt;=" &amp; $A131, Table2[HomeTeam], L$1)</f>
        <v>1</v>
      </c>
      <c r="M131" s="145">
        <f>SUMIFS(Table2[NewPointsAway],Table2[GameDate], "&lt;=" &amp; $A131, Table2[AwayTeam], M$1)+SUMIFS(Table2[NewPointsHome],Table2[GameDate], "&lt;=" &amp; $A131, Table2[HomeTeam], M$1)</f>
        <v>2</v>
      </c>
      <c r="N131" s="145">
        <f>SUMIFS(Table2[NewPointsAway],Table2[GameDate], "&lt;=" &amp; $A131, Table2[AwayTeam], N$1)+SUMIFS(Table2[NewPointsHome],Table2[GameDate], "&lt;=" &amp; $A131, Table2[HomeTeam], N$1)</f>
        <v>2</v>
      </c>
      <c r="O131" s="145">
        <f>SUMIFS(Table2[NewPointsAway],Table2[GameDate], "&lt;=" &amp; $A131, Table2[AwayTeam], O$1)+SUMIFS(Table2[NewPointsHome],Table2[GameDate], "&lt;=" &amp; $A131, Table2[HomeTeam], O$1)</f>
        <v>0</v>
      </c>
      <c r="P131" s="145">
        <f>SUMIFS(Table2[NewPointsAway],Table2[GameDate], "&lt;=" &amp; $A131, Table2[AwayTeam], P$1)+SUMIFS(Table2[NewPointsHome],Table2[GameDate], "&lt;=" &amp; $A131, Table2[HomeTeam], P$1)</f>
        <v>0</v>
      </c>
      <c r="Q131" s="145">
        <f>SUMIFS(Table2[NewPointsAway],Table2[GameDate], "&lt;=" &amp; $A131, Table2[AwayTeam], Q$1)+SUMIFS(Table2[NewPointsHome],Table2[GameDate], "&lt;=" &amp; $A131, Table2[HomeTeam], Q$1)</f>
        <v>0</v>
      </c>
      <c r="R131" s="145">
        <f>SUMIFS(Table2[NewPointsAway],Table2[GameDate], "&lt;=" &amp; $A131, Table2[AwayTeam], R$1)+SUMIFS(Table2[NewPointsHome],Table2[GameDate], "&lt;=" &amp; $A131, Table2[HomeTeam], R$1)</f>
        <v>0</v>
      </c>
      <c r="S131" s="145">
        <f>SUMIFS(Table2[NewPointsAway],Table2[GameDate], "&lt;=" &amp; $A131, Table2[AwayTeam], S$1)+SUMIFS(Table2[NewPointsHome],Table2[GameDate], "&lt;=" &amp; $A131, Table2[HomeTeam], S$1)</f>
        <v>0</v>
      </c>
      <c r="T131" s="145">
        <f>SUMIFS(Table2[NewPointsAway],Table2[GameDate], "&lt;=" &amp; $A131, Table2[AwayTeam], T$1)+SUMIFS(Table2[NewPointsHome],Table2[GameDate], "&lt;=" &amp; $A131, Table2[HomeTeam], T$1)</f>
        <v>0</v>
      </c>
      <c r="U131" s="145">
        <f>SUMIFS(Table2[NewPointsAway],Table2[GameDate], "&lt;=" &amp; $A131, Table2[AwayTeam], U$1)+SUMIFS(Table2[NewPointsHome],Table2[GameDate], "&lt;=" &amp; $A131, Table2[HomeTeam], U$1)</f>
        <v>0</v>
      </c>
      <c r="V131" s="145">
        <f>SUMIFS(Table2[NewPointsAway],Table2[GameDate], "&lt;=" &amp; $A131, Table2[AwayTeam], V$1)+SUMIFS(Table2[NewPointsHome],Table2[GameDate], "&lt;=" &amp; $A131, Table2[HomeTeam], V$1)</f>
        <v>0</v>
      </c>
      <c r="W131" s="145">
        <f>SUMIFS(Table2[NewPointsAway],Table2[GameDate], "&lt;=" &amp; $A131, Table2[AwayTeam], W$1)+SUMIFS(Table2[NewPointsHome],Table2[GameDate], "&lt;=" &amp; $A131, Table2[HomeTeam], W$1)</f>
        <v>2</v>
      </c>
      <c r="X131" s="145">
        <f>SUMIFS(Table2[NewPointsAway],Table2[GameDate], "&lt;=" &amp; $A131, Table2[AwayTeam], X$1)+SUMIFS(Table2[NewPointsHome],Table2[GameDate], "&lt;=" &amp; $A131, Table2[HomeTeam], X$1)</f>
        <v>0</v>
      </c>
      <c r="Y131" s="145">
        <f>SUMIFS(Table2[NewPointsAway],Table2[GameDate], "&lt;=" &amp; $A131, Table2[AwayTeam], Y$1)+SUMIFS(Table2[NewPointsHome],Table2[GameDate], "&lt;=" &amp; $A131, Table2[HomeTeam], Y$1)</f>
        <v>0</v>
      </c>
      <c r="Z131" s="145">
        <f>SUMIFS(Table2[NewPointsAway],Table2[GameDate], "&lt;=" &amp; $A131, Table2[AwayTeam], Z$1)+SUMIFS(Table2[NewPointsHome],Table2[GameDate], "&lt;=" &amp; $A131, Table2[HomeTeam], Z$1)</f>
        <v>0</v>
      </c>
      <c r="AA131" s="145">
        <f>SUMIFS(Table2[NewPointsAway],Table2[GameDate], "&lt;=" &amp; $A131, Table2[AwayTeam], AA$1)+SUMIFS(Table2[NewPointsHome],Table2[GameDate], "&lt;=" &amp; $A131, Table2[HomeTeam], AA$1)</f>
        <v>0</v>
      </c>
      <c r="AB131" s="145">
        <f>SUMIFS(Table2[NewPointsAway],Table2[GameDate], "&lt;=" &amp; $A131, Table2[AwayTeam], AB$1)+SUMIFS(Table2[NewPointsHome],Table2[GameDate], "&lt;=" &amp; $A131, Table2[HomeTeam], AB$1)</f>
        <v>2</v>
      </c>
      <c r="AC131" s="145">
        <f>SUMIFS(Table2[NewPointsAway],Table2[GameDate], "&lt;=" &amp; $A131, Table2[AwayTeam], AC$1)+SUMIFS(Table2[NewPointsHome],Table2[GameDate], "&lt;=" &amp; $A131, Table2[HomeTeam], AC$1)</f>
        <v>0</v>
      </c>
      <c r="AD131" s="145">
        <f>SUMIFS(Table2[NewPointsAway],Table2[GameDate], "&lt;=" &amp; $A131, Table2[AwayTeam], AD$1)+SUMIFS(Table2[NewPointsHome],Table2[GameDate], "&lt;=" &amp; $A131, Table2[HomeTeam], AD$1)</f>
        <v>0</v>
      </c>
      <c r="AE131" s="145">
        <f>SUMIFS(Table2[NewPointsAway],Table2[GameDate], "&lt;=" &amp; $A131, Table2[AwayTeam], AE$1)+SUMIFS(Table2[NewPointsHome],Table2[GameDate], "&lt;=" &amp; $A131, Table2[HomeTeam], AE$1)</f>
        <v>1</v>
      </c>
      <c r="AF131" s="145">
        <f>SUMIFS(Table2[NewPointsAway],Table2[GameDate], "&lt;=" &amp; $A131, Table2[AwayTeam], AF$1)+SUMIFS(Table2[NewPointsHome],Table2[GameDate], "&lt;=" &amp; $A131, Table2[HomeTeam], AF$1)</f>
        <v>0</v>
      </c>
      <c r="AG131" s="145">
        <f>SUMIFS(Table2[NewPointsAway],Table2[GameDate], "&lt;=" &amp; $A131, Table2[AwayTeam], AG$1)+SUMIFS(Table2[NewPointsHome],Table2[GameDate], "&lt;=" &amp; $A131, Table2[HomeTeam], AG$1)</f>
        <v>0</v>
      </c>
    </row>
    <row r="132" spans="1:33" x14ac:dyDescent="0.25">
      <c r="A132" s="3">
        <v>46063</v>
      </c>
      <c r="B132" s="145">
        <f>SUMIFS(Table2[NewPointsAway],Table2[GameDate], "&lt;=" &amp; $A132, Table2[AwayTeam], B$1)+SUMIFS(Table2[NewPointsHome],Table2[GameDate], "&lt;=" &amp; $A132, Table2[HomeTeam], B$1)</f>
        <v>0</v>
      </c>
      <c r="C132" s="145">
        <f>SUMIFS(Table2[NewPointsAway],Table2[GameDate], "&lt;=" &amp; $A132, Table2[AwayTeam], C$1)+SUMIFS(Table2[NewPointsHome],Table2[GameDate], "&lt;=" &amp; $A132, Table2[HomeTeam], C$1)</f>
        <v>2</v>
      </c>
      <c r="D132" s="145">
        <f>SUMIFS(Table2[NewPointsAway],Table2[GameDate], "&lt;=" &amp; $A132, Table2[AwayTeam], D$1)+SUMIFS(Table2[NewPointsHome],Table2[GameDate], "&lt;=" &amp; $A132, Table2[HomeTeam], D$1)</f>
        <v>0</v>
      </c>
      <c r="E132" s="145">
        <f>SUMIFS(Table2[NewPointsAway],Table2[GameDate], "&lt;=" &amp; $A132, Table2[AwayTeam], E$1)+SUMIFS(Table2[NewPointsHome],Table2[GameDate], "&lt;=" &amp; $A132, Table2[HomeTeam], E$1)</f>
        <v>0</v>
      </c>
      <c r="F132" s="145">
        <f>SUMIFS(Table2[NewPointsAway],Table2[GameDate], "&lt;=" &amp; $A132, Table2[AwayTeam], F$1)+SUMIFS(Table2[NewPointsHome],Table2[GameDate], "&lt;=" &amp; $A132, Table2[HomeTeam], F$1)</f>
        <v>0</v>
      </c>
      <c r="G132" s="145">
        <f>SUMIFS(Table2[NewPointsAway],Table2[GameDate], "&lt;=" &amp; $A132, Table2[AwayTeam], G$1)+SUMIFS(Table2[NewPointsHome],Table2[GameDate], "&lt;=" &amp; $A132, Table2[HomeTeam], G$1)</f>
        <v>2</v>
      </c>
      <c r="H132" s="145">
        <f>SUMIFS(Table2[NewPointsAway],Table2[GameDate], "&lt;=" &amp; $A132, Table2[AwayTeam], H$1)+SUMIFS(Table2[NewPointsHome],Table2[GameDate], "&lt;=" &amp; $A132, Table2[HomeTeam], H$1)</f>
        <v>0</v>
      </c>
      <c r="I132" s="145">
        <f>SUMIFS(Table2[NewPointsAway],Table2[GameDate], "&lt;=" &amp; $A132, Table2[AwayTeam], I$1)+SUMIFS(Table2[NewPointsHome],Table2[GameDate], "&lt;=" &amp; $A132, Table2[HomeTeam], I$1)</f>
        <v>2</v>
      </c>
      <c r="J132" s="145">
        <f>SUMIFS(Table2[NewPointsAway],Table2[GameDate], "&lt;=" &amp; $A132, Table2[AwayTeam], J$1)+SUMIFS(Table2[NewPointsHome],Table2[GameDate], "&lt;=" &amp; $A132, Table2[HomeTeam], J$1)</f>
        <v>0</v>
      </c>
      <c r="K132" s="145">
        <f>SUMIFS(Table2[NewPointsAway],Table2[GameDate], "&lt;=" &amp; $A132, Table2[AwayTeam], K$1)+SUMIFS(Table2[NewPointsHome],Table2[GameDate], "&lt;=" &amp; $A132, Table2[HomeTeam], K$1)</f>
        <v>0</v>
      </c>
      <c r="L132" s="145">
        <f>SUMIFS(Table2[NewPointsAway],Table2[GameDate], "&lt;=" &amp; $A132, Table2[AwayTeam], L$1)+SUMIFS(Table2[NewPointsHome],Table2[GameDate], "&lt;=" &amp; $A132, Table2[HomeTeam], L$1)</f>
        <v>1</v>
      </c>
      <c r="M132" s="145">
        <f>SUMIFS(Table2[NewPointsAway],Table2[GameDate], "&lt;=" &amp; $A132, Table2[AwayTeam], M$1)+SUMIFS(Table2[NewPointsHome],Table2[GameDate], "&lt;=" &amp; $A132, Table2[HomeTeam], M$1)</f>
        <v>2</v>
      </c>
      <c r="N132" s="145">
        <f>SUMIFS(Table2[NewPointsAway],Table2[GameDate], "&lt;=" &amp; $A132, Table2[AwayTeam], N$1)+SUMIFS(Table2[NewPointsHome],Table2[GameDate], "&lt;=" &amp; $A132, Table2[HomeTeam], N$1)</f>
        <v>2</v>
      </c>
      <c r="O132" s="145">
        <f>SUMIFS(Table2[NewPointsAway],Table2[GameDate], "&lt;=" &amp; $A132, Table2[AwayTeam], O$1)+SUMIFS(Table2[NewPointsHome],Table2[GameDate], "&lt;=" &amp; $A132, Table2[HomeTeam], O$1)</f>
        <v>0</v>
      </c>
      <c r="P132" s="145">
        <f>SUMIFS(Table2[NewPointsAway],Table2[GameDate], "&lt;=" &amp; $A132, Table2[AwayTeam], P$1)+SUMIFS(Table2[NewPointsHome],Table2[GameDate], "&lt;=" &amp; $A132, Table2[HomeTeam], P$1)</f>
        <v>0</v>
      </c>
      <c r="Q132" s="145">
        <f>SUMIFS(Table2[NewPointsAway],Table2[GameDate], "&lt;=" &amp; $A132, Table2[AwayTeam], Q$1)+SUMIFS(Table2[NewPointsHome],Table2[GameDate], "&lt;=" &amp; $A132, Table2[HomeTeam], Q$1)</f>
        <v>0</v>
      </c>
      <c r="R132" s="145">
        <f>SUMIFS(Table2[NewPointsAway],Table2[GameDate], "&lt;=" &amp; $A132, Table2[AwayTeam], R$1)+SUMIFS(Table2[NewPointsHome],Table2[GameDate], "&lt;=" &amp; $A132, Table2[HomeTeam], R$1)</f>
        <v>0</v>
      </c>
      <c r="S132" s="145">
        <f>SUMIFS(Table2[NewPointsAway],Table2[GameDate], "&lt;=" &amp; $A132, Table2[AwayTeam], S$1)+SUMIFS(Table2[NewPointsHome],Table2[GameDate], "&lt;=" &amp; $A132, Table2[HomeTeam], S$1)</f>
        <v>0</v>
      </c>
      <c r="T132" s="145">
        <f>SUMIFS(Table2[NewPointsAway],Table2[GameDate], "&lt;=" &amp; $A132, Table2[AwayTeam], T$1)+SUMIFS(Table2[NewPointsHome],Table2[GameDate], "&lt;=" &amp; $A132, Table2[HomeTeam], T$1)</f>
        <v>0</v>
      </c>
      <c r="U132" s="145">
        <f>SUMIFS(Table2[NewPointsAway],Table2[GameDate], "&lt;=" &amp; $A132, Table2[AwayTeam], U$1)+SUMIFS(Table2[NewPointsHome],Table2[GameDate], "&lt;=" &amp; $A132, Table2[HomeTeam], U$1)</f>
        <v>0</v>
      </c>
      <c r="V132" s="145">
        <f>SUMIFS(Table2[NewPointsAway],Table2[GameDate], "&lt;=" &amp; $A132, Table2[AwayTeam], V$1)+SUMIFS(Table2[NewPointsHome],Table2[GameDate], "&lt;=" &amp; $A132, Table2[HomeTeam], V$1)</f>
        <v>0</v>
      </c>
      <c r="W132" s="145">
        <f>SUMIFS(Table2[NewPointsAway],Table2[GameDate], "&lt;=" &amp; $A132, Table2[AwayTeam], W$1)+SUMIFS(Table2[NewPointsHome],Table2[GameDate], "&lt;=" &amp; $A132, Table2[HomeTeam], W$1)</f>
        <v>2</v>
      </c>
      <c r="X132" s="145">
        <f>SUMIFS(Table2[NewPointsAway],Table2[GameDate], "&lt;=" &amp; $A132, Table2[AwayTeam], X$1)+SUMIFS(Table2[NewPointsHome],Table2[GameDate], "&lt;=" &amp; $A132, Table2[HomeTeam], X$1)</f>
        <v>0</v>
      </c>
      <c r="Y132" s="145">
        <f>SUMIFS(Table2[NewPointsAway],Table2[GameDate], "&lt;=" &amp; $A132, Table2[AwayTeam], Y$1)+SUMIFS(Table2[NewPointsHome],Table2[GameDate], "&lt;=" &amp; $A132, Table2[HomeTeam], Y$1)</f>
        <v>0</v>
      </c>
      <c r="Z132" s="145">
        <f>SUMIFS(Table2[NewPointsAway],Table2[GameDate], "&lt;=" &amp; $A132, Table2[AwayTeam], Z$1)+SUMIFS(Table2[NewPointsHome],Table2[GameDate], "&lt;=" &amp; $A132, Table2[HomeTeam], Z$1)</f>
        <v>0</v>
      </c>
      <c r="AA132" s="145">
        <f>SUMIFS(Table2[NewPointsAway],Table2[GameDate], "&lt;=" &amp; $A132, Table2[AwayTeam], AA$1)+SUMIFS(Table2[NewPointsHome],Table2[GameDate], "&lt;=" &amp; $A132, Table2[HomeTeam], AA$1)</f>
        <v>0</v>
      </c>
      <c r="AB132" s="145">
        <f>SUMIFS(Table2[NewPointsAway],Table2[GameDate], "&lt;=" &amp; $A132, Table2[AwayTeam], AB$1)+SUMIFS(Table2[NewPointsHome],Table2[GameDate], "&lt;=" &amp; $A132, Table2[HomeTeam], AB$1)</f>
        <v>2</v>
      </c>
      <c r="AC132" s="145">
        <f>SUMIFS(Table2[NewPointsAway],Table2[GameDate], "&lt;=" &amp; $A132, Table2[AwayTeam], AC$1)+SUMIFS(Table2[NewPointsHome],Table2[GameDate], "&lt;=" &amp; $A132, Table2[HomeTeam], AC$1)</f>
        <v>0</v>
      </c>
      <c r="AD132" s="145">
        <f>SUMIFS(Table2[NewPointsAway],Table2[GameDate], "&lt;=" &amp; $A132, Table2[AwayTeam], AD$1)+SUMIFS(Table2[NewPointsHome],Table2[GameDate], "&lt;=" &amp; $A132, Table2[HomeTeam], AD$1)</f>
        <v>0</v>
      </c>
      <c r="AE132" s="145">
        <f>SUMIFS(Table2[NewPointsAway],Table2[GameDate], "&lt;=" &amp; $A132, Table2[AwayTeam], AE$1)+SUMIFS(Table2[NewPointsHome],Table2[GameDate], "&lt;=" &amp; $A132, Table2[HomeTeam], AE$1)</f>
        <v>1</v>
      </c>
      <c r="AF132" s="145">
        <f>SUMIFS(Table2[NewPointsAway],Table2[GameDate], "&lt;=" &amp; $A132, Table2[AwayTeam], AF$1)+SUMIFS(Table2[NewPointsHome],Table2[GameDate], "&lt;=" &amp; $A132, Table2[HomeTeam], AF$1)</f>
        <v>0</v>
      </c>
      <c r="AG132" s="145">
        <f>SUMIFS(Table2[NewPointsAway],Table2[GameDate], "&lt;=" &amp; $A132, Table2[AwayTeam], AG$1)+SUMIFS(Table2[NewPointsHome],Table2[GameDate], "&lt;=" &amp; $A132, Table2[HomeTeam], AG$1)</f>
        <v>0</v>
      </c>
    </row>
    <row r="133" spans="1:33" x14ac:dyDescent="0.25">
      <c r="A133" s="3">
        <v>46064</v>
      </c>
      <c r="B133" s="145">
        <f>SUMIFS(Table2[NewPointsAway],Table2[GameDate], "&lt;=" &amp; $A133, Table2[AwayTeam], B$1)+SUMIFS(Table2[NewPointsHome],Table2[GameDate], "&lt;=" &amp; $A133, Table2[HomeTeam], B$1)</f>
        <v>0</v>
      </c>
      <c r="C133" s="145">
        <f>SUMIFS(Table2[NewPointsAway],Table2[GameDate], "&lt;=" &amp; $A133, Table2[AwayTeam], C$1)+SUMIFS(Table2[NewPointsHome],Table2[GameDate], "&lt;=" &amp; $A133, Table2[HomeTeam], C$1)</f>
        <v>2</v>
      </c>
      <c r="D133" s="145">
        <f>SUMIFS(Table2[NewPointsAway],Table2[GameDate], "&lt;=" &amp; $A133, Table2[AwayTeam], D$1)+SUMIFS(Table2[NewPointsHome],Table2[GameDate], "&lt;=" &amp; $A133, Table2[HomeTeam], D$1)</f>
        <v>0</v>
      </c>
      <c r="E133" s="145">
        <f>SUMIFS(Table2[NewPointsAway],Table2[GameDate], "&lt;=" &amp; $A133, Table2[AwayTeam], E$1)+SUMIFS(Table2[NewPointsHome],Table2[GameDate], "&lt;=" &amp; $A133, Table2[HomeTeam], E$1)</f>
        <v>0</v>
      </c>
      <c r="F133" s="145">
        <f>SUMIFS(Table2[NewPointsAway],Table2[GameDate], "&lt;=" &amp; $A133, Table2[AwayTeam], F$1)+SUMIFS(Table2[NewPointsHome],Table2[GameDate], "&lt;=" &amp; $A133, Table2[HomeTeam], F$1)</f>
        <v>0</v>
      </c>
      <c r="G133" s="145">
        <f>SUMIFS(Table2[NewPointsAway],Table2[GameDate], "&lt;=" &amp; $A133, Table2[AwayTeam], G$1)+SUMIFS(Table2[NewPointsHome],Table2[GameDate], "&lt;=" &amp; $A133, Table2[HomeTeam], G$1)</f>
        <v>2</v>
      </c>
      <c r="H133" s="145">
        <f>SUMIFS(Table2[NewPointsAway],Table2[GameDate], "&lt;=" &amp; $A133, Table2[AwayTeam], H$1)+SUMIFS(Table2[NewPointsHome],Table2[GameDate], "&lt;=" &amp; $A133, Table2[HomeTeam], H$1)</f>
        <v>0</v>
      </c>
      <c r="I133" s="145">
        <f>SUMIFS(Table2[NewPointsAway],Table2[GameDate], "&lt;=" &amp; $A133, Table2[AwayTeam], I$1)+SUMIFS(Table2[NewPointsHome],Table2[GameDate], "&lt;=" &amp; $A133, Table2[HomeTeam], I$1)</f>
        <v>2</v>
      </c>
      <c r="J133" s="145">
        <f>SUMIFS(Table2[NewPointsAway],Table2[GameDate], "&lt;=" &amp; $A133, Table2[AwayTeam], J$1)+SUMIFS(Table2[NewPointsHome],Table2[GameDate], "&lt;=" &amp; $A133, Table2[HomeTeam], J$1)</f>
        <v>0</v>
      </c>
      <c r="K133" s="145">
        <f>SUMIFS(Table2[NewPointsAway],Table2[GameDate], "&lt;=" &amp; $A133, Table2[AwayTeam], K$1)+SUMIFS(Table2[NewPointsHome],Table2[GameDate], "&lt;=" &amp; $A133, Table2[HomeTeam], K$1)</f>
        <v>0</v>
      </c>
      <c r="L133" s="145">
        <f>SUMIFS(Table2[NewPointsAway],Table2[GameDate], "&lt;=" &amp; $A133, Table2[AwayTeam], L$1)+SUMIFS(Table2[NewPointsHome],Table2[GameDate], "&lt;=" &amp; $A133, Table2[HomeTeam], L$1)</f>
        <v>1</v>
      </c>
      <c r="M133" s="145">
        <f>SUMIFS(Table2[NewPointsAway],Table2[GameDate], "&lt;=" &amp; $A133, Table2[AwayTeam], M$1)+SUMIFS(Table2[NewPointsHome],Table2[GameDate], "&lt;=" &amp; $A133, Table2[HomeTeam], M$1)</f>
        <v>2</v>
      </c>
      <c r="N133" s="145">
        <f>SUMIFS(Table2[NewPointsAway],Table2[GameDate], "&lt;=" &amp; $A133, Table2[AwayTeam], N$1)+SUMIFS(Table2[NewPointsHome],Table2[GameDate], "&lt;=" &amp; $A133, Table2[HomeTeam], N$1)</f>
        <v>2</v>
      </c>
      <c r="O133" s="145">
        <f>SUMIFS(Table2[NewPointsAway],Table2[GameDate], "&lt;=" &amp; $A133, Table2[AwayTeam], O$1)+SUMIFS(Table2[NewPointsHome],Table2[GameDate], "&lt;=" &amp; $A133, Table2[HomeTeam], O$1)</f>
        <v>0</v>
      </c>
      <c r="P133" s="145">
        <f>SUMIFS(Table2[NewPointsAway],Table2[GameDate], "&lt;=" &amp; $A133, Table2[AwayTeam], P$1)+SUMIFS(Table2[NewPointsHome],Table2[GameDate], "&lt;=" &amp; $A133, Table2[HomeTeam], P$1)</f>
        <v>0</v>
      </c>
      <c r="Q133" s="145">
        <f>SUMIFS(Table2[NewPointsAway],Table2[GameDate], "&lt;=" &amp; $A133, Table2[AwayTeam], Q$1)+SUMIFS(Table2[NewPointsHome],Table2[GameDate], "&lt;=" &amp; $A133, Table2[HomeTeam], Q$1)</f>
        <v>0</v>
      </c>
      <c r="R133" s="145">
        <f>SUMIFS(Table2[NewPointsAway],Table2[GameDate], "&lt;=" &amp; $A133, Table2[AwayTeam], R$1)+SUMIFS(Table2[NewPointsHome],Table2[GameDate], "&lt;=" &amp; $A133, Table2[HomeTeam], R$1)</f>
        <v>0</v>
      </c>
      <c r="S133" s="145">
        <f>SUMIFS(Table2[NewPointsAway],Table2[GameDate], "&lt;=" &amp; $A133, Table2[AwayTeam], S$1)+SUMIFS(Table2[NewPointsHome],Table2[GameDate], "&lt;=" &amp; $A133, Table2[HomeTeam], S$1)</f>
        <v>0</v>
      </c>
      <c r="T133" s="145">
        <f>SUMIFS(Table2[NewPointsAway],Table2[GameDate], "&lt;=" &amp; $A133, Table2[AwayTeam], T$1)+SUMIFS(Table2[NewPointsHome],Table2[GameDate], "&lt;=" &amp; $A133, Table2[HomeTeam], T$1)</f>
        <v>0</v>
      </c>
      <c r="U133" s="145">
        <f>SUMIFS(Table2[NewPointsAway],Table2[GameDate], "&lt;=" &amp; $A133, Table2[AwayTeam], U$1)+SUMIFS(Table2[NewPointsHome],Table2[GameDate], "&lt;=" &amp; $A133, Table2[HomeTeam], U$1)</f>
        <v>0</v>
      </c>
      <c r="V133" s="145">
        <f>SUMIFS(Table2[NewPointsAway],Table2[GameDate], "&lt;=" &amp; $A133, Table2[AwayTeam], V$1)+SUMIFS(Table2[NewPointsHome],Table2[GameDate], "&lt;=" &amp; $A133, Table2[HomeTeam], V$1)</f>
        <v>0</v>
      </c>
      <c r="W133" s="145">
        <f>SUMIFS(Table2[NewPointsAway],Table2[GameDate], "&lt;=" &amp; $A133, Table2[AwayTeam], W$1)+SUMIFS(Table2[NewPointsHome],Table2[GameDate], "&lt;=" &amp; $A133, Table2[HomeTeam], W$1)</f>
        <v>2</v>
      </c>
      <c r="X133" s="145">
        <f>SUMIFS(Table2[NewPointsAway],Table2[GameDate], "&lt;=" &amp; $A133, Table2[AwayTeam], X$1)+SUMIFS(Table2[NewPointsHome],Table2[GameDate], "&lt;=" &amp; $A133, Table2[HomeTeam], X$1)</f>
        <v>0</v>
      </c>
      <c r="Y133" s="145">
        <f>SUMIFS(Table2[NewPointsAway],Table2[GameDate], "&lt;=" &amp; $A133, Table2[AwayTeam], Y$1)+SUMIFS(Table2[NewPointsHome],Table2[GameDate], "&lt;=" &amp; $A133, Table2[HomeTeam], Y$1)</f>
        <v>0</v>
      </c>
      <c r="Z133" s="145">
        <f>SUMIFS(Table2[NewPointsAway],Table2[GameDate], "&lt;=" &amp; $A133, Table2[AwayTeam], Z$1)+SUMIFS(Table2[NewPointsHome],Table2[GameDate], "&lt;=" &amp; $A133, Table2[HomeTeam], Z$1)</f>
        <v>0</v>
      </c>
      <c r="AA133" s="145">
        <f>SUMIFS(Table2[NewPointsAway],Table2[GameDate], "&lt;=" &amp; $A133, Table2[AwayTeam], AA$1)+SUMIFS(Table2[NewPointsHome],Table2[GameDate], "&lt;=" &amp; $A133, Table2[HomeTeam], AA$1)</f>
        <v>0</v>
      </c>
      <c r="AB133" s="145">
        <f>SUMIFS(Table2[NewPointsAway],Table2[GameDate], "&lt;=" &amp; $A133, Table2[AwayTeam], AB$1)+SUMIFS(Table2[NewPointsHome],Table2[GameDate], "&lt;=" &amp; $A133, Table2[HomeTeam], AB$1)</f>
        <v>2</v>
      </c>
      <c r="AC133" s="145">
        <f>SUMIFS(Table2[NewPointsAway],Table2[GameDate], "&lt;=" &amp; $A133, Table2[AwayTeam], AC$1)+SUMIFS(Table2[NewPointsHome],Table2[GameDate], "&lt;=" &amp; $A133, Table2[HomeTeam], AC$1)</f>
        <v>0</v>
      </c>
      <c r="AD133" s="145">
        <f>SUMIFS(Table2[NewPointsAway],Table2[GameDate], "&lt;=" &amp; $A133, Table2[AwayTeam], AD$1)+SUMIFS(Table2[NewPointsHome],Table2[GameDate], "&lt;=" &amp; $A133, Table2[HomeTeam], AD$1)</f>
        <v>0</v>
      </c>
      <c r="AE133" s="145">
        <f>SUMIFS(Table2[NewPointsAway],Table2[GameDate], "&lt;=" &amp; $A133, Table2[AwayTeam], AE$1)+SUMIFS(Table2[NewPointsHome],Table2[GameDate], "&lt;=" &amp; $A133, Table2[HomeTeam], AE$1)</f>
        <v>1</v>
      </c>
      <c r="AF133" s="145">
        <f>SUMIFS(Table2[NewPointsAway],Table2[GameDate], "&lt;=" &amp; $A133, Table2[AwayTeam], AF$1)+SUMIFS(Table2[NewPointsHome],Table2[GameDate], "&lt;=" &amp; $A133, Table2[HomeTeam], AF$1)</f>
        <v>0</v>
      </c>
      <c r="AG133" s="145">
        <f>SUMIFS(Table2[NewPointsAway],Table2[GameDate], "&lt;=" &amp; $A133, Table2[AwayTeam], AG$1)+SUMIFS(Table2[NewPointsHome],Table2[GameDate], "&lt;=" &amp; $A133, Table2[HomeTeam], AG$1)</f>
        <v>0</v>
      </c>
    </row>
    <row r="134" spans="1:33" x14ac:dyDescent="0.25">
      <c r="A134" s="3">
        <v>46065</v>
      </c>
      <c r="B134" s="145">
        <f>SUMIFS(Table2[NewPointsAway],Table2[GameDate], "&lt;=" &amp; $A134, Table2[AwayTeam], B$1)+SUMIFS(Table2[NewPointsHome],Table2[GameDate], "&lt;=" &amp; $A134, Table2[HomeTeam], B$1)</f>
        <v>0</v>
      </c>
      <c r="C134" s="145">
        <f>SUMIFS(Table2[NewPointsAway],Table2[GameDate], "&lt;=" &amp; $A134, Table2[AwayTeam], C$1)+SUMIFS(Table2[NewPointsHome],Table2[GameDate], "&lt;=" &amp; $A134, Table2[HomeTeam], C$1)</f>
        <v>2</v>
      </c>
      <c r="D134" s="145">
        <f>SUMIFS(Table2[NewPointsAway],Table2[GameDate], "&lt;=" &amp; $A134, Table2[AwayTeam], D$1)+SUMIFS(Table2[NewPointsHome],Table2[GameDate], "&lt;=" &amp; $A134, Table2[HomeTeam], D$1)</f>
        <v>0</v>
      </c>
      <c r="E134" s="145">
        <f>SUMIFS(Table2[NewPointsAway],Table2[GameDate], "&lt;=" &amp; $A134, Table2[AwayTeam], E$1)+SUMIFS(Table2[NewPointsHome],Table2[GameDate], "&lt;=" &amp; $A134, Table2[HomeTeam], E$1)</f>
        <v>0</v>
      </c>
      <c r="F134" s="145">
        <f>SUMIFS(Table2[NewPointsAway],Table2[GameDate], "&lt;=" &amp; $A134, Table2[AwayTeam], F$1)+SUMIFS(Table2[NewPointsHome],Table2[GameDate], "&lt;=" &amp; $A134, Table2[HomeTeam], F$1)</f>
        <v>0</v>
      </c>
      <c r="G134" s="145">
        <f>SUMIFS(Table2[NewPointsAway],Table2[GameDate], "&lt;=" &amp; $A134, Table2[AwayTeam], G$1)+SUMIFS(Table2[NewPointsHome],Table2[GameDate], "&lt;=" &amp; $A134, Table2[HomeTeam], G$1)</f>
        <v>2</v>
      </c>
      <c r="H134" s="145">
        <f>SUMIFS(Table2[NewPointsAway],Table2[GameDate], "&lt;=" &amp; $A134, Table2[AwayTeam], H$1)+SUMIFS(Table2[NewPointsHome],Table2[GameDate], "&lt;=" &amp; $A134, Table2[HomeTeam], H$1)</f>
        <v>0</v>
      </c>
      <c r="I134" s="145">
        <f>SUMIFS(Table2[NewPointsAway],Table2[GameDate], "&lt;=" &amp; $A134, Table2[AwayTeam], I$1)+SUMIFS(Table2[NewPointsHome],Table2[GameDate], "&lt;=" &amp; $A134, Table2[HomeTeam], I$1)</f>
        <v>2</v>
      </c>
      <c r="J134" s="145">
        <f>SUMIFS(Table2[NewPointsAway],Table2[GameDate], "&lt;=" &amp; $A134, Table2[AwayTeam], J$1)+SUMIFS(Table2[NewPointsHome],Table2[GameDate], "&lt;=" &amp; $A134, Table2[HomeTeam], J$1)</f>
        <v>0</v>
      </c>
      <c r="K134" s="145">
        <f>SUMIFS(Table2[NewPointsAway],Table2[GameDate], "&lt;=" &amp; $A134, Table2[AwayTeam], K$1)+SUMIFS(Table2[NewPointsHome],Table2[GameDate], "&lt;=" &amp; $A134, Table2[HomeTeam], K$1)</f>
        <v>0</v>
      </c>
      <c r="L134" s="145">
        <f>SUMIFS(Table2[NewPointsAway],Table2[GameDate], "&lt;=" &amp; $A134, Table2[AwayTeam], L$1)+SUMIFS(Table2[NewPointsHome],Table2[GameDate], "&lt;=" &amp; $A134, Table2[HomeTeam], L$1)</f>
        <v>1</v>
      </c>
      <c r="M134" s="145">
        <f>SUMIFS(Table2[NewPointsAway],Table2[GameDate], "&lt;=" &amp; $A134, Table2[AwayTeam], M$1)+SUMIFS(Table2[NewPointsHome],Table2[GameDate], "&lt;=" &amp; $A134, Table2[HomeTeam], M$1)</f>
        <v>2</v>
      </c>
      <c r="N134" s="145">
        <f>SUMIFS(Table2[NewPointsAway],Table2[GameDate], "&lt;=" &amp; $A134, Table2[AwayTeam], N$1)+SUMIFS(Table2[NewPointsHome],Table2[GameDate], "&lt;=" &amp; $A134, Table2[HomeTeam], N$1)</f>
        <v>2</v>
      </c>
      <c r="O134" s="145">
        <f>SUMIFS(Table2[NewPointsAway],Table2[GameDate], "&lt;=" &amp; $A134, Table2[AwayTeam], O$1)+SUMIFS(Table2[NewPointsHome],Table2[GameDate], "&lt;=" &amp; $A134, Table2[HomeTeam], O$1)</f>
        <v>0</v>
      </c>
      <c r="P134" s="145">
        <f>SUMIFS(Table2[NewPointsAway],Table2[GameDate], "&lt;=" &amp; $A134, Table2[AwayTeam], P$1)+SUMIFS(Table2[NewPointsHome],Table2[GameDate], "&lt;=" &amp; $A134, Table2[HomeTeam], P$1)</f>
        <v>0</v>
      </c>
      <c r="Q134" s="145">
        <f>SUMIFS(Table2[NewPointsAway],Table2[GameDate], "&lt;=" &amp; $A134, Table2[AwayTeam], Q$1)+SUMIFS(Table2[NewPointsHome],Table2[GameDate], "&lt;=" &amp; $A134, Table2[HomeTeam], Q$1)</f>
        <v>0</v>
      </c>
      <c r="R134" s="145">
        <f>SUMIFS(Table2[NewPointsAway],Table2[GameDate], "&lt;=" &amp; $A134, Table2[AwayTeam], R$1)+SUMIFS(Table2[NewPointsHome],Table2[GameDate], "&lt;=" &amp; $A134, Table2[HomeTeam], R$1)</f>
        <v>0</v>
      </c>
      <c r="S134" s="145">
        <f>SUMIFS(Table2[NewPointsAway],Table2[GameDate], "&lt;=" &amp; $A134, Table2[AwayTeam], S$1)+SUMIFS(Table2[NewPointsHome],Table2[GameDate], "&lt;=" &amp; $A134, Table2[HomeTeam], S$1)</f>
        <v>0</v>
      </c>
      <c r="T134" s="145">
        <f>SUMIFS(Table2[NewPointsAway],Table2[GameDate], "&lt;=" &amp; $A134, Table2[AwayTeam], T$1)+SUMIFS(Table2[NewPointsHome],Table2[GameDate], "&lt;=" &amp; $A134, Table2[HomeTeam], T$1)</f>
        <v>0</v>
      </c>
      <c r="U134" s="145">
        <f>SUMIFS(Table2[NewPointsAway],Table2[GameDate], "&lt;=" &amp; $A134, Table2[AwayTeam], U$1)+SUMIFS(Table2[NewPointsHome],Table2[GameDate], "&lt;=" &amp; $A134, Table2[HomeTeam], U$1)</f>
        <v>0</v>
      </c>
      <c r="V134" s="145">
        <f>SUMIFS(Table2[NewPointsAway],Table2[GameDate], "&lt;=" &amp; $A134, Table2[AwayTeam], V$1)+SUMIFS(Table2[NewPointsHome],Table2[GameDate], "&lt;=" &amp; $A134, Table2[HomeTeam], V$1)</f>
        <v>0</v>
      </c>
      <c r="W134" s="145">
        <f>SUMIFS(Table2[NewPointsAway],Table2[GameDate], "&lt;=" &amp; $A134, Table2[AwayTeam], W$1)+SUMIFS(Table2[NewPointsHome],Table2[GameDate], "&lt;=" &amp; $A134, Table2[HomeTeam], W$1)</f>
        <v>2</v>
      </c>
      <c r="X134" s="145">
        <f>SUMIFS(Table2[NewPointsAway],Table2[GameDate], "&lt;=" &amp; $A134, Table2[AwayTeam], X$1)+SUMIFS(Table2[NewPointsHome],Table2[GameDate], "&lt;=" &amp; $A134, Table2[HomeTeam], X$1)</f>
        <v>0</v>
      </c>
      <c r="Y134" s="145">
        <f>SUMIFS(Table2[NewPointsAway],Table2[GameDate], "&lt;=" &amp; $A134, Table2[AwayTeam], Y$1)+SUMIFS(Table2[NewPointsHome],Table2[GameDate], "&lt;=" &amp; $A134, Table2[HomeTeam], Y$1)</f>
        <v>0</v>
      </c>
      <c r="Z134" s="145">
        <f>SUMIFS(Table2[NewPointsAway],Table2[GameDate], "&lt;=" &amp; $A134, Table2[AwayTeam], Z$1)+SUMIFS(Table2[NewPointsHome],Table2[GameDate], "&lt;=" &amp; $A134, Table2[HomeTeam], Z$1)</f>
        <v>0</v>
      </c>
      <c r="AA134" s="145">
        <f>SUMIFS(Table2[NewPointsAway],Table2[GameDate], "&lt;=" &amp; $A134, Table2[AwayTeam], AA$1)+SUMIFS(Table2[NewPointsHome],Table2[GameDate], "&lt;=" &amp; $A134, Table2[HomeTeam], AA$1)</f>
        <v>0</v>
      </c>
      <c r="AB134" s="145">
        <f>SUMIFS(Table2[NewPointsAway],Table2[GameDate], "&lt;=" &amp; $A134, Table2[AwayTeam], AB$1)+SUMIFS(Table2[NewPointsHome],Table2[GameDate], "&lt;=" &amp; $A134, Table2[HomeTeam], AB$1)</f>
        <v>2</v>
      </c>
      <c r="AC134" s="145">
        <f>SUMIFS(Table2[NewPointsAway],Table2[GameDate], "&lt;=" &amp; $A134, Table2[AwayTeam], AC$1)+SUMIFS(Table2[NewPointsHome],Table2[GameDate], "&lt;=" &amp; $A134, Table2[HomeTeam], AC$1)</f>
        <v>0</v>
      </c>
      <c r="AD134" s="145">
        <f>SUMIFS(Table2[NewPointsAway],Table2[GameDate], "&lt;=" &amp; $A134, Table2[AwayTeam], AD$1)+SUMIFS(Table2[NewPointsHome],Table2[GameDate], "&lt;=" &amp; $A134, Table2[HomeTeam], AD$1)</f>
        <v>0</v>
      </c>
      <c r="AE134" s="145">
        <f>SUMIFS(Table2[NewPointsAway],Table2[GameDate], "&lt;=" &amp; $A134, Table2[AwayTeam], AE$1)+SUMIFS(Table2[NewPointsHome],Table2[GameDate], "&lt;=" &amp; $A134, Table2[HomeTeam], AE$1)</f>
        <v>1</v>
      </c>
      <c r="AF134" s="145">
        <f>SUMIFS(Table2[NewPointsAway],Table2[GameDate], "&lt;=" &amp; $A134, Table2[AwayTeam], AF$1)+SUMIFS(Table2[NewPointsHome],Table2[GameDate], "&lt;=" &amp; $A134, Table2[HomeTeam], AF$1)</f>
        <v>0</v>
      </c>
      <c r="AG134" s="145">
        <f>SUMIFS(Table2[NewPointsAway],Table2[GameDate], "&lt;=" &amp; $A134, Table2[AwayTeam], AG$1)+SUMIFS(Table2[NewPointsHome],Table2[GameDate], "&lt;=" &amp; $A134, Table2[HomeTeam], AG$1)</f>
        <v>0</v>
      </c>
    </row>
    <row r="135" spans="1:33" x14ac:dyDescent="0.25">
      <c r="A135" s="3">
        <v>46066</v>
      </c>
      <c r="B135" s="145">
        <f>SUMIFS(Table2[NewPointsAway],Table2[GameDate], "&lt;=" &amp; $A135, Table2[AwayTeam], B$1)+SUMIFS(Table2[NewPointsHome],Table2[GameDate], "&lt;=" &amp; $A135, Table2[HomeTeam], B$1)</f>
        <v>0</v>
      </c>
      <c r="C135" s="145">
        <f>SUMIFS(Table2[NewPointsAway],Table2[GameDate], "&lt;=" &amp; $A135, Table2[AwayTeam], C$1)+SUMIFS(Table2[NewPointsHome],Table2[GameDate], "&lt;=" &amp; $A135, Table2[HomeTeam], C$1)</f>
        <v>2</v>
      </c>
      <c r="D135" s="145">
        <f>SUMIFS(Table2[NewPointsAway],Table2[GameDate], "&lt;=" &amp; $A135, Table2[AwayTeam], D$1)+SUMIFS(Table2[NewPointsHome],Table2[GameDate], "&lt;=" &amp; $A135, Table2[HomeTeam], D$1)</f>
        <v>0</v>
      </c>
      <c r="E135" s="145">
        <f>SUMIFS(Table2[NewPointsAway],Table2[GameDate], "&lt;=" &amp; $A135, Table2[AwayTeam], E$1)+SUMIFS(Table2[NewPointsHome],Table2[GameDate], "&lt;=" &amp; $A135, Table2[HomeTeam], E$1)</f>
        <v>0</v>
      </c>
      <c r="F135" s="145">
        <f>SUMIFS(Table2[NewPointsAway],Table2[GameDate], "&lt;=" &amp; $A135, Table2[AwayTeam], F$1)+SUMIFS(Table2[NewPointsHome],Table2[GameDate], "&lt;=" &amp; $A135, Table2[HomeTeam], F$1)</f>
        <v>0</v>
      </c>
      <c r="G135" s="145">
        <f>SUMIFS(Table2[NewPointsAway],Table2[GameDate], "&lt;=" &amp; $A135, Table2[AwayTeam], G$1)+SUMIFS(Table2[NewPointsHome],Table2[GameDate], "&lt;=" &amp; $A135, Table2[HomeTeam], G$1)</f>
        <v>2</v>
      </c>
      <c r="H135" s="145">
        <f>SUMIFS(Table2[NewPointsAway],Table2[GameDate], "&lt;=" &amp; $A135, Table2[AwayTeam], H$1)+SUMIFS(Table2[NewPointsHome],Table2[GameDate], "&lt;=" &amp; $A135, Table2[HomeTeam], H$1)</f>
        <v>0</v>
      </c>
      <c r="I135" s="145">
        <f>SUMIFS(Table2[NewPointsAway],Table2[GameDate], "&lt;=" &amp; $A135, Table2[AwayTeam], I$1)+SUMIFS(Table2[NewPointsHome],Table2[GameDate], "&lt;=" &amp; $A135, Table2[HomeTeam], I$1)</f>
        <v>2</v>
      </c>
      <c r="J135" s="145">
        <f>SUMIFS(Table2[NewPointsAway],Table2[GameDate], "&lt;=" &amp; $A135, Table2[AwayTeam], J$1)+SUMIFS(Table2[NewPointsHome],Table2[GameDate], "&lt;=" &amp; $A135, Table2[HomeTeam], J$1)</f>
        <v>0</v>
      </c>
      <c r="K135" s="145">
        <f>SUMIFS(Table2[NewPointsAway],Table2[GameDate], "&lt;=" &amp; $A135, Table2[AwayTeam], K$1)+SUMIFS(Table2[NewPointsHome],Table2[GameDate], "&lt;=" &amp; $A135, Table2[HomeTeam], K$1)</f>
        <v>0</v>
      </c>
      <c r="L135" s="145">
        <f>SUMIFS(Table2[NewPointsAway],Table2[GameDate], "&lt;=" &amp; $A135, Table2[AwayTeam], L$1)+SUMIFS(Table2[NewPointsHome],Table2[GameDate], "&lt;=" &amp; $A135, Table2[HomeTeam], L$1)</f>
        <v>1</v>
      </c>
      <c r="M135" s="145">
        <f>SUMIFS(Table2[NewPointsAway],Table2[GameDate], "&lt;=" &amp; $A135, Table2[AwayTeam], M$1)+SUMIFS(Table2[NewPointsHome],Table2[GameDate], "&lt;=" &amp; $A135, Table2[HomeTeam], M$1)</f>
        <v>2</v>
      </c>
      <c r="N135" s="145">
        <f>SUMIFS(Table2[NewPointsAway],Table2[GameDate], "&lt;=" &amp; $A135, Table2[AwayTeam], N$1)+SUMIFS(Table2[NewPointsHome],Table2[GameDate], "&lt;=" &amp; $A135, Table2[HomeTeam], N$1)</f>
        <v>2</v>
      </c>
      <c r="O135" s="145">
        <f>SUMIFS(Table2[NewPointsAway],Table2[GameDate], "&lt;=" &amp; $A135, Table2[AwayTeam], O$1)+SUMIFS(Table2[NewPointsHome],Table2[GameDate], "&lt;=" &amp; $A135, Table2[HomeTeam], O$1)</f>
        <v>0</v>
      </c>
      <c r="P135" s="145">
        <f>SUMIFS(Table2[NewPointsAway],Table2[GameDate], "&lt;=" &amp; $A135, Table2[AwayTeam], P$1)+SUMIFS(Table2[NewPointsHome],Table2[GameDate], "&lt;=" &amp; $A135, Table2[HomeTeam], P$1)</f>
        <v>0</v>
      </c>
      <c r="Q135" s="145">
        <f>SUMIFS(Table2[NewPointsAway],Table2[GameDate], "&lt;=" &amp; $A135, Table2[AwayTeam], Q$1)+SUMIFS(Table2[NewPointsHome],Table2[GameDate], "&lt;=" &amp; $A135, Table2[HomeTeam], Q$1)</f>
        <v>0</v>
      </c>
      <c r="R135" s="145">
        <f>SUMIFS(Table2[NewPointsAway],Table2[GameDate], "&lt;=" &amp; $A135, Table2[AwayTeam], R$1)+SUMIFS(Table2[NewPointsHome],Table2[GameDate], "&lt;=" &amp; $A135, Table2[HomeTeam], R$1)</f>
        <v>0</v>
      </c>
      <c r="S135" s="145">
        <f>SUMIFS(Table2[NewPointsAway],Table2[GameDate], "&lt;=" &amp; $A135, Table2[AwayTeam], S$1)+SUMIFS(Table2[NewPointsHome],Table2[GameDate], "&lt;=" &amp; $A135, Table2[HomeTeam], S$1)</f>
        <v>0</v>
      </c>
      <c r="T135" s="145">
        <f>SUMIFS(Table2[NewPointsAway],Table2[GameDate], "&lt;=" &amp; $A135, Table2[AwayTeam], T$1)+SUMIFS(Table2[NewPointsHome],Table2[GameDate], "&lt;=" &amp; $A135, Table2[HomeTeam], T$1)</f>
        <v>0</v>
      </c>
      <c r="U135" s="145">
        <f>SUMIFS(Table2[NewPointsAway],Table2[GameDate], "&lt;=" &amp; $A135, Table2[AwayTeam], U$1)+SUMIFS(Table2[NewPointsHome],Table2[GameDate], "&lt;=" &amp; $A135, Table2[HomeTeam], U$1)</f>
        <v>0</v>
      </c>
      <c r="V135" s="145">
        <f>SUMIFS(Table2[NewPointsAway],Table2[GameDate], "&lt;=" &amp; $A135, Table2[AwayTeam], V$1)+SUMIFS(Table2[NewPointsHome],Table2[GameDate], "&lt;=" &amp; $A135, Table2[HomeTeam], V$1)</f>
        <v>0</v>
      </c>
      <c r="W135" s="145">
        <f>SUMIFS(Table2[NewPointsAway],Table2[GameDate], "&lt;=" &amp; $A135, Table2[AwayTeam], W$1)+SUMIFS(Table2[NewPointsHome],Table2[GameDate], "&lt;=" &amp; $A135, Table2[HomeTeam], W$1)</f>
        <v>2</v>
      </c>
      <c r="X135" s="145">
        <f>SUMIFS(Table2[NewPointsAway],Table2[GameDate], "&lt;=" &amp; $A135, Table2[AwayTeam], X$1)+SUMIFS(Table2[NewPointsHome],Table2[GameDate], "&lt;=" &amp; $A135, Table2[HomeTeam], X$1)</f>
        <v>0</v>
      </c>
      <c r="Y135" s="145">
        <f>SUMIFS(Table2[NewPointsAway],Table2[GameDate], "&lt;=" &amp; $A135, Table2[AwayTeam], Y$1)+SUMIFS(Table2[NewPointsHome],Table2[GameDate], "&lt;=" &amp; $A135, Table2[HomeTeam], Y$1)</f>
        <v>0</v>
      </c>
      <c r="Z135" s="145">
        <f>SUMIFS(Table2[NewPointsAway],Table2[GameDate], "&lt;=" &amp; $A135, Table2[AwayTeam], Z$1)+SUMIFS(Table2[NewPointsHome],Table2[GameDate], "&lt;=" &amp; $A135, Table2[HomeTeam], Z$1)</f>
        <v>0</v>
      </c>
      <c r="AA135" s="145">
        <f>SUMIFS(Table2[NewPointsAway],Table2[GameDate], "&lt;=" &amp; $A135, Table2[AwayTeam], AA$1)+SUMIFS(Table2[NewPointsHome],Table2[GameDate], "&lt;=" &amp; $A135, Table2[HomeTeam], AA$1)</f>
        <v>0</v>
      </c>
      <c r="AB135" s="145">
        <f>SUMIFS(Table2[NewPointsAway],Table2[GameDate], "&lt;=" &amp; $A135, Table2[AwayTeam], AB$1)+SUMIFS(Table2[NewPointsHome],Table2[GameDate], "&lt;=" &amp; $A135, Table2[HomeTeam], AB$1)</f>
        <v>2</v>
      </c>
      <c r="AC135" s="145">
        <f>SUMIFS(Table2[NewPointsAway],Table2[GameDate], "&lt;=" &amp; $A135, Table2[AwayTeam], AC$1)+SUMIFS(Table2[NewPointsHome],Table2[GameDate], "&lt;=" &amp; $A135, Table2[HomeTeam], AC$1)</f>
        <v>0</v>
      </c>
      <c r="AD135" s="145">
        <f>SUMIFS(Table2[NewPointsAway],Table2[GameDate], "&lt;=" &amp; $A135, Table2[AwayTeam], AD$1)+SUMIFS(Table2[NewPointsHome],Table2[GameDate], "&lt;=" &amp; $A135, Table2[HomeTeam], AD$1)</f>
        <v>0</v>
      </c>
      <c r="AE135" s="145">
        <f>SUMIFS(Table2[NewPointsAway],Table2[GameDate], "&lt;=" &amp; $A135, Table2[AwayTeam], AE$1)+SUMIFS(Table2[NewPointsHome],Table2[GameDate], "&lt;=" &amp; $A135, Table2[HomeTeam], AE$1)</f>
        <v>1</v>
      </c>
      <c r="AF135" s="145">
        <f>SUMIFS(Table2[NewPointsAway],Table2[GameDate], "&lt;=" &amp; $A135, Table2[AwayTeam], AF$1)+SUMIFS(Table2[NewPointsHome],Table2[GameDate], "&lt;=" &amp; $A135, Table2[HomeTeam], AF$1)</f>
        <v>0</v>
      </c>
      <c r="AG135" s="145">
        <f>SUMIFS(Table2[NewPointsAway],Table2[GameDate], "&lt;=" &amp; $A135, Table2[AwayTeam], AG$1)+SUMIFS(Table2[NewPointsHome],Table2[GameDate], "&lt;=" &amp; $A135, Table2[HomeTeam], AG$1)</f>
        <v>0</v>
      </c>
    </row>
    <row r="136" spans="1:33" x14ac:dyDescent="0.25">
      <c r="A136" s="3">
        <v>46067</v>
      </c>
      <c r="B136" s="145">
        <f>SUMIFS(Table2[NewPointsAway],Table2[GameDate], "&lt;=" &amp; $A136, Table2[AwayTeam], B$1)+SUMIFS(Table2[NewPointsHome],Table2[GameDate], "&lt;=" &amp; $A136, Table2[HomeTeam], B$1)</f>
        <v>0</v>
      </c>
      <c r="C136" s="145">
        <f>SUMIFS(Table2[NewPointsAway],Table2[GameDate], "&lt;=" &amp; $A136, Table2[AwayTeam], C$1)+SUMIFS(Table2[NewPointsHome],Table2[GameDate], "&lt;=" &amp; $A136, Table2[HomeTeam], C$1)</f>
        <v>2</v>
      </c>
      <c r="D136" s="145">
        <f>SUMIFS(Table2[NewPointsAway],Table2[GameDate], "&lt;=" &amp; $A136, Table2[AwayTeam], D$1)+SUMIFS(Table2[NewPointsHome],Table2[GameDate], "&lt;=" &amp; $A136, Table2[HomeTeam], D$1)</f>
        <v>0</v>
      </c>
      <c r="E136" s="145">
        <f>SUMIFS(Table2[NewPointsAway],Table2[GameDate], "&lt;=" &amp; $A136, Table2[AwayTeam], E$1)+SUMIFS(Table2[NewPointsHome],Table2[GameDate], "&lt;=" &amp; $A136, Table2[HomeTeam], E$1)</f>
        <v>0</v>
      </c>
      <c r="F136" s="145">
        <f>SUMIFS(Table2[NewPointsAway],Table2[GameDate], "&lt;=" &amp; $A136, Table2[AwayTeam], F$1)+SUMIFS(Table2[NewPointsHome],Table2[GameDate], "&lt;=" &amp; $A136, Table2[HomeTeam], F$1)</f>
        <v>0</v>
      </c>
      <c r="G136" s="145">
        <f>SUMIFS(Table2[NewPointsAway],Table2[GameDate], "&lt;=" &amp; $A136, Table2[AwayTeam], G$1)+SUMIFS(Table2[NewPointsHome],Table2[GameDate], "&lt;=" &amp; $A136, Table2[HomeTeam], G$1)</f>
        <v>2</v>
      </c>
      <c r="H136" s="145">
        <f>SUMIFS(Table2[NewPointsAway],Table2[GameDate], "&lt;=" &amp; $A136, Table2[AwayTeam], H$1)+SUMIFS(Table2[NewPointsHome],Table2[GameDate], "&lt;=" &amp; $A136, Table2[HomeTeam], H$1)</f>
        <v>0</v>
      </c>
      <c r="I136" s="145">
        <f>SUMIFS(Table2[NewPointsAway],Table2[GameDate], "&lt;=" &amp; $A136, Table2[AwayTeam], I$1)+SUMIFS(Table2[NewPointsHome],Table2[GameDate], "&lt;=" &amp; $A136, Table2[HomeTeam], I$1)</f>
        <v>2</v>
      </c>
      <c r="J136" s="145">
        <f>SUMIFS(Table2[NewPointsAway],Table2[GameDate], "&lt;=" &amp; $A136, Table2[AwayTeam], J$1)+SUMIFS(Table2[NewPointsHome],Table2[GameDate], "&lt;=" &amp; $A136, Table2[HomeTeam], J$1)</f>
        <v>0</v>
      </c>
      <c r="K136" s="145">
        <f>SUMIFS(Table2[NewPointsAway],Table2[GameDate], "&lt;=" &amp; $A136, Table2[AwayTeam], K$1)+SUMIFS(Table2[NewPointsHome],Table2[GameDate], "&lt;=" &amp; $A136, Table2[HomeTeam], K$1)</f>
        <v>0</v>
      </c>
      <c r="L136" s="145">
        <f>SUMIFS(Table2[NewPointsAway],Table2[GameDate], "&lt;=" &amp; $A136, Table2[AwayTeam], L$1)+SUMIFS(Table2[NewPointsHome],Table2[GameDate], "&lt;=" &amp; $A136, Table2[HomeTeam], L$1)</f>
        <v>1</v>
      </c>
      <c r="M136" s="145">
        <f>SUMIFS(Table2[NewPointsAway],Table2[GameDate], "&lt;=" &amp; $A136, Table2[AwayTeam], M$1)+SUMIFS(Table2[NewPointsHome],Table2[GameDate], "&lt;=" &amp; $A136, Table2[HomeTeam], M$1)</f>
        <v>2</v>
      </c>
      <c r="N136" s="145">
        <f>SUMIFS(Table2[NewPointsAway],Table2[GameDate], "&lt;=" &amp; $A136, Table2[AwayTeam], N$1)+SUMIFS(Table2[NewPointsHome],Table2[GameDate], "&lt;=" &amp; $A136, Table2[HomeTeam], N$1)</f>
        <v>2</v>
      </c>
      <c r="O136" s="145">
        <f>SUMIFS(Table2[NewPointsAway],Table2[GameDate], "&lt;=" &amp; $A136, Table2[AwayTeam], O$1)+SUMIFS(Table2[NewPointsHome],Table2[GameDate], "&lt;=" &amp; $A136, Table2[HomeTeam], O$1)</f>
        <v>0</v>
      </c>
      <c r="P136" s="145">
        <f>SUMIFS(Table2[NewPointsAway],Table2[GameDate], "&lt;=" &amp; $A136, Table2[AwayTeam], P$1)+SUMIFS(Table2[NewPointsHome],Table2[GameDate], "&lt;=" &amp; $A136, Table2[HomeTeam], P$1)</f>
        <v>0</v>
      </c>
      <c r="Q136" s="145">
        <f>SUMIFS(Table2[NewPointsAway],Table2[GameDate], "&lt;=" &amp; $A136, Table2[AwayTeam], Q$1)+SUMIFS(Table2[NewPointsHome],Table2[GameDate], "&lt;=" &amp; $A136, Table2[HomeTeam], Q$1)</f>
        <v>0</v>
      </c>
      <c r="R136" s="145">
        <f>SUMIFS(Table2[NewPointsAway],Table2[GameDate], "&lt;=" &amp; $A136, Table2[AwayTeam], R$1)+SUMIFS(Table2[NewPointsHome],Table2[GameDate], "&lt;=" &amp; $A136, Table2[HomeTeam], R$1)</f>
        <v>0</v>
      </c>
      <c r="S136" s="145">
        <f>SUMIFS(Table2[NewPointsAway],Table2[GameDate], "&lt;=" &amp; $A136, Table2[AwayTeam], S$1)+SUMIFS(Table2[NewPointsHome],Table2[GameDate], "&lt;=" &amp; $A136, Table2[HomeTeam], S$1)</f>
        <v>0</v>
      </c>
      <c r="T136" s="145">
        <f>SUMIFS(Table2[NewPointsAway],Table2[GameDate], "&lt;=" &amp; $A136, Table2[AwayTeam], T$1)+SUMIFS(Table2[NewPointsHome],Table2[GameDate], "&lt;=" &amp; $A136, Table2[HomeTeam], T$1)</f>
        <v>0</v>
      </c>
      <c r="U136" s="145">
        <f>SUMIFS(Table2[NewPointsAway],Table2[GameDate], "&lt;=" &amp; $A136, Table2[AwayTeam], U$1)+SUMIFS(Table2[NewPointsHome],Table2[GameDate], "&lt;=" &amp; $A136, Table2[HomeTeam], U$1)</f>
        <v>0</v>
      </c>
      <c r="V136" s="145">
        <f>SUMIFS(Table2[NewPointsAway],Table2[GameDate], "&lt;=" &amp; $A136, Table2[AwayTeam], V$1)+SUMIFS(Table2[NewPointsHome],Table2[GameDate], "&lt;=" &amp; $A136, Table2[HomeTeam], V$1)</f>
        <v>0</v>
      </c>
      <c r="W136" s="145">
        <f>SUMIFS(Table2[NewPointsAway],Table2[GameDate], "&lt;=" &amp; $A136, Table2[AwayTeam], W$1)+SUMIFS(Table2[NewPointsHome],Table2[GameDate], "&lt;=" &amp; $A136, Table2[HomeTeam], W$1)</f>
        <v>2</v>
      </c>
      <c r="X136" s="145">
        <f>SUMIFS(Table2[NewPointsAway],Table2[GameDate], "&lt;=" &amp; $A136, Table2[AwayTeam], X$1)+SUMIFS(Table2[NewPointsHome],Table2[GameDate], "&lt;=" &amp; $A136, Table2[HomeTeam], X$1)</f>
        <v>0</v>
      </c>
      <c r="Y136" s="145">
        <f>SUMIFS(Table2[NewPointsAway],Table2[GameDate], "&lt;=" &amp; $A136, Table2[AwayTeam], Y$1)+SUMIFS(Table2[NewPointsHome],Table2[GameDate], "&lt;=" &amp; $A136, Table2[HomeTeam], Y$1)</f>
        <v>0</v>
      </c>
      <c r="Z136" s="145">
        <f>SUMIFS(Table2[NewPointsAway],Table2[GameDate], "&lt;=" &amp; $A136, Table2[AwayTeam], Z$1)+SUMIFS(Table2[NewPointsHome],Table2[GameDate], "&lt;=" &amp; $A136, Table2[HomeTeam], Z$1)</f>
        <v>0</v>
      </c>
      <c r="AA136" s="145">
        <f>SUMIFS(Table2[NewPointsAway],Table2[GameDate], "&lt;=" &amp; $A136, Table2[AwayTeam], AA$1)+SUMIFS(Table2[NewPointsHome],Table2[GameDate], "&lt;=" &amp; $A136, Table2[HomeTeam], AA$1)</f>
        <v>0</v>
      </c>
      <c r="AB136" s="145">
        <f>SUMIFS(Table2[NewPointsAway],Table2[GameDate], "&lt;=" &amp; $A136, Table2[AwayTeam], AB$1)+SUMIFS(Table2[NewPointsHome],Table2[GameDate], "&lt;=" &amp; $A136, Table2[HomeTeam], AB$1)</f>
        <v>2</v>
      </c>
      <c r="AC136" s="145">
        <f>SUMIFS(Table2[NewPointsAway],Table2[GameDate], "&lt;=" &amp; $A136, Table2[AwayTeam], AC$1)+SUMIFS(Table2[NewPointsHome],Table2[GameDate], "&lt;=" &amp; $A136, Table2[HomeTeam], AC$1)</f>
        <v>0</v>
      </c>
      <c r="AD136" s="145">
        <f>SUMIFS(Table2[NewPointsAway],Table2[GameDate], "&lt;=" &amp; $A136, Table2[AwayTeam], AD$1)+SUMIFS(Table2[NewPointsHome],Table2[GameDate], "&lt;=" &amp; $A136, Table2[HomeTeam], AD$1)</f>
        <v>0</v>
      </c>
      <c r="AE136" s="145">
        <f>SUMIFS(Table2[NewPointsAway],Table2[GameDate], "&lt;=" &amp; $A136, Table2[AwayTeam], AE$1)+SUMIFS(Table2[NewPointsHome],Table2[GameDate], "&lt;=" &amp; $A136, Table2[HomeTeam], AE$1)</f>
        <v>1</v>
      </c>
      <c r="AF136" s="145">
        <f>SUMIFS(Table2[NewPointsAway],Table2[GameDate], "&lt;=" &amp; $A136, Table2[AwayTeam], AF$1)+SUMIFS(Table2[NewPointsHome],Table2[GameDate], "&lt;=" &amp; $A136, Table2[HomeTeam], AF$1)</f>
        <v>0</v>
      </c>
      <c r="AG136" s="145">
        <f>SUMIFS(Table2[NewPointsAway],Table2[GameDate], "&lt;=" &amp; $A136, Table2[AwayTeam], AG$1)+SUMIFS(Table2[NewPointsHome],Table2[GameDate], "&lt;=" &amp; $A136, Table2[HomeTeam], AG$1)</f>
        <v>0</v>
      </c>
    </row>
    <row r="137" spans="1:33" x14ac:dyDescent="0.25">
      <c r="A137" s="3">
        <v>46068</v>
      </c>
      <c r="B137" s="145">
        <f>SUMIFS(Table2[NewPointsAway],Table2[GameDate], "&lt;=" &amp; $A137, Table2[AwayTeam], B$1)+SUMIFS(Table2[NewPointsHome],Table2[GameDate], "&lt;=" &amp; $A137, Table2[HomeTeam], B$1)</f>
        <v>0</v>
      </c>
      <c r="C137" s="145">
        <f>SUMIFS(Table2[NewPointsAway],Table2[GameDate], "&lt;=" &amp; $A137, Table2[AwayTeam], C$1)+SUMIFS(Table2[NewPointsHome],Table2[GameDate], "&lt;=" &amp; $A137, Table2[HomeTeam], C$1)</f>
        <v>2</v>
      </c>
      <c r="D137" s="145">
        <f>SUMIFS(Table2[NewPointsAway],Table2[GameDate], "&lt;=" &amp; $A137, Table2[AwayTeam], D$1)+SUMIFS(Table2[NewPointsHome],Table2[GameDate], "&lt;=" &amp; $A137, Table2[HomeTeam], D$1)</f>
        <v>0</v>
      </c>
      <c r="E137" s="145">
        <f>SUMIFS(Table2[NewPointsAway],Table2[GameDate], "&lt;=" &amp; $A137, Table2[AwayTeam], E$1)+SUMIFS(Table2[NewPointsHome],Table2[GameDate], "&lt;=" &amp; $A137, Table2[HomeTeam], E$1)</f>
        <v>0</v>
      </c>
      <c r="F137" s="145">
        <f>SUMIFS(Table2[NewPointsAway],Table2[GameDate], "&lt;=" &amp; $A137, Table2[AwayTeam], F$1)+SUMIFS(Table2[NewPointsHome],Table2[GameDate], "&lt;=" &amp; $A137, Table2[HomeTeam], F$1)</f>
        <v>0</v>
      </c>
      <c r="G137" s="145">
        <f>SUMIFS(Table2[NewPointsAway],Table2[GameDate], "&lt;=" &amp; $A137, Table2[AwayTeam], G$1)+SUMIFS(Table2[NewPointsHome],Table2[GameDate], "&lt;=" &amp; $A137, Table2[HomeTeam], G$1)</f>
        <v>2</v>
      </c>
      <c r="H137" s="145">
        <f>SUMIFS(Table2[NewPointsAway],Table2[GameDate], "&lt;=" &amp; $A137, Table2[AwayTeam], H$1)+SUMIFS(Table2[NewPointsHome],Table2[GameDate], "&lt;=" &amp; $A137, Table2[HomeTeam], H$1)</f>
        <v>0</v>
      </c>
      <c r="I137" s="145">
        <f>SUMIFS(Table2[NewPointsAway],Table2[GameDate], "&lt;=" &amp; $A137, Table2[AwayTeam], I$1)+SUMIFS(Table2[NewPointsHome],Table2[GameDate], "&lt;=" &amp; $A137, Table2[HomeTeam], I$1)</f>
        <v>2</v>
      </c>
      <c r="J137" s="145">
        <f>SUMIFS(Table2[NewPointsAway],Table2[GameDate], "&lt;=" &amp; $A137, Table2[AwayTeam], J$1)+SUMIFS(Table2[NewPointsHome],Table2[GameDate], "&lt;=" &amp; $A137, Table2[HomeTeam], J$1)</f>
        <v>0</v>
      </c>
      <c r="K137" s="145">
        <f>SUMIFS(Table2[NewPointsAway],Table2[GameDate], "&lt;=" &amp; $A137, Table2[AwayTeam], K$1)+SUMIFS(Table2[NewPointsHome],Table2[GameDate], "&lt;=" &amp; $A137, Table2[HomeTeam], K$1)</f>
        <v>0</v>
      </c>
      <c r="L137" s="145">
        <f>SUMIFS(Table2[NewPointsAway],Table2[GameDate], "&lt;=" &amp; $A137, Table2[AwayTeam], L$1)+SUMIFS(Table2[NewPointsHome],Table2[GameDate], "&lt;=" &amp; $A137, Table2[HomeTeam], L$1)</f>
        <v>1</v>
      </c>
      <c r="M137" s="145">
        <f>SUMIFS(Table2[NewPointsAway],Table2[GameDate], "&lt;=" &amp; $A137, Table2[AwayTeam], M$1)+SUMIFS(Table2[NewPointsHome],Table2[GameDate], "&lt;=" &amp; $A137, Table2[HomeTeam], M$1)</f>
        <v>2</v>
      </c>
      <c r="N137" s="145">
        <f>SUMIFS(Table2[NewPointsAway],Table2[GameDate], "&lt;=" &amp; $A137, Table2[AwayTeam], N$1)+SUMIFS(Table2[NewPointsHome],Table2[GameDate], "&lt;=" &amp; $A137, Table2[HomeTeam], N$1)</f>
        <v>2</v>
      </c>
      <c r="O137" s="145">
        <f>SUMIFS(Table2[NewPointsAway],Table2[GameDate], "&lt;=" &amp; $A137, Table2[AwayTeam], O$1)+SUMIFS(Table2[NewPointsHome],Table2[GameDate], "&lt;=" &amp; $A137, Table2[HomeTeam], O$1)</f>
        <v>0</v>
      </c>
      <c r="P137" s="145">
        <f>SUMIFS(Table2[NewPointsAway],Table2[GameDate], "&lt;=" &amp; $A137, Table2[AwayTeam], P$1)+SUMIFS(Table2[NewPointsHome],Table2[GameDate], "&lt;=" &amp; $A137, Table2[HomeTeam], P$1)</f>
        <v>0</v>
      </c>
      <c r="Q137" s="145">
        <f>SUMIFS(Table2[NewPointsAway],Table2[GameDate], "&lt;=" &amp; $A137, Table2[AwayTeam], Q$1)+SUMIFS(Table2[NewPointsHome],Table2[GameDate], "&lt;=" &amp; $A137, Table2[HomeTeam], Q$1)</f>
        <v>0</v>
      </c>
      <c r="R137" s="145">
        <f>SUMIFS(Table2[NewPointsAway],Table2[GameDate], "&lt;=" &amp; $A137, Table2[AwayTeam], R$1)+SUMIFS(Table2[NewPointsHome],Table2[GameDate], "&lt;=" &amp; $A137, Table2[HomeTeam], R$1)</f>
        <v>0</v>
      </c>
      <c r="S137" s="145">
        <f>SUMIFS(Table2[NewPointsAway],Table2[GameDate], "&lt;=" &amp; $A137, Table2[AwayTeam], S$1)+SUMIFS(Table2[NewPointsHome],Table2[GameDate], "&lt;=" &amp; $A137, Table2[HomeTeam], S$1)</f>
        <v>0</v>
      </c>
      <c r="T137" s="145">
        <f>SUMIFS(Table2[NewPointsAway],Table2[GameDate], "&lt;=" &amp; $A137, Table2[AwayTeam], T$1)+SUMIFS(Table2[NewPointsHome],Table2[GameDate], "&lt;=" &amp; $A137, Table2[HomeTeam], T$1)</f>
        <v>0</v>
      </c>
      <c r="U137" s="145">
        <f>SUMIFS(Table2[NewPointsAway],Table2[GameDate], "&lt;=" &amp; $A137, Table2[AwayTeam], U$1)+SUMIFS(Table2[NewPointsHome],Table2[GameDate], "&lt;=" &amp; $A137, Table2[HomeTeam], U$1)</f>
        <v>0</v>
      </c>
      <c r="V137" s="145">
        <f>SUMIFS(Table2[NewPointsAway],Table2[GameDate], "&lt;=" &amp; $A137, Table2[AwayTeam], V$1)+SUMIFS(Table2[NewPointsHome],Table2[GameDate], "&lt;=" &amp; $A137, Table2[HomeTeam], V$1)</f>
        <v>0</v>
      </c>
      <c r="W137" s="145">
        <f>SUMIFS(Table2[NewPointsAway],Table2[GameDate], "&lt;=" &amp; $A137, Table2[AwayTeam], W$1)+SUMIFS(Table2[NewPointsHome],Table2[GameDate], "&lt;=" &amp; $A137, Table2[HomeTeam], W$1)</f>
        <v>2</v>
      </c>
      <c r="X137" s="145">
        <f>SUMIFS(Table2[NewPointsAway],Table2[GameDate], "&lt;=" &amp; $A137, Table2[AwayTeam], X$1)+SUMIFS(Table2[NewPointsHome],Table2[GameDate], "&lt;=" &amp; $A137, Table2[HomeTeam], X$1)</f>
        <v>0</v>
      </c>
      <c r="Y137" s="145">
        <f>SUMIFS(Table2[NewPointsAway],Table2[GameDate], "&lt;=" &amp; $A137, Table2[AwayTeam], Y$1)+SUMIFS(Table2[NewPointsHome],Table2[GameDate], "&lt;=" &amp; $A137, Table2[HomeTeam], Y$1)</f>
        <v>0</v>
      </c>
      <c r="Z137" s="145">
        <f>SUMIFS(Table2[NewPointsAway],Table2[GameDate], "&lt;=" &amp; $A137, Table2[AwayTeam], Z$1)+SUMIFS(Table2[NewPointsHome],Table2[GameDate], "&lt;=" &amp; $A137, Table2[HomeTeam], Z$1)</f>
        <v>0</v>
      </c>
      <c r="AA137" s="145">
        <f>SUMIFS(Table2[NewPointsAway],Table2[GameDate], "&lt;=" &amp; $A137, Table2[AwayTeam], AA$1)+SUMIFS(Table2[NewPointsHome],Table2[GameDate], "&lt;=" &amp; $A137, Table2[HomeTeam], AA$1)</f>
        <v>0</v>
      </c>
      <c r="AB137" s="145">
        <f>SUMIFS(Table2[NewPointsAway],Table2[GameDate], "&lt;=" &amp; $A137, Table2[AwayTeam], AB$1)+SUMIFS(Table2[NewPointsHome],Table2[GameDate], "&lt;=" &amp; $A137, Table2[HomeTeam], AB$1)</f>
        <v>2</v>
      </c>
      <c r="AC137" s="145">
        <f>SUMIFS(Table2[NewPointsAway],Table2[GameDate], "&lt;=" &amp; $A137, Table2[AwayTeam], AC$1)+SUMIFS(Table2[NewPointsHome],Table2[GameDate], "&lt;=" &amp; $A137, Table2[HomeTeam], AC$1)</f>
        <v>0</v>
      </c>
      <c r="AD137" s="145">
        <f>SUMIFS(Table2[NewPointsAway],Table2[GameDate], "&lt;=" &amp; $A137, Table2[AwayTeam], AD$1)+SUMIFS(Table2[NewPointsHome],Table2[GameDate], "&lt;=" &amp; $A137, Table2[HomeTeam], AD$1)</f>
        <v>0</v>
      </c>
      <c r="AE137" s="145">
        <f>SUMIFS(Table2[NewPointsAway],Table2[GameDate], "&lt;=" &amp; $A137, Table2[AwayTeam], AE$1)+SUMIFS(Table2[NewPointsHome],Table2[GameDate], "&lt;=" &amp; $A137, Table2[HomeTeam], AE$1)</f>
        <v>1</v>
      </c>
      <c r="AF137" s="145">
        <f>SUMIFS(Table2[NewPointsAway],Table2[GameDate], "&lt;=" &amp; $A137, Table2[AwayTeam], AF$1)+SUMIFS(Table2[NewPointsHome],Table2[GameDate], "&lt;=" &amp; $A137, Table2[HomeTeam], AF$1)</f>
        <v>0</v>
      </c>
      <c r="AG137" s="145">
        <f>SUMIFS(Table2[NewPointsAway],Table2[GameDate], "&lt;=" &amp; $A137, Table2[AwayTeam], AG$1)+SUMIFS(Table2[NewPointsHome],Table2[GameDate], "&lt;=" &amp; $A137, Table2[HomeTeam], AG$1)</f>
        <v>0</v>
      </c>
    </row>
    <row r="138" spans="1:33" x14ac:dyDescent="0.25">
      <c r="A138" s="3">
        <v>46069</v>
      </c>
      <c r="B138" s="145">
        <f>SUMIFS(Table2[NewPointsAway],Table2[GameDate], "&lt;=" &amp; $A138, Table2[AwayTeam], B$1)+SUMIFS(Table2[NewPointsHome],Table2[GameDate], "&lt;=" &amp; $A138, Table2[HomeTeam], B$1)</f>
        <v>0</v>
      </c>
      <c r="C138" s="145">
        <f>SUMIFS(Table2[NewPointsAway],Table2[GameDate], "&lt;=" &amp; $A138, Table2[AwayTeam], C$1)+SUMIFS(Table2[NewPointsHome],Table2[GameDate], "&lt;=" &amp; $A138, Table2[HomeTeam], C$1)</f>
        <v>2</v>
      </c>
      <c r="D138" s="145">
        <f>SUMIFS(Table2[NewPointsAway],Table2[GameDate], "&lt;=" &amp; $A138, Table2[AwayTeam], D$1)+SUMIFS(Table2[NewPointsHome],Table2[GameDate], "&lt;=" &amp; $A138, Table2[HomeTeam], D$1)</f>
        <v>0</v>
      </c>
      <c r="E138" s="145">
        <f>SUMIFS(Table2[NewPointsAway],Table2[GameDate], "&lt;=" &amp; $A138, Table2[AwayTeam], E$1)+SUMIFS(Table2[NewPointsHome],Table2[GameDate], "&lt;=" &amp; $A138, Table2[HomeTeam], E$1)</f>
        <v>0</v>
      </c>
      <c r="F138" s="145">
        <f>SUMIFS(Table2[NewPointsAway],Table2[GameDate], "&lt;=" &amp; $A138, Table2[AwayTeam], F$1)+SUMIFS(Table2[NewPointsHome],Table2[GameDate], "&lt;=" &amp; $A138, Table2[HomeTeam], F$1)</f>
        <v>0</v>
      </c>
      <c r="G138" s="145">
        <f>SUMIFS(Table2[NewPointsAway],Table2[GameDate], "&lt;=" &amp; $A138, Table2[AwayTeam], G$1)+SUMIFS(Table2[NewPointsHome],Table2[GameDate], "&lt;=" &amp; $A138, Table2[HomeTeam], G$1)</f>
        <v>2</v>
      </c>
      <c r="H138" s="145">
        <f>SUMIFS(Table2[NewPointsAway],Table2[GameDate], "&lt;=" &amp; $A138, Table2[AwayTeam], H$1)+SUMIFS(Table2[NewPointsHome],Table2[GameDate], "&lt;=" &amp; $A138, Table2[HomeTeam], H$1)</f>
        <v>0</v>
      </c>
      <c r="I138" s="145">
        <f>SUMIFS(Table2[NewPointsAway],Table2[GameDate], "&lt;=" &amp; $A138, Table2[AwayTeam], I$1)+SUMIFS(Table2[NewPointsHome],Table2[GameDate], "&lt;=" &amp; $A138, Table2[HomeTeam], I$1)</f>
        <v>2</v>
      </c>
      <c r="J138" s="145">
        <f>SUMIFS(Table2[NewPointsAway],Table2[GameDate], "&lt;=" &amp; $A138, Table2[AwayTeam], J$1)+SUMIFS(Table2[NewPointsHome],Table2[GameDate], "&lt;=" &amp; $A138, Table2[HomeTeam], J$1)</f>
        <v>0</v>
      </c>
      <c r="K138" s="145">
        <f>SUMIFS(Table2[NewPointsAway],Table2[GameDate], "&lt;=" &amp; $A138, Table2[AwayTeam], K$1)+SUMIFS(Table2[NewPointsHome],Table2[GameDate], "&lt;=" &amp; $A138, Table2[HomeTeam], K$1)</f>
        <v>0</v>
      </c>
      <c r="L138" s="145">
        <f>SUMIFS(Table2[NewPointsAway],Table2[GameDate], "&lt;=" &amp; $A138, Table2[AwayTeam], L$1)+SUMIFS(Table2[NewPointsHome],Table2[GameDate], "&lt;=" &amp; $A138, Table2[HomeTeam], L$1)</f>
        <v>1</v>
      </c>
      <c r="M138" s="145">
        <f>SUMIFS(Table2[NewPointsAway],Table2[GameDate], "&lt;=" &amp; $A138, Table2[AwayTeam], M$1)+SUMIFS(Table2[NewPointsHome],Table2[GameDate], "&lt;=" &amp; $A138, Table2[HomeTeam], M$1)</f>
        <v>2</v>
      </c>
      <c r="N138" s="145">
        <f>SUMIFS(Table2[NewPointsAway],Table2[GameDate], "&lt;=" &amp; $A138, Table2[AwayTeam], N$1)+SUMIFS(Table2[NewPointsHome],Table2[GameDate], "&lt;=" &amp; $A138, Table2[HomeTeam], N$1)</f>
        <v>2</v>
      </c>
      <c r="O138" s="145">
        <f>SUMIFS(Table2[NewPointsAway],Table2[GameDate], "&lt;=" &amp; $A138, Table2[AwayTeam], O$1)+SUMIFS(Table2[NewPointsHome],Table2[GameDate], "&lt;=" &amp; $A138, Table2[HomeTeam], O$1)</f>
        <v>0</v>
      </c>
      <c r="P138" s="145">
        <f>SUMIFS(Table2[NewPointsAway],Table2[GameDate], "&lt;=" &amp; $A138, Table2[AwayTeam], P$1)+SUMIFS(Table2[NewPointsHome],Table2[GameDate], "&lt;=" &amp; $A138, Table2[HomeTeam], P$1)</f>
        <v>0</v>
      </c>
      <c r="Q138" s="145">
        <f>SUMIFS(Table2[NewPointsAway],Table2[GameDate], "&lt;=" &amp; $A138, Table2[AwayTeam], Q$1)+SUMIFS(Table2[NewPointsHome],Table2[GameDate], "&lt;=" &amp; $A138, Table2[HomeTeam], Q$1)</f>
        <v>0</v>
      </c>
      <c r="R138" s="145">
        <f>SUMIFS(Table2[NewPointsAway],Table2[GameDate], "&lt;=" &amp; $A138, Table2[AwayTeam], R$1)+SUMIFS(Table2[NewPointsHome],Table2[GameDate], "&lt;=" &amp; $A138, Table2[HomeTeam], R$1)</f>
        <v>0</v>
      </c>
      <c r="S138" s="145">
        <f>SUMIFS(Table2[NewPointsAway],Table2[GameDate], "&lt;=" &amp; $A138, Table2[AwayTeam], S$1)+SUMIFS(Table2[NewPointsHome],Table2[GameDate], "&lt;=" &amp; $A138, Table2[HomeTeam], S$1)</f>
        <v>0</v>
      </c>
      <c r="T138" s="145">
        <f>SUMIFS(Table2[NewPointsAway],Table2[GameDate], "&lt;=" &amp; $A138, Table2[AwayTeam], T$1)+SUMIFS(Table2[NewPointsHome],Table2[GameDate], "&lt;=" &amp; $A138, Table2[HomeTeam], T$1)</f>
        <v>0</v>
      </c>
      <c r="U138" s="145">
        <f>SUMIFS(Table2[NewPointsAway],Table2[GameDate], "&lt;=" &amp; $A138, Table2[AwayTeam], U$1)+SUMIFS(Table2[NewPointsHome],Table2[GameDate], "&lt;=" &amp; $A138, Table2[HomeTeam], U$1)</f>
        <v>0</v>
      </c>
      <c r="V138" s="145">
        <f>SUMIFS(Table2[NewPointsAway],Table2[GameDate], "&lt;=" &amp; $A138, Table2[AwayTeam], V$1)+SUMIFS(Table2[NewPointsHome],Table2[GameDate], "&lt;=" &amp; $A138, Table2[HomeTeam], V$1)</f>
        <v>0</v>
      </c>
      <c r="W138" s="145">
        <f>SUMIFS(Table2[NewPointsAway],Table2[GameDate], "&lt;=" &amp; $A138, Table2[AwayTeam], W$1)+SUMIFS(Table2[NewPointsHome],Table2[GameDate], "&lt;=" &amp; $A138, Table2[HomeTeam], W$1)</f>
        <v>2</v>
      </c>
      <c r="X138" s="145">
        <f>SUMIFS(Table2[NewPointsAway],Table2[GameDate], "&lt;=" &amp; $A138, Table2[AwayTeam], X$1)+SUMIFS(Table2[NewPointsHome],Table2[GameDate], "&lt;=" &amp; $A138, Table2[HomeTeam], X$1)</f>
        <v>0</v>
      </c>
      <c r="Y138" s="145">
        <f>SUMIFS(Table2[NewPointsAway],Table2[GameDate], "&lt;=" &amp; $A138, Table2[AwayTeam], Y$1)+SUMIFS(Table2[NewPointsHome],Table2[GameDate], "&lt;=" &amp; $A138, Table2[HomeTeam], Y$1)</f>
        <v>0</v>
      </c>
      <c r="Z138" s="145">
        <f>SUMIFS(Table2[NewPointsAway],Table2[GameDate], "&lt;=" &amp; $A138, Table2[AwayTeam], Z$1)+SUMIFS(Table2[NewPointsHome],Table2[GameDate], "&lt;=" &amp; $A138, Table2[HomeTeam], Z$1)</f>
        <v>0</v>
      </c>
      <c r="AA138" s="145">
        <f>SUMIFS(Table2[NewPointsAway],Table2[GameDate], "&lt;=" &amp; $A138, Table2[AwayTeam], AA$1)+SUMIFS(Table2[NewPointsHome],Table2[GameDate], "&lt;=" &amp; $A138, Table2[HomeTeam], AA$1)</f>
        <v>0</v>
      </c>
      <c r="AB138" s="145">
        <f>SUMIFS(Table2[NewPointsAway],Table2[GameDate], "&lt;=" &amp; $A138, Table2[AwayTeam], AB$1)+SUMIFS(Table2[NewPointsHome],Table2[GameDate], "&lt;=" &amp; $A138, Table2[HomeTeam], AB$1)</f>
        <v>2</v>
      </c>
      <c r="AC138" s="145">
        <f>SUMIFS(Table2[NewPointsAway],Table2[GameDate], "&lt;=" &amp; $A138, Table2[AwayTeam], AC$1)+SUMIFS(Table2[NewPointsHome],Table2[GameDate], "&lt;=" &amp; $A138, Table2[HomeTeam], AC$1)</f>
        <v>0</v>
      </c>
      <c r="AD138" s="145">
        <f>SUMIFS(Table2[NewPointsAway],Table2[GameDate], "&lt;=" &amp; $A138, Table2[AwayTeam], AD$1)+SUMIFS(Table2[NewPointsHome],Table2[GameDate], "&lt;=" &amp; $A138, Table2[HomeTeam], AD$1)</f>
        <v>0</v>
      </c>
      <c r="AE138" s="145">
        <f>SUMIFS(Table2[NewPointsAway],Table2[GameDate], "&lt;=" &amp; $A138, Table2[AwayTeam], AE$1)+SUMIFS(Table2[NewPointsHome],Table2[GameDate], "&lt;=" &amp; $A138, Table2[HomeTeam], AE$1)</f>
        <v>1</v>
      </c>
      <c r="AF138" s="145">
        <f>SUMIFS(Table2[NewPointsAway],Table2[GameDate], "&lt;=" &amp; $A138, Table2[AwayTeam], AF$1)+SUMIFS(Table2[NewPointsHome],Table2[GameDate], "&lt;=" &amp; $A138, Table2[HomeTeam], AF$1)</f>
        <v>0</v>
      </c>
      <c r="AG138" s="145">
        <f>SUMIFS(Table2[NewPointsAway],Table2[GameDate], "&lt;=" &amp; $A138, Table2[AwayTeam], AG$1)+SUMIFS(Table2[NewPointsHome],Table2[GameDate], "&lt;=" &amp; $A138, Table2[HomeTeam], AG$1)</f>
        <v>0</v>
      </c>
    </row>
    <row r="139" spans="1:33" x14ac:dyDescent="0.25">
      <c r="A139" s="3">
        <v>46070</v>
      </c>
      <c r="B139" s="145">
        <f>SUMIFS(Table2[NewPointsAway],Table2[GameDate], "&lt;=" &amp; $A139, Table2[AwayTeam], B$1)+SUMIFS(Table2[NewPointsHome],Table2[GameDate], "&lt;=" &amp; $A139, Table2[HomeTeam], B$1)</f>
        <v>0</v>
      </c>
      <c r="C139" s="145">
        <f>SUMIFS(Table2[NewPointsAway],Table2[GameDate], "&lt;=" &amp; $A139, Table2[AwayTeam], C$1)+SUMIFS(Table2[NewPointsHome],Table2[GameDate], "&lt;=" &amp; $A139, Table2[HomeTeam], C$1)</f>
        <v>2</v>
      </c>
      <c r="D139" s="145">
        <f>SUMIFS(Table2[NewPointsAway],Table2[GameDate], "&lt;=" &amp; $A139, Table2[AwayTeam], D$1)+SUMIFS(Table2[NewPointsHome],Table2[GameDate], "&lt;=" &amp; $A139, Table2[HomeTeam], D$1)</f>
        <v>0</v>
      </c>
      <c r="E139" s="145">
        <f>SUMIFS(Table2[NewPointsAway],Table2[GameDate], "&lt;=" &amp; $A139, Table2[AwayTeam], E$1)+SUMIFS(Table2[NewPointsHome],Table2[GameDate], "&lt;=" &amp; $A139, Table2[HomeTeam], E$1)</f>
        <v>0</v>
      </c>
      <c r="F139" s="145">
        <f>SUMIFS(Table2[NewPointsAway],Table2[GameDate], "&lt;=" &amp; $A139, Table2[AwayTeam], F$1)+SUMIFS(Table2[NewPointsHome],Table2[GameDate], "&lt;=" &amp; $A139, Table2[HomeTeam], F$1)</f>
        <v>0</v>
      </c>
      <c r="G139" s="145">
        <f>SUMIFS(Table2[NewPointsAway],Table2[GameDate], "&lt;=" &amp; $A139, Table2[AwayTeam], G$1)+SUMIFS(Table2[NewPointsHome],Table2[GameDate], "&lt;=" &amp; $A139, Table2[HomeTeam], G$1)</f>
        <v>2</v>
      </c>
      <c r="H139" s="145">
        <f>SUMIFS(Table2[NewPointsAway],Table2[GameDate], "&lt;=" &amp; $A139, Table2[AwayTeam], H$1)+SUMIFS(Table2[NewPointsHome],Table2[GameDate], "&lt;=" &amp; $A139, Table2[HomeTeam], H$1)</f>
        <v>0</v>
      </c>
      <c r="I139" s="145">
        <f>SUMIFS(Table2[NewPointsAway],Table2[GameDate], "&lt;=" &amp; $A139, Table2[AwayTeam], I$1)+SUMIFS(Table2[NewPointsHome],Table2[GameDate], "&lt;=" &amp; $A139, Table2[HomeTeam], I$1)</f>
        <v>2</v>
      </c>
      <c r="J139" s="145">
        <f>SUMIFS(Table2[NewPointsAway],Table2[GameDate], "&lt;=" &amp; $A139, Table2[AwayTeam], J$1)+SUMIFS(Table2[NewPointsHome],Table2[GameDate], "&lt;=" &amp; $A139, Table2[HomeTeam], J$1)</f>
        <v>0</v>
      </c>
      <c r="K139" s="145">
        <f>SUMIFS(Table2[NewPointsAway],Table2[GameDate], "&lt;=" &amp; $A139, Table2[AwayTeam], K$1)+SUMIFS(Table2[NewPointsHome],Table2[GameDate], "&lt;=" &amp; $A139, Table2[HomeTeam], K$1)</f>
        <v>0</v>
      </c>
      <c r="L139" s="145">
        <f>SUMIFS(Table2[NewPointsAway],Table2[GameDate], "&lt;=" &amp; $A139, Table2[AwayTeam], L$1)+SUMIFS(Table2[NewPointsHome],Table2[GameDate], "&lt;=" &amp; $A139, Table2[HomeTeam], L$1)</f>
        <v>1</v>
      </c>
      <c r="M139" s="145">
        <f>SUMIFS(Table2[NewPointsAway],Table2[GameDate], "&lt;=" &amp; $A139, Table2[AwayTeam], M$1)+SUMIFS(Table2[NewPointsHome],Table2[GameDate], "&lt;=" &amp; $A139, Table2[HomeTeam], M$1)</f>
        <v>2</v>
      </c>
      <c r="N139" s="145">
        <f>SUMIFS(Table2[NewPointsAway],Table2[GameDate], "&lt;=" &amp; $A139, Table2[AwayTeam], N$1)+SUMIFS(Table2[NewPointsHome],Table2[GameDate], "&lt;=" &amp; $A139, Table2[HomeTeam], N$1)</f>
        <v>2</v>
      </c>
      <c r="O139" s="145">
        <f>SUMIFS(Table2[NewPointsAway],Table2[GameDate], "&lt;=" &amp; $A139, Table2[AwayTeam], O$1)+SUMIFS(Table2[NewPointsHome],Table2[GameDate], "&lt;=" &amp; $A139, Table2[HomeTeam], O$1)</f>
        <v>0</v>
      </c>
      <c r="P139" s="145">
        <f>SUMIFS(Table2[NewPointsAway],Table2[GameDate], "&lt;=" &amp; $A139, Table2[AwayTeam], P$1)+SUMIFS(Table2[NewPointsHome],Table2[GameDate], "&lt;=" &amp; $A139, Table2[HomeTeam], P$1)</f>
        <v>0</v>
      </c>
      <c r="Q139" s="145">
        <f>SUMIFS(Table2[NewPointsAway],Table2[GameDate], "&lt;=" &amp; $A139, Table2[AwayTeam], Q$1)+SUMIFS(Table2[NewPointsHome],Table2[GameDate], "&lt;=" &amp; $A139, Table2[HomeTeam], Q$1)</f>
        <v>0</v>
      </c>
      <c r="R139" s="145">
        <f>SUMIFS(Table2[NewPointsAway],Table2[GameDate], "&lt;=" &amp; $A139, Table2[AwayTeam], R$1)+SUMIFS(Table2[NewPointsHome],Table2[GameDate], "&lt;=" &amp; $A139, Table2[HomeTeam], R$1)</f>
        <v>0</v>
      </c>
      <c r="S139" s="145">
        <f>SUMIFS(Table2[NewPointsAway],Table2[GameDate], "&lt;=" &amp; $A139, Table2[AwayTeam], S$1)+SUMIFS(Table2[NewPointsHome],Table2[GameDate], "&lt;=" &amp; $A139, Table2[HomeTeam], S$1)</f>
        <v>0</v>
      </c>
      <c r="T139" s="145">
        <f>SUMIFS(Table2[NewPointsAway],Table2[GameDate], "&lt;=" &amp; $A139, Table2[AwayTeam], T$1)+SUMIFS(Table2[NewPointsHome],Table2[GameDate], "&lt;=" &amp; $A139, Table2[HomeTeam], T$1)</f>
        <v>0</v>
      </c>
      <c r="U139" s="145">
        <f>SUMIFS(Table2[NewPointsAway],Table2[GameDate], "&lt;=" &amp; $A139, Table2[AwayTeam], U$1)+SUMIFS(Table2[NewPointsHome],Table2[GameDate], "&lt;=" &amp; $A139, Table2[HomeTeam], U$1)</f>
        <v>0</v>
      </c>
      <c r="V139" s="145">
        <f>SUMIFS(Table2[NewPointsAway],Table2[GameDate], "&lt;=" &amp; $A139, Table2[AwayTeam], V$1)+SUMIFS(Table2[NewPointsHome],Table2[GameDate], "&lt;=" &amp; $A139, Table2[HomeTeam], V$1)</f>
        <v>0</v>
      </c>
      <c r="W139" s="145">
        <f>SUMIFS(Table2[NewPointsAway],Table2[GameDate], "&lt;=" &amp; $A139, Table2[AwayTeam], W$1)+SUMIFS(Table2[NewPointsHome],Table2[GameDate], "&lt;=" &amp; $A139, Table2[HomeTeam], W$1)</f>
        <v>2</v>
      </c>
      <c r="X139" s="145">
        <f>SUMIFS(Table2[NewPointsAway],Table2[GameDate], "&lt;=" &amp; $A139, Table2[AwayTeam], X$1)+SUMIFS(Table2[NewPointsHome],Table2[GameDate], "&lt;=" &amp; $A139, Table2[HomeTeam], X$1)</f>
        <v>0</v>
      </c>
      <c r="Y139" s="145">
        <f>SUMIFS(Table2[NewPointsAway],Table2[GameDate], "&lt;=" &amp; $A139, Table2[AwayTeam], Y$1)+SUMIFS(Table2[NewPointsHome],Table2[GameDate], "&lt;=" &amp; $A139, Table2[HomeTeam], Y$1)</f>
        <v>0</v>
      </c>
      <c r="Z139" s="145">
        <f>SUMIFS(Table2[NewPointsAway],Table2[GameDate], "&lt;=" &amp; $A139, Table2[AwayTeam], Z$1)+SUMIFS(Table2[NewPointsHome],Table2[GameDate], "&lt;=" &amp; $A139, Table2[HomeTeam], Z$1)</f>
        <v>0</v>
      </c>
      <c r="AA139" s="145">
        <f>SUMIFS(Table2[NewPointsAway],Table2[GameDate], "&lt;=" &amp; $A139, Table2[AwayTeam], AA$1)+SUMIFS(Table2[NewPointsHome],Table2[GameDate], "&lt;=" &amp; $A139, Table2[HomeTeam], AA$1)</f>
        <v>0</v>
      </c>
      <c r="AB139" s="145">
        <f>SUMIFS(Table2[NewPointsAway],Table2[GameDate], "&lt;=" &amp; $A139, Table2[AwayTeam], AB$1)+SUMIFS(Table2[NewPointsHome],Table2[GameDate], "&lt;=" &amp; $A139, Table2[HomeTeam], AB$1)</f>
        <v>2</v>
      </c>
      <c r="AC139" s="145">
        <f>SUMIFS(Table2[NewPointsAway],Table2[GameDate], "&lt;=" &amp; $A139, Table2[AwayTeam], AC$1)+SUMIFS(Table2[NewPointsHome],Table2[GameDate], "&lt;=" &amp; $A139, Table2[HomeTeam], AC$1)</f>
        <v>0</v>
      </c>
      <c r="AD139" s="145">
        <f>SUMIFS(Table2[NewPointsAway],Table2[GameDate], "&lt;=" &amp; $A139, Table2[AwayTeam], AD$1)+SUMIFS(Table2[NewPointsHome],Table2[GameDate], "&lt;=" &amp; $A139, Table2[HomeTeam], AD$1)</f>
        <v>0</v>
      </c>
      <c r="AE139" s="145">
        <f>SUMIFS(Table2[NewPointsAway],Table2[GameDate], "&lt;=" &amp; $A139, Table2[AwayTeam], AE$1)+SUMIFS(Table2[NewPointsHome],Table2[GameDate], "&lt;=" &amp; $A139, Table2[HomeTeam], AE$1)</f>
        <v>1</v>
      </c>
      <c r="AF139" s="145">
        <f>SUMIFS(Table2[NewPointsAway],Table2[GameDate], "&lt;=" &amp; $A139, Table2[AwayTeam], AF$1)+SUMIFS(Table2[NewPointsHome],Table2[GameDate], "&lt;=" &amp; $A139, Table2[HomeTeam], AF$1)</f>
        <v>0</v>
      </c>
      <c r="AG139" s="145">
        <f>SUMIFS(Table2[NewPointsAway],Table2[GameDate], "&lt;=" &amp; $A139, Table2[AwayTeam], AG$1)+SUMIFS(Table2[NewPointsHome],Table2[GameDate], "&lt;=" &amp; $A139, Table2[HomeTeam], AG$1)</f>
        <v>0</v>
      </c>
    </row>
    <row r="140" spans="1:33" x14ac:dyDescent="0.25">
      <c r="A140" s="3">
        <v>46071</v>
      </c>
      <c r="B140" s="145">
        <f>SUMIFS(Table2[NewPointsAway],Table2[GameDate], "&lt;=" &amp; $A140, Table2[AwayTeam], B$1)+SUMIFS(Table2[NewPointsHome],Table2[GameDate], "&lt;=" &amp; $A140, Table2[HomeTeam], B$1)</f>
        <v>0</v>
      </c>
      <c r="C140" s="145">
        <f>SUMIFS(Table2[NewPointsAway],Table2[GameDate], "&lt;=" &amp; $A140, Table2[AwayTeam], C$1)+SUMIFS(Table2[NewPointsHome],Table2[GameDate], "&lt;=" &amp; $A140, Table2[HomeTeam], C$1)</f>
        <v>2</v>
      </c>
      <c r="D140" s="145">
        <f>SUMIFS(Table2[NewPointsAway],Table2[GameDate], "&lt;=" &amp; $A140, Table2[AwayTeam], D$1)+SUMIFS(Table2[NewPointsHome],Table2[GameDate], "&lt;=" &amp; $A140, Table2[HomeTeam], D$1)</f>
        <v>0</v>
      </c>
      <c r="E140" s="145">
        <f>SUMIFS(Table2[NewPointsAway],Table2[GameDate], "&lt;=" &amp; $A140, Table2[AwayTeam], E$1)+SUMIFS(Table2[NewPointsHome],Table2[GameDate], "&lt;=" &amp; $A140, Table2[HomeTeam], E$1)</f>
        <v>0</v>
      </c>
      <c r="F140" s="145">
        <f>SUMIFS(Table2[NewPointsAway],Table2[GameDate], "&lt;=" &amp; $A140, Table2[AwayTeam], F$1)+SUMIFS(Table2[NewPointsHome],Table2[GameDate], "&lt;=" &amp; $A140, Table2[HomeTeam], F$1)</f>
        <v>0</v>
      </c>
      <c r="G140" s="145">
        <f>SUMIFS(Table2[NewPointsAway],Table2[GameDate], "&lt;=" &amp; $A140, Table2[AwayTeam], G$1)+SUMIFS(Table2[NewPointsHome],Table2[GameDate], "&lt;=" &amp; $A140, Table2[HomeTeam], G$1)</f>
        <v>2</v>
      </c>
      <c r="H140" s="145">
        <f>SUMIFS(Table2[NewPointsAway],Table2[GameDate], "&lt;=" &amp; $A140, Table2[AwayTeam], H$1)+SUMIFS(Table2[NewPointsHome],Table2[GameDate], "&lt;=" &amp; $A140, Table2[HomeTeam], H$1)</f>
        <v>0</v>
      </c>
      <c r="I140" s="145">
        <f>SUMIFS(Table2[NewPointsAway],Table2[GameDate], "&lt;=" &amp; $A140, Table2[AwayTeam], I$1)+SUMIFS(Table2[NewPointsHome],Table2[GameDate], "&lt;=" &amp; $A140, Table2[HomeTeam], I$1)</f>
        <v>2</v>
      </c>
      <c r="J140" s="145">
        <f>SUMIFS(Table2[NewPointsAway],Table2[GameDate], "&lt;=" &amp; $A140, Table2[AwayTeam], J$1)+SUMIFS(Table2[NewPointsHome],Table2[GameDate], "&lt;=" &amp; $A140, Table2[HomeTeam], J$1)</f>
        <v>0</v>
      </c>
      <c r="K140" s="145">
        <f>SUMIFS(Table2[NewPointsAway],Table2[GameDate], "&lt;=" &amp; $A140, Table2[AwayTeam], K$1)+SUMIFS(Table2[NewPointsHome],Table2[GameDate], "&lt;=" &amp; $A140, Table2[HomeTeam], K$1)</f>
        <v>0</v>
      </c>
      <c r="L140" s="145">
        <f>SUMIFS(Table2[NewPointsAway],Table2[GameDate], "&lt;=" &amp; $A140, Table2[AwayTeam], L$1)+SUMIFS(Table2[NewPointsHome],Table2[GameDate], "&lt;=" &amp; $A140, Table2[HomeTeam], L$1)</f>
        <v>1</v>
      </c>
      <c r="M140" s="145">
        <f>SUMIFS(Table2[NewPointsAway],Table2[GameDate], "&lt;=" &amp; $A140, Table2[AwayTeam], M$1)+SUMIFS(Table2[NewPointsHome],Table2[GameDate], "&lt;=" &amp; $A140, Table2[HomeTeam], M$1)</f>
        <v>2</v>
      </c>
      <c r="N140" s="145">
        <f>SUMIFS(Table2[NewPointsAway],Table2[GameDate], "&lt;=" &amp; $A140, Table2[AwayTeam], N$1)+SUMIFS(Table2[NewPointsHome],Table2[GameDate], "&lt;=" &amp; $A140, Table2[HomeTeam], N$1)</f>
        <v>2</v>
      </c>
      <c r="O140" s="145">
        <f>SUMIFS(Table2[NewPointsAway],Table2[GameDate], "&lt;=" &amp; $A140, Table2[AwayTeam], O$1)+SUMIFS(Table2[NewPointsHome],Table2[GameDate], "&lt;=" &amp; $A140, Table2[HomeTeam], O$1)</f>
        <v>0</v>
      </c>
      <c r="P140" s="145">
        <f>SUMIFS(Table2[NewPointsAway],Table2[GameDate], "&lt;=" &amp; $A140, Table2[AwayTeam], P$1)+SUMIFS(Table2[NewPointsHome],Table2[GameDate], "&lt;=" &amp; $A140, Table2[HomeTeam], P$1)</f>
        <v>0</v>
      </c>
      <c r="Q140" s="145">
        <f>SUMIFS(Table2[NewPointsAway],Table2[GameDate], "&lt;=" &amp; $A140, Table2[AwayTeam], Q$1)+SUMIFS(Table2[NewPointsHome],Table2[GameDate], "&lt;=" &amp; $A140, Table2[HomeTeam], Q$1)</f>
        <v>0</v>
      </c>
      <c r="R140" s="145">
        <f>SUMIFS(Table2[NewPointsAway],Table2[GameDate], "&lt;=" &amp; $A140, Table2[AwayTeam], R$1)+SUMIFS(Table2[NewPointsHome],Table2[GameDate], "&lt;=" &amp; $A140, Table2[HomeTeam], R$1)</f>
        <v>0</v>
      </c>
      <c r="S140" s="145">
        <f>SUMIFS(Table2[NewPointsAway],Table2[GameDate], "&lt;=" &amp; $A140, Table2[AwayTeam], S$1)+SUMIFS(Table2[NewPointsHome],Table2[GameDate], "&lt;=" &amp; $A140, Table2[HomeTeam], S$1)</f>
        <v>0</v>
      </c>
      <c r="T140" s="145">
        <f>SUMIFS(Table2[NewPointsAway],Table2[GameDate], "&lt;=" &amp; $A140, Table2[AwayTeam], T$1)+SUMIFS(Table2[NewPointsHome],Table2[GameDate], "&lt;=" &amp; $A140, Table2[HomeTeam], T$1)</f>
        <v>0</v>
      </c>
      <c r="U140" s="145">
        <f>SUMIFS(Table2[NewPointsAway],Table2[GameDate], "&lt;=" &amp; $A140, Table2[AwayTeam], U$1)+SUMIFS(Table2[NewPointsHome],Table2[GameDate], "&lt;=" &amp; $A140, Table2[HomeTeam], U$1)</f>
        <v>0</v>
      </c>
      <c r="V140" s="145">
        <f>SUMIFS(Table2[NewPointsAway],Table2[GameDate], "&lt;=" &amp; $A140, Table2[AwayTeam], V$1)+SUMIFS(Table2[NewPointsHome],Table2[GameDate], "&lt;=" &amp; $A140, Table2[HomeTeam], V$1)</f>
        <v>0</v>
      </c>
      <c r="W140" s="145">
        <f>SUMIFS(Table2[NewPointsAway],Table2[GameDate], "&lt;=" &amp; $A140, Table2[AwayTeam], W$1)+SUMIFS(Table2[NewPointsHome],Table2[GameDate], "&lt;=" &amp; $A140, Table2[HomeTeam], W$1)</f>
        <v>2</v>
      </c>
      <c r="X140" s="145">
        <f>SUMIFS(Table2[NewPointsAway],Table2[GameDate], "&lt;=" &amp; $A140, Table2[AwayTeam], X$1)+SUMIFS(Table2[NewPointsHome],Table2[GameDate], "&lt;=" &amp; $A140, Table2[HomeTeam], X$1)</f>
        <v>0</v>
      </c>
      <c r="Y140" s="145">
        <f>SUMIFS(Table2[NewPointsAway],Table2[GameDate], "&lt;=" &amp; $A140, Table2[AwayTeam], Y$1)+SUMIFS(Table2[NewPointsHome],Table2[GameDate], "&lt;=" &amp; $A140, Table2[HomeTeam], Y$1)</f>
        <v>0</v>
      </c>
      <c r="Z140" s="145">
        <f>SUMIFS(Table2[NewPointsAway],Table2[GameDate], "&lt;=" &amp; $A140, Table2[AwayTeam], Z$1)+SUMIFS(Table2[NewPointsHome],Table2[GameDate], "&lt;=" &amp; $A140, Table2[HomeTeam], Z$1)</f>
        <v>0</v>
      </c>
      <c r="AA140" s="145">
        <f>SUMIFS(Table2[NewPointsAway],Table2[GameDate], "&lt;=" &amp; $A140, Table2[AwayTeam], AA$1)+SUMIFS(Table2[NewPointsHome],Table2[GameDate], "&lt;=" &amp; $A140, Table2[HomeTeam], AA$1)</f>
        <v>0</v>
      </c>
      <c r="AB140" s="145">
        <f>SUMIFS(Table2[NewPointsAway],Table2[GameDate], "&lt;=" &amp; $A140, Table2[AwayTeam], AB$1)+SUMIFS(Table2[NewPointsHome],Table2[GameDate], "&lt;=" &amp; $A140, Table2[HomeTeam], AB$1)</f>
        <v>2</v>
      </c>
      <c r="AC140" s="145">
        <f>SUMIFS(Table2[NewPointsAway],Table2[GameDate], "&lt;=" &amp; $A140, Table2[AwayTeam], AC$1)+SUMIFS(Table2[NewPointsHome],Table2[GameDate], "&lt;=" &amp; $A140, Table2[HomeTeam], AC$1)</f>
        <v>0</v>
      </c>
      <c r="AD140" s="145">
        <f>SUMIFS(Table2[NewPointsAway],Table2[GameDate], "&lt;=" &amp; $A140, Table2[AwayTeam], AD$1)+SUMIFS(Table2[NewPointsHome],Table2[GameDate], "&lt;=" &amp; $A140, Table2[HomeTeam], AD$1)</f>
        <v>0</v>
      </c>
      <c r="AE140" s="145">
        <f>SUMIFS(Table2[NewPointsAway],Table2[GameDate], "&lt;=" &amp; $A140, Table2[AwayTeam], AE$1)+SUMIFS(Table2[NewPointsHome],Table2[GameDate], "&lt;=" &amp; $A140, Table2[HomeTeam], AE$1)</f>
        <v>1</v>
      </c>
      <c r="AF140" s="145">
        <f>SUMIFS(Table2[NewPointsAway],Table2[GameDate], "&lt;=" &amp; $A140, Table2[AwayTeam], AF$1)+SUMIFS(Table2[NewPointsHome],Table2[GameDate], "&lt;=" &amp; $A140, Table2[HomeTeam], AF$1)</f>
        <v>0</v>
      </c>
      <c r="AG140" s="145">
        <f>SUMIFS(Table2[NewPointsAway],Table2[GameDate], "&lt;=" &amp; $A140, Table2[AwayTeam], AG$1)+SUMIFS(Table2[NewPointsHome],Table2[GameDate], "&lt;=" &amp; $A140, Table2[HomeTeam], AG$1)</f>
        <v>0</v>
      </c>
    </row>
    <row r="141" spans="1:33" x14ac:dyDescent="0.25">
      <c r="A141" s="3">
        <v>46072</v>
      </c>
      <c r="B141" s="145">
        <f>SUMIFS(Table2[NewPointsAway],Table2[GameDate], "&lt;=" &amp; $A141, Table2[AwayTeam], B$1)+SUMIFS(Table2[NewPointsHome],Table2[GameDate], "&lt;=" &amp; $A141, Table2[HomeTeam], B$1)</f>
        <v>0</v>
      </c>
      <c r="C141" s="145">
        <f>SUMIFS(Table2[NewPointsAway],Table2[GameDate], "&lt;=" &amp; $A141, Table2[AwayTeam], C$1)+SUMIFS(Table2[NewPointsHome],Table2[GameDate], "&lt;=" &amp; $A141, Table2[HomeTeam], C$1)</f>
        <v>2</v>
      </c>
      <c r="D141" s="145">
        <f>SUMIFS(Table2[NewPointsAway],Table2[GameDate], "&lt;=" &amp; $A141, Table2[AwayTeam], D$1)+SUMIFS(Table2[NewPointsHome],Table2[GameDate], "&lt;=" &amp; $A141, Table2[HomeTeam], D$1)</f>
        <v>0</v>
      </c>
      <c r="E141" s="145">
        <f>SUMIFS(Table2[NewPointsAway],Table2[GameDate], "&lt;=" &amp; $A141, Table2[AwayTeam], E$1)+SUMIFS(Table2[NewPointsHome],Table2[GameDate], "&lt;=" &amp; $A141, Table2[HomeTeam], E$1)</f>
        <v>0</v>
      </c>
      <c r="F141" s="145">
        <f>SUMIFS(Table2[NewPointsAway],Table2[GameDate], "&lt;=" &amp; $A141, Table2[AwayTeam], F$1)+SUMIFS(Table2[NewPointsHome],Table2[GameDate], "&lt;=" &amp; $A141, Table2[HomeTeam], F$1)</f>
        <v>0</v>
      </c>
      <c r="G141" s="145">
        <f>SUMIFS(Table2[NewPointsAway],Table2[GameDate], "&lt;=" &amp; $A141, Table2[AwayTeam], G$1)+SUMIFS(Table2[NewPointsHome],Table2[GameDate], "&lt;=" &amp; $A141, Table2[HomeTeam], G$1)</f>
        <v>2</v>
      </c>
      <c r="H141" s="145">
        <f>SUMIFS(Table2[NewPointsAway],Table2[GameDate], "&lt;=" &amp; $A141, Table2[AwayTeam], H$1)+SUMIFS(Table2[NewPointsHome],Table2[GameDate], "&lt;=" &amp; $A141, Table2[HomeTeam], H$1)</f>
        <v>0</v>
      </c>
      <c r="I141" s="145">
        <f>SUMIFS(Table2[NewPointsAway],Table2[GameDate], "&lt;=" &amp; $A141, Table2[AwayTeam], I$1)+SUMIFS(Table2[NewPointsHome],Table2[GameDate], "&lt;=" &amp; $A141, Table2[HomeTeam], I$1)</f>
        <v>2</v>
      </c>
      <c r="J141" s="145">
        <f>SUMIFS(Table2[NewPointsAway],Table2[GameDate], "&lt;=" &amp; $A141, Table2[AwayTeam], J$1)+SUMIFS(Table2[NewPointsHome],Table2[GameDate], "&lt;=" &amp; $A141, Table2[HomeTeam], J$1)</f>
        <v>0</v>
      </c>
      <c r="K141" s="145">
        <f>SUMIFS(Table2[NewPointsAway],Table2[GameDate], "&lt;=" &amp; $A141, Table2[AwayTeam], K$1)+SUMIFS(Table2[NewPointsHome],Table2[GameDate], "&lt;=" &amp; $A141, Table2[HomeTeam], K$1)</f>
        <v>0</v>
      </c>
      <c r="L141" s="145">
        <f>SUMIFS(Table2[NewPointsAway],Table2[GameDate], "&lt;=" &amp; $A141, Table2[AwayTeam], L$1)+SUMIFS(Table2[NewPointsHome],Table2[GameDate], "&lt;=" &amp; $A141, Table2[HomeTeam], L$1)</f>
        <v>1</v>
      </c>
      <c r="M141" s="145">
        <f>SUMIFS(Table2[NewPointsAway],Table2[GameDate], "&lt;=" &amp; $A141, Table2[AwayTeam], M$1)+SUMIFS(Table2[NewPointsHome],Table2[GameDate], "&lt;=" &amp; $A141, Table2[HomeTeam], M$1)</f>
        <v>2</v>
      </c>
      <c r="N141" s="145">
        <f>SUMIFS(Table2[NewPointsAway],Table2[GameDate], "&lt;=" &amp; $A141, Table2[AwayTeam], N$1)+SUMIFS(Table2[NewPointsHome],Table2[GameDate], "&lt;=" &amp; $A141, Table2[HomeTeam], N$1)</f>
        <v>2</v>
      </c>
      <c r="O141" s="145">
        <f>SUMIFS(Table2[NewPointsAway],Table2[GameDate], "&lt;=" &amp; $A141, Table2[AwayTeam], O$1)+SUMIFS(Table2[NewPointsHome],Table2[GameDate], "&lt;=" &amp; $A141, Table2[HomeTeam], O$1)</f>
        <v>0</v>
      </c>
      <c r="P141" s="145">
        <f>SUMIFS(Table2[NewPointsAway],Table2[GameDate], "&lt;=" &amp; $A141, Table2[AwayTeam], P$1)+SUMIFS(Table2[NewPointsHome],Table2[GameDate], "&lt;=" &amp; $A141, Table2[HomeTeam], P$1)</f>
        <v>0</v>
      </c>
      <c r="Q141" s="145">
        <f>SUMIFS(Table2[NewPointsAway],Table2[GameDate], "&lt;=" &amp; $A141, Table2[AwayTeam], Q$1)+SUMIFS(Table2[NewPointsHome],Table2[GameDate], "&lt;=" &amp; $A141, Table2[HomeTeam], Q$1)</f>
        <v>0</v>
      </c>
      <c r="R141" s="145">
        <f>SUMIFS(Table2[NewPointsAway],Table2[GameDate], "&lt;=" &amp; $A141, Table2[AwayTeam], R$1)+SUMIFS(Table2[NewPointsHome],Table2[GameDate], "&lt;=" &amp; $A141, Table2[HomeTeam], R$1)</f>
        <v>0</v>
      </c>
      <c r="S141" s="145">
        <f>SUMIFS(Table2[NewPointsAway],Table2[GameDate], "&lt;=" &amp; $A141, Table2[AwayTeam], S$1)+SUMIFS(Table2[NewPointsHome],Table2[GameDate], "&lt;=" &amp; $A141, Table2[HomeTeam], S$1)</f>
        <v>0</v>
      </c>
      <c r="T141" s="145">
        <f>SUMIFS(Table2[NewPointsAway],Table2[GameDate], "&lt;=" &amp; $A141, Table2[AwayTeam], T$1)+SUMIFS(Table2[NewPointsHome],Table2[GameDate], "&lt;=" &amp; $A141, Table2[HomeTeam], T$1)</f>
        <v>0</v>
      </c>
      <c r="U141" s="145">
        <f>SUMIFS(Table2[NewPointsAway],Table2[GameDate], "&lt;=" &amp; $A141, Table2[AwayTeam], U$1)+SUMIFS(Table2[NewPointsHome],Table2[GameDate], "&lt;=" &amp; $A141, Table2[HomeTeam], U$1)</f>
        <v>0</v>
      </c>
      <c r="V141" s="145">
        <f>SUMIFS(Table2[NewPointsAway],Table2[GameDate], "&lt;=" &amp; $A141, Table2[AwayTeam], V$1)+SUMIFS(Table2[NewPointsHome],Table2[GameDate], "&lt;=" &amp; $A141, Table2[HomeTeam], V$1)</f>
        <v>0</v>
      </c>
      <c r="W141" s="145">
        <f>SUMIFS(Table2[NewPointsAway],Table2[GameDate], "&lt;=" &amp; $A141, Table2[AwayTeam], W$1)+SUMIFS(Table2[NewPointsHome],Table2[GameDate], "&lt;=" &amp; $A141, Table2[HomeTeam], W$1)</f>
        <v>2</v>
      </c>
      <c r="X141" s="145">
        <f>SUMIFS(Table2[NewPointsAway],Table2[GameDate], "&lt;=" &amp; $A141, Table2[AwayTeam], X$1)+SUMIFS(Table2[NewPointsHome],Table2[GameDate], "&lt;=" &amp; $A141, Table2[HomeTeam], X$1)</f>
        <v>0</v>
      </c>
      <c r="Y141" s="145">
        <f>SUMIFS(Table2[NewPointsAway],Table2[GameDate], "&lt;=" &amp; $A141, Table2[AwayTeam], Y$1)+SUMIFS(Table2[NewPointsHome],Table2[GameDate], "&lt;=" &amp; $A141, Table2[HomeTeam], Y$1)</f>
        <v>0</v>
      </c>
      <c r="Z141" s="145">
        <f>SUMIFS(Table2[NewPointsAway],Table2[GameDate], "&lt;=" &amp; $A141, Table2[AwayTeam], Z$1)+SUMIFS(Table2[NewPointsHome],Table2[GameDate], "&lt;=" &amp; $A141, Table2[HomeTeam], Z$1)</f>
        <v>0</v>
      </c>
      <c r="AA141" s="145">
        <f>SUMIFS(Table2[NewPointsAway],Table2[GameDate], "&lt;=" &amp; $A141, Table2[AwayTeam], AA$1)+SUMIFS(Table2[NewPointsHome],Table2[GameDate], "&lt;=" &amp; $A141, Table2[HomeTeam], AA$1)</f>
        <v>0</v>
      </c>
      <c r="AB141" s="145">
        <f>SUMIFS(Table2[NewPointsAway],Table2[GameDate], "&lt;=" &amp; $A141, Table2[AwayTeam], AB$1)+SUMIFS(Table2[NewPointsHome],Table2[GameDate], "&lt;=" &amp; $A141, Table2[HomeTeam], AB$1)</f>
        <v>2</v>
      </c>
      <c r="AC141" s="145">
        <f>SUMIFS(Table2[NewPointsAway],Table2[GameDate], "&lt;=" &amp; $A141, Table2[AwayTeam], AC$1)+SUMIFS(Table2[NewPointsHome],Table2[GameDate], "&lt;=" &amp; $A141, Table2[HomeTeam], AC$1)</f>
        <v>0</v>
      </c>
      <c r="AD141" s="145">
        <f>SUMIFS(Table2[NewPointsAway],Table2[GameDate], "&lt;=" &amp; $A141, Table2[AwayTeam], AD$1)+SUMIFS(Table2[NewPointsHome],Table2[GameDate], "&lt;=" &amp; $A141, Table2[HomeTeam], AD$1)</f>
        <v>0</v>
      </c>
      <c r="AE141" s="145">
        <f>SUMIFS(Table2[NewPointsAway],Table2[GameDate], "&lt;=" &amp; $A141, Table2[AwayTeam], AE$1)+SUMIFS(Table2[NewPointsHome],Table2[GameDate], "&lt;=" &amp; $A141, Table2[HomeTeam], AE$1)</f>
        <v>1</v>
      </c>
      <c r="AF141" s="145">
        <f>SUMIFS(Table2[NewPointsAway],Table2[GameDate], "&lt;=" &amp; $A141, Table2[AwayTeam], AF$1)+SUMIFS(Table2[NewPointsHome],Table2[GameDate], "&lt;=" &amp; $A141, Table2[HomeTeam], AF$1)</f>
        <v>0</v>
      </c>
      <c r="AG141" s="145">
        <f>SUMIFS(Table2[NewPointsAway],Table2[GameDate], "&lt;=" &amp; $A141, Table2[AwayTeam], AG$1)+SUMIFS(Table2[NewPointsHome],Table2[GameDate], "&lt;=" &amp; $A141, Table2[HomeTeam], AG$1)</f>
        <v>0</v>
      </c>
    </row>
    <row r="142" spans="1:33" x14ac:dyDescent="0.25">
      <c r="A142" s="3">
        <v>46073</v>
      </c>
      <c r="B142" s="145">
        <f>SUMIFS(Table2[NewPointsAway],Table2[GameDate], "&lt;=" &amp; $A142, Table2[AwayTeam], B$1)+SUMIFS(Table2[NewPointsHome],Table2[GameDate], "&lt;=" &amp; $A142, Table2[HomeTeam], B$1)</f>
        <v>0</v>
      </c>
      <c r="C142" s="145">
        <f>SUMIFS(Table2[NewPointsAway],Table2[GameDate], "&lt;=" &amp; $A142, Table2[AwayTeam], C$1)+SUMIFS(Table2[NewPointsHome],Table2[GameDate], "&lt;=" &amp; $A142, Table2[HomeTeam], C$1)</f>
        <v>2</v>
      </c>
      <c r="D142" s="145">
        <f>SUMIFS(Table2[NewPointsAway],Table2[GameDate], "&lt;=" &amp; $A142, Table2[AwayTeam], D$1)+SUMIFS(Table2[NewPointsHome],Table2[GameDate], "&lt;=" &amp; $A142, Table2[HomeTeam], D$1)</f>
        <v>0</v>
      </c>
      <c r="E142" s="145">
        <f>SUMIFS(Table2[NewPointsAway],Table2[GameDate], "&lt;=" &amp; $A142, Table2[AwayTeam], E$1)+SUMIFS(Table2[NewPointsHome],Table2[GameDate], "&lt;=" &amp; $A142, Table2[HomeTeam], E$1)</f>
        <v>0</v>
      </c>
      <c r="F142" s="145">
        <f>SUMIFS(Table2[NewPointsAway],Table2[GameDate], "&lt;=" &amp; $A142, Table2[AwayTeam], F$1)+SUMIFS(Table2[NewPointsHome],Table2[GameDate], "&lt;=" &amp; $A142, Table2[HomeTeam], F$1)</f>
        <v>0</v>
      </c>
      <c r="G142" s="145">
        <f>SUMIFS(Table2[NewPointsAway],Table2[GameDate], "&lt;=" &amp; $A142, Table2[AwayTeam], G$1)+SUMIFS(Table2[NewPointsHome],Table2[GameDate], "&lt;=" &amp; $A142, Table2[HomeTeam], G$1)</f>
        <v>2</v>
      </c>
      <c r="H142" s="145">
        <f>SUMIFS(Table2[NewPointsAway],Table2[GameDate], "&lt;=" &amp; $A142, Table2[AwayTeam], H$1)+SUMIFS(Table2[NewPointsHome],Table2[GameDate], "&lt;=" &amp; $A142, Table2[HomeTeam], H$1)</f>
        <v>0</v>
      </c>
      <c r="I142" s="145">
        <f>SUMIFS(Table2[NewPointsAway],Table2[GameDate], "&lt;=" &amp; $A142, Table2[AwayTeam], I$1)+SUMIFS(Table2[NewPointsHome],Table2[GameDate], "&lt;=" &amp; $A142, Table2[HomeTeam], I$1)</f>
        <v>2</v>
      </c>
      <c r="J142" s="145">
        <f>SUMIFS(Table2[NewPointsAway],Table2[GameDate], "&lt;=" &amp; $A142, Table2[AwayTeam], J$1)+SUMIFS(Table2[NewPointsHome],Table2[GameDate], "&lt;=" &amp; $A142, Table2[HomeTeam], J$1)</f>
        <v>0</v>
      </c>
      <c r="K142" s="145">
        <f>SUMIFS(Table2[NewPointsAway],Table2[GameDate], "&lt;=" &amp; $A142, Table2[AwayTeam], K$1)+SUMIFS(Table2[NewPointsHome],Table2[GameDate], "&lt;=" &amp; $A142, Table2[HomeTeam], K$1)</f>
        <v>0</v>
      </c>
      <c r="L142" s="145">
        <f>SUMIFS(Table2[NewPointsAway],Table2[GameDate], "&lt;=" &amp; $A142, Table2[AwayTeam], L$1)+SUMIFS(Table2[NewPointsHome],Table2[GameDate], "&lt;=" &amp; $A142, Table2[HomeTeam], L$1)</f>
        <v>1</v>
      </c>
      <c r="M142" s="145">
        <f>SUMIFS(Table2[NewPointsAway],Table2[GameDate], "&lt;=" &amp; $A142, Table2[AwayTeam], M$1)+SUMIFS(Table2[NewPointsHome],Table2[GameDate], "&lt;=" &amp; $A142, Table2[HomeTeam], M$1)</f>
        <v>2</v>
      </c>
      <c r="N142" s="145">
        <f>SUMIFS(Table2[NewPointsAway],Table2[GameDate], "&lt;=" &amp; $A142, Table2[AwayTeam], N$1)+SUMIFS(Table2[NewPointsHome],Table2[GameDate], "&lt;=" &amp; $A142, Table2[HomeTeam], N$1)</f>
        <v>2</v>
      </c>
      <c r="O142" s="145">
        <f>SUMIFS(Table2[NewPointsAway],Table2[GameDate], "&lt;=" &amp; $A142, Table2[AwayTeam], O$1)+SUMIFS(Table2[NewPointsHome],Table2[GameDate], "&lt;=" &amp; $A142, Table2[HomeTeam], O$1)</f>
        <v>0</v>
      </c>
      <c r="P142" s="145">
        <f>SUMIFS(Table2[NewPointsAway],Table2[GameDate], "&lt;=" &amp; $A142, Table2[AwayTeam], P$1)+SUMIFS(Table2[NewPointsHome],Table2[GameDate], "&lt;=" &amp; $A142, Table2[HomeTeam], P$1)</f>
        <v>0</v>
      </c>
      <c r="Q142" s="145">
        <f>SUMIFS(Table2[NewPointsAway],Table2[GameDate], "&lt;=" &amp; $A142, Table2[AwayTeam], Q$1)+SUMIFS(Table2[NewPointsHome],Table2[GameDate], "&lt;=" &amp; $A142, Table2[HomeTeam], Q$1)</f>
        <v>0</v>
      </c>
      <c r="R142" s="145">
        <f>SUMIFS(Table2[NewPointsAway],Table2[GameDate], "&lt;=" &amp; $A142, Table2[AwayTeam], R$1)+SUMIFS(Table2[NewPointsHome],Table2[GameDate], "&lt;=" &amp; $A142, Table2[HomeTeam], R$1)</f>
        <v>0</v>
      </c>
      <c r="S142" s="145">
        <f>SUMIFS(Table2[NewPointsAway],Table2[GameDate], "&lt;=" &amp; $A142, Table2[AwayTeam], S$1)+SUMIFS(Table2[NewPointsHome],Table2[GameDate], "&lt;=" &amp; $A142, Table2[HomeTeam], S$1)</f>
        <v>0</v>
      </c>
      <c r="T142" s="145">
        <f>SUMIFS(Table2[NewPointsAway],Table2[GameDate], "&lt;=" &amp; $A142, Table2[AwayTeam], T$1)+SUMIFS(Table2[NewPointsHome],Table2[GameDate], "&lt;=" &amp; $A142, Table2[HomeTeam], T$1)</f>
        <v>0</v>
      </c>
      <c r="U142" s="145">
        <f>SUMIFS(Table2[NewPointsAway],Table2[GameDate], "&lt;=" &amp; $A142, Table2[AwayTeam], U$1)+SUMIFS(Table2[NewPointsHome],Table2[GameDate], "&lt;=" &amp; $A142, Table2[HomeTeam], U$1)</f>
        <v>0</v>
      </c>
      <c r="V142" s="145">
        <f>SUMIFS(Table2[NewPointsAway],Table2[GameDate], "&lt;=" &amp; $A142, Table2[AwayTeam], V$1)+SUMIFS(Table2[NewPointsHome],Table2[GameDate], "&lt;=" &amp; $A142, Table2[HomeTeam], V$1)</f>
        <v>0</v>
      </c>
      <c r="W142" s="145">
        <f>SUMIFS(Table2[NewPointsAway],Table2[GameDate], "&lt;=" &amp; $A142, Table2[AwayTeam], W$1)+SUMIFS(Table2[NewPointsHome],Table2[GameDate], "&lt;=" &amp; $A142, Table2[HomeTeam], W$1)</f>
        <v>2</v>
      </c>
      <c r="X142" s="145">
        <f>SUMIFS(Table2[NewPointsAway],Table2[GameDate], "&lt;=" &amp; $A142, Table2[AwayTeam], X$1)+SUMIFS(Table2[NewPointsHome],Table2[GameDate], "&lt;=" &amp; $A142, Table2[HomeTeam], X$1)</f>
        <v>0</v>
      </c>
      <c r="Y142" s="145">
        <f>SUMIFS(Table2[NewPointsAway],Table2[GameDate], "&lt;=" &amp; $A142, Table2[AwayTeam], Y$1)+SUMIFS(Table2[NewPointsHome],Table2[GameDate], "&lt;=" &amp; $A142, Table2[HomeTeam], Y$1)</f>
        <v>0</v>
      </c>
      <c r="Z142" s="145">
        <f>SUMIFS(Table2[NewPointsAway],Table2[GameDate], "&lt;=" &amp; $A142, Table2[AwayTeam], Z$1)+SUMIFS(Table2[NewPointsHome],Table2[GameDate], "&lt;=" &amp; $A142, Table2[HomeTeam], Z$1)</f>
        <v>0</v>
      </c>
      <c r="AA142" s="145">
        <f>SUMIFS(Table2[NewPointsAway],Table2[GameDate], "&lt;=" &amp; $A142, Table2[AwayTeam], AA$1)+SUMIFS(Table2[NewPointsHome],Table2[GameDate], "&lt;=" &amp; $A142, Table2[HomeTeam], AA$1)</f>
        <v>0</v>
      </c>
      <c r="AB142" s="145">
        <f>SUMIFS(Table2[NewPointsAway],Table2[GameDate], "&lt;=" &amp; $A142, Table2[AwayTeam], AB$1)+SUMIFS(Table2[NewPointsHome],Table2[GameDate], "&lt;=" &amp; $A142, Table2[HomeTeam], AB$1)</f>
        <v>2</v>
      </c>
      <c r="AC142" s="145">
        <f>SUMIFS(Table2[NewPointsAway],Table2[GameDate], "&lt;=" &amp; $A142, Table2[AwayTeam], AC$1)+SUMIFS(Table2[NewPointsHome],Table2[GameDate], "&lt;=" &amp; $A142, Table2[HomeTeam], AC$1)</f>
        <v>0</v>
      </c>
      <c r="AD142" s="145">
        <f>SUMIFS(Table2[NewPointsAway],Table2[GameDate], "&lt;=" &amp; $A142, Table2[AwayTeam], AD$1)+SUMIFS(Table2[NewPointsHome],Table2[GameDate], "&lt;=" &amp; $A142, Table2[HomeTeam], AD$1)</f>
        <v>0</v>
      </c>
      <c r="AE142" s="145">
        <f>SUMIFS(Table2[NewPointsAway],Table2[GameDate], "&lt;=" &amp; $A142, Table2[AwayTeam], AE$1)+SUMIFS(Table2[NewPointsHome],Table2[GameDate], "&lt;=" &amp; $A142, Table2[HomeTeam], AE$1)</f>
        <v>1</v>
      </c>
      <c r="AF142" s="145">
        <f>SUMIFS(Table2[NewPointsAway],Table2[GameDate], "&lt;=" &amp; $A142, Table2[AwayTeam], AF$1)+SUMIFS(Table2[NewPointsHome],Table2[GameDate], "&lt;=" &amp; $A142, Table2[HomeTeam], AF$1)</f>
        <v>0</v>
      </c>
      <c r="AG142" s="145">
        <f>SUMIFS(Table2[NewPointsAway],Table2[GameDate], "&lt;=" &amp; $A142, Table2[AwayTeam], AG$1)+SUMIFS(Table2[NewPointsHome],Table2[GameDate], "&lt;=" &amp; $A142, Table2[HomeTeam], AG$1)</f>
        <v>0</v>
      </c>
    </row>
    <row r="143" spans="1:33" x14ac:dyDescent="0.25">
      <c r="A143" s="3">
        <v>46074</v>
      </c>
      <c r="B143" s="145">
        <f>SUMIFS(Table2[NewPointsAway],Table2[GameDate], "&lt;=" &amp; $A143, Table2[AwayTeam], B$1)+SUMIFS(Table2[NewPointsHome],Table2[GameDate], "&lt;=" &amp; $A143, Table2[HomeTeam], B$1)</f>
        <v>0</v>
      </c>
      <c r="C143" s="145">
        <f>SUMIFS(Table2[NewPointsAway],Table2[GameDate], "&lt;=" &amp; $A143, Table2[AwayTeam], C$1)+SUMIFS(Table2[NewPointsHome],Table2[GameDate], "&lt;=" &amp; $A143, Table2[HomeTeam], C$1)</f>
        <v>2</v>
      </c>
      <c r="D143" s="145">
        <f>SUMIFS(Table2[NewPointsAway],Table2[GameDate], "&lt;=" &amp; $A143, Table2[AwayTeam], D$1)+SUMIFS(Table2[NewPointsHome],Table2[GameDate], "&lt;=" &amp; $A143, Table2[HomeTeam], D$1)</f>
        <v>0</v>
      </c>
      <c r="E143" s="145">
        <f>SUMIFS(Table2[NewPointsAway],Table2[GameDate], "&lt;=" &amp; $A143, Table2[AwayTeam], E$1)+SUMIFS(Table2[NewPointsHome],Table2[GameDate], "&lt;=" &amp; $A143, Table2[HomeTeam], E$1)</f>
        <v>0</v>
      </c>
      <c r="F143" s="145">
        <f>SUMIFS(Table2[NewPointsAway],Table2[GameDate], "&lt;=" &amp; $A143, Table2[AwayTeam], F$1)+SUMIFS(Table2[NewPointsHome],Table2[GameDate], "&lt;=" &amp; $A143, Table2[HomeTeam], F$1)</f>
        <v>0</v>
      </c>
      <c r="G143" s="145">
        <f>SUMIFS(Table2[NewPointsAway],Table2[GameDate], "&lt;=" &amp; $A143, Table2[AwayTeam], G$1)+SUMIFS(Table2[NewPointsHome],Table2[GameDate], "&lt;=" &amp; $A143, Table2[HomeTeam], G$1)</f>
        <v>2</v>
      </c>
      <c r="H143" s="145">
        <f>SUMIFS(Table2[NewPointsAway],Table2[GameDate], "&lt;=" &amp; $A143, Table2[AwayTeam], H$1)+SUMIFS(Table2[NewPointsHome],Table2[GameDate], "&lt;=" &amp; $A143, Table2[HomeTeam], H$1)</f>
        <v>0</v>
      </c>
      <c r="I143" s="145">
        <f>SUMIFS(Table2[NewPointsAway],Table2[GameDate], "&lt;=" &amp; $A143, Table2[AwayTeam], I$1)+SUMIFS(Table2[NewPointsHome],Table2[GameDate], "&lt;=" &amp; $A143, Table2[HomeTeam], I$1)</f>
        <v>2</v>
      </c>
      <c r="J143" s="145">
        <f>SUMIFS(Table2[NewPointsAway],Table2[GameDate], "&lt;=" &amp; $A143, Table2[AwayTeam], J$1)+SUMIFS(Table2[NewPointsHome],Table2[GameDate], "&lt;=" &amp; $A143, Table2[HomeTeam], J$1)</f>
        <v>0</v>
      </c>
      <c r="K143" s="145">
        <f>SUMIFS(Table2[NewPointsAway],Table2[GameDate], "&lt;=" &amp; $A143, Table2[AwayTeam], K$1)+SUMIFS(Table2[NewPointsHome],Table2[GameDate], "&lt;=" &amp; $A143, Table2[HomeTeam], K$1)</f>
        <v>0</v>
      </c>
      <c r="L143" s="145">
        <f>SUMIFS(Table2[NewPointsAway],Table2[GameDate], "&lt;=" &amp; $A143, Table2[AwayTeam], L$1)+SUMIFS(Table2[NewPointsHome],Table2[GameDate], "&lt;=" &amp; $A143, Table2[HomeTeam], L$1)</f>
        <v>1</v>
      </c>
      <c r="M143" s="145">
        <f>SUMIFS(Table2[NewPointsAway],Table2[GameDate], "&lt;=" &amp; $A143, Table2[AwayTeam], M$1)+SUMIFS(Table2[NewPointsHome],Table2[GameDate], "&lt;=" &amp; $A143, Table2[HomeTeam], M$1)</f>
        <v>2</v>
      </c>
      <c r="N143" s="145">
        <f>SUMIFS(Table2[NewPointsAway],Table2[GameDate], "&lt;=" &amp; $A143, Table2[AwayTeam], N$1)+SUMIFS(Table2[NewPointsHome],Table2[GameDate], "&lt;=" &amp; $A143, Table2[HomeTeam], N$1)</f>
        <v>2</v>
      </c>
      <c r="O143" s="145">
        <f>SUMIFS(Table2[NewPointsAway],Table2[GameDate], "&lt;=" &amp; $A143, Table2[AwayTeam], O$1)+SUMIFS(Table2[NewPointsHome],Table2[GameDate], "&lt;=" &amp; $A143, Table2[HomeTeam], O$1)</f>
        <v>0</v>
      </c>
      <c r="P143" s="145">
        <f>SUMIFS(Table2[NewPointsAway],Table2[GameDate], "&lt;=" &amp; $A143, Table2[AwayTeam], P$1)+SUMIFS(Table2[NewPointsHome],Table2[GameDate], "&lt;=" &amp; $A143, Table2[HomeTeam], P$1)</f>
        <v>0</v>
      </c>
      <c r="Q143" s="145">
        <f>SUMIFS(Table2[NewPointsAway],Table2[GameDate], "&lt;=" &amp; $A143, Table2[AwayTeam], Q$1)+SUMIFS(Table2[NewPointsHome],Table2[GameDate], "&lt;=" &amp; $A143, Table2[HomeTeam], Q$1)</f>
        <v>0</v>
      </c>
      <c r="R143" s="145">
        <f>SUMIFS(Table2[NewPointsAway],Table2[GameDate], "&lt;=" &amp; $A143, Table2[AwayTeam], R$1)+SUMIFS(Table2[NewPointsHome],Table2[GameDate], "&lt;=" &amp; $A143, Table2[HomeTeam], R$1)</f>
        <v>0</v>
      </c>
      <c r="S143" s="145">
        <f>SUMIFS(Table2[NewPointsAway],Table2[GameDate], "&lt;=" &amp; $A143, Table2[AwayTeam], S$1)+SUMIFS(Table2[NewPointsHome],Table2[GameDate], "&lt;=" &amp; $A143, Table2[HomeTeam], S$1)</f>
        <v>0</v>
      </c>
      <c r="T143" s="145">
        <f>SUMIFS(Table2[NewPointsAway],Table2[GameDate], "&lt;=" &amp; $A143, Table2[AwayTeam], T$1)+SUMIFS(Table2[NewPointsHome],Table2[GameDate], "&lt;=" &amp; $A143, Table2[HomeTeam], T$1)</f>
        <v>0</v>
      </c>
      <c r="U143" s="145">
        <f>SUMIFS(Table2[NewPointsAway],Table2[GameDate], "&lt;=" &amp; $A143, Table2[AwayTeam], U$1)+SUMIFS(Table2[NewPointsHome],Table2[GameDate], "&lt;=" &amp; $A143, Table2[HomeTeam], U$1)</f>
        <v>0</v>
      </c>
      <c r="V143" s="145">
        <f>SUMIFS(Table2[NewPointsAway],Table2[GameDate], "&lt;=" &amp; $A143, Table2[AwayTeam], V$1)+SUMIFS(Table2[NewPointsHome],Table2[GameDate], "&lt;=" &amp; $A143, Table2[HomeTeam], V$1)</f>
        <v>0</v>
      </c>
      <c r="W143" s="145">
        <f>SUMIFS(Table2[NewPointsAway],Table2[GameDate], "&lt;=" &amp; $A143, Table2[AwayTeam], W$1)+SUMIFS(Table2[NewPointsHome],Table2[GameDate], "&lt;=" &amp; $A143, Table2[HomeTeam], W$1)</f>
        <v>2</v>
      </c>
      <c r="X143" s="145">
        <f>SUMIFS(Table2[NewPointsAway],Table2[GameDate], "&lt;=" &amp; $A143, Table2[AwayTeam], X$1)+SUMIFS(Table2[NewPointsHome],Table2[GameDate], "&lt;=" &amp; $A143, Table2[HomeTeam], X$1)</f>
        <v>0</v>
      </c>
      <c r="Y143" s="145">
        <f>SUMIFS(Table2[NewPointsAway],Table2[GameDate], "&lt;=" &amp; $A143, Table2[AwayTeam], Y$1)+SUMIFS(Table2[NewPointsHome],Table2[GameDate], "&lt;=" &amp; $A143, Table2[HomeTeam], Y$1)</f>
        <v>0</v>
      </c>
      <c r="Z143" s="145">
        <f>SUMIFS(Table2[NewPointsAway],Table2[GameDate], "&lt;=" &amp; $A143, Table2[AwayTeam], Z$1)+SUMIFS(Table2[NewPointsHome],Table2[GameDate], "&lt;=" &amp; $A143, Table2[HomeTeam], Z$1)</f>
        <v>0</v>
      </c>
      <c r="AA143" s="145">
        <f>SUMIFS(Table2[NewPointsAway],Table2[GameDate], "&lt;=" &amp; $A143, Table2[AwayTeam], AA$1)+SUMIFS(Table2[NewPointsHome],Table2[GameDate], "&lt;=" &amp; $A143, Table2[HomeTeam], AA$1)</f>
        <v>0</v>
      </c>
      <c r="AB143" s="145">
        <f>SUMIFS(Table2[NewPointsAway],Table2[GameDate], "&lt;=" &amp; $A143, Table2[AwayTeam], AB$1)+SUMIFS(Table2[NewPointsHome],Table2[GameDate], "&lt;=" &amp; $A143, Table2[HomeTeam], AB$1)</f>
        <v>2</v>
      </c>
      <c r="AC143" s="145">
        <f>SUMIFS(Table2[NewPointsAway],Table2[GameDate], "&lt;=" &amp; $A143, Table2[AwayTeam], AC$1)+SUMIFS(Table2[NewPointsHome],Table2[GameDate], "&lt;=" &amp; $A143, Table2[HomeTeam], AC$1)</f>
        <v>0</v>
      </c>
      <c r="AD143" s="145">
        <f>SUMIFS(Table2[NewPointsAway],Table2[GameDate], "&lt;=" &amp; $A143, Table2[AwayTeam], AD$1)+SUMIFS(Table2[NewPointsHome],Table2[GameDate], "&lt;=" &amp; $A143, Table2[HomeTeam], AD$1)</f>
        <v>0</v>
      </c>
      <c r="AE143" s="145">
        <f>SUMIFS(Table2[NewPointsAway],Table2[GameDate], "&lt;=" &amp; $A143, Table2[AwayTeam], AE$1)+SUMIFS(Table2[NewPointsHome],Table2[GameDate], "&lt;=" &amp; $A143, Table2[HomeTeam], AE$1)</f>
        <v>1</v>
      </c>
      <c r="AF143" s="145">
        <f>SUMIFS(Table2[NewPointsAway],Table2[GameDate], "&lt;=" &amp; $A143, Table2[AwayTeam], AF$1)+SUMIFS(Table2[NewPointsHome],Table2[GameDate], "&lt;=" &amp; $A143, Table2[HomeTeam], AF$1)</f>
        <v>0</v>
      </c>
      <c r="AG143" s="145">
        <f>SUMIFS(Table2[NewPointsAway],Table2[GameDate], "&lt;=" &amp; $A143, Table2[AwayTeam], AG$1)+SUMIFS(Table2[NewPointsHome],Table2[GameDate], "&lt;=" &amp; $A143, Table2[HomeTeam], AG$1)</f>
        <v>0</v>
      </c>
    </row>
    <row r="144" spans="1:33" x14ac:dyDescent="0.25">
      <c r="A144" s="3">
        <v>46075</v>
      </c>
      <c r="B144" s="145">
        <f>SUMIFS(Table2[NewPointsAway],Table2[GameDate], "&lt;=" &amp; $A144, Table2[AwayTeam], B$1)+SUMIFS(Table2[NewPointsHome],Table2[GameDate], "&lt;=" &amp; $A144, Table2[HomeTeam], B$1)</f>
        <v>0</v>
      </c>
      <c r="C144" s="145">
        <f>SUMIFS(Table2[NewPointsAway],Table2[GameDate], "&lt;=" &amp; $A144, Table2[AwayTeam], C$1)+SUMIFS(Table2[NewPointsHome],Table2[GameDate], "&lt;=" &amp; $A144, Table2[HomeTeam], C$1)</f>
        <v>2</v>
      </c>
      <c r="D144" s="145">
        <f>SUMIFS(Table2[NewPointsAway],Table2[GameDate], "&lt;=" &amp; $A144, Table2[AwayTeam], D$1)+SUMIFS(Table2[NewPointsHome],Table2[GameDate], "&lt;=" &amp; $A144, Table2[HomeTeam], D$1)</f>
        <v>0</v>
      </c>
      <c r="E144" s="145">
        <f>SUMIFS(Table2[NewPointsAway],Table2[GameDate], "&lt;=" &amp; $A144, Table2[AwayTeam], E$1)+SUMIFS(Table2[NewPointsHome],Table2[GameDate], "&lt;=" &amp; $A144, Table2[HomeTeam], E$1)</f>
        <v>0</v>
      </c>
      <c r="F144" s="145">
        <f>SUMIFS(Table2[NewPointsAway],Table2[GameDate], "&lt;=" &amp; $A144, Table2[AwayTeam], F$1)+SUMIFS(Table2[NewPointsHome],Table2[GameDate], "&lt;=" &amp; $A144, Table2[HomeTeam], F$1)</f>
        <v>0</v>
      </c>
      <c r="G144" s="145">
        <f>SUMIFS(Table2[NewPointsAway],Table2[GameDate], "&lt;=" &amp; $A144, Table2[AwayTeam], G$1)+SUMIFS(Table2[NewPointsHome],Table2[GameDate], "&lt;=" &amp; $A144, Table2[HomeTeam], G$1)</f>
        <v>2</v>
      </c>
      <c r="H144" s="145">
        <f>SUMIFS(Table2[NewPointsAway],Table2[GameDate], "&lt;=" &amp; $A144, Table2[AwayTeam], H$1)+SUMIFS(Table2[NewPointsHome],Table2[GameDate], "&lt;=" &amp; $A144, Table2[HomeTeam], H$1)</f>
        <v>0</v>
      </c>
      <c r="I144" s="145">
        <f>SUMIFS(Table2[NewPointsAway],Table2[GameDate], "&lt;=" &amp; $A144, Table2[AwayTeam], I$1)+SUMIFS(Table2[NewPointsHome],Table2[GameDate], "&lt;=" &amp; $A144, Table2[HomeTeam], I$1)</f>
        <v>2</v>
      </c>
      <c r="J144" s="145">
        <f>SUMIFS(Table2[NewPointsAway],Table2[GameDate], "&lt;=" &amp; $A144, Table2[AwayTeam], J$1)+SUMIFS(Table2[NewPointsHome],Table2[GameDate], "&lt;=" &amp; $A144, Table2[HomeTeam], J$1)</f>
        <v>0</v>
      </c>
      <c r="K144" s="145">
        <f>SUMIFS(Table2[NewPointsAway],Table2[GameDate], "&lt;=" &amp; $A144, Table2[AwayTeam], K$1)+SUMIFS(Table2[NewPointsHome],Table2[GameDate], "&lt;=" &amp; $A144, Table2[HomeTeam], K$1)</f>
        <v>0</v>
      </c>
      <c r="L144" s="145">
        <f>SUMIFS(Table2[NewPointsAway],Table2[GameDate], "&lt;=" &amp; $A144, Table2[AwayTeam], L$1)+SUMIFS(Table2[NewPointsHome],Table2[GameDate], "&lt;=" &amp; $A144, Table2[HomeTeam], L$1)</f>
        <v>1</v>
      </c>
      <c r="M144" s="145">
        <f>SUMIFS(Table2[NewPointsAway],Table2[GameDate], "&lt;=" &amp; $A144, Table2[AwayTeam], M$1)+SUMIFS(Table2[NewPointsHome],Table2[GameDate], "&lt;=" &amp; $A144, Table2[HomeTeam], M$1)</f>
        <v>2</v>
      </c>
      <c r="N144" s="145">
        <f>SUMIFS(Table2[NewPointsAway],Table2[GameDate], "&lt;=" &amp; $A144, Table2[AwayTeam], N$1)+SUMIFS(Table2[NewPointsHome],Table2[GameDate], "&lt;=" &amp; $A144, Table2[HomeTeam], N$1)</f>
        <v>2</v>
      </c>
      <c r="O144" s="145">
        <f>SUMIFS(Table2[NewPointsAway],Table2[GameDate], "&lt;=" &amp; $A144, Table2[AwayTeam], O$1)+SUMIFS(Table2[NewPointsHome],Table2[GameDate], "&lt;=" &amp; $A144, Table2[HomeTeam], O$1)</f>
        <v>0</v>
      </c>
      <c r="P144" s="145">
        <f>SUMIFS(Table2[NewPointsAway],Table2[GameDate], "&lt;=" &amp; $A144, Table2[AwayTeam], P$1)+SUMIFS(Table2[NewPointsHome],Table2[GameDate], "&lt;=" &amp; $A144, Table2[HomeTeam], P$1)</f>
        <v>0</v>
      </c>
      <c r="Q144" s="145">
        <f>SUMIFS(Table2[NewPointsAway],Table2[GameDate], "&lt;=" &amp; $A144, Table2[AwayTeam], Q$1)+SUMIFS(Table2[NewPointsHome],Table2[GameDate], "&lt;=" &amp; $A144, Table2[HomeTeam], Q$1)</f>
        <v>0</v>
      </c>
      <c r="R144" s="145">
        <f>SUMIFS(Table2[NewPointsAway],Table2[GameDate], "&lt;=" &amp; $A144, Table2[AwayTeam], R$1)+SUMIFS(Table2[NewPointsHome],Table2[GameDate], "&lt;=" &amp; $A144, Table2[HomeTeam], R$1)</f>
        <v>0</v>
      </c>
      <c r="S144" s="145">
        <f>SUMIFS(Table2[NewPointsAway],Table2[GameDate], "&lt;=" &amp; $A144, Table2[AwayTeam], S$1)+SUMIFS(Table2[NewPointsHome],Table2[GameDate], "&lt;=" &amp; $A144, Table2[HomeTeam], S$1)</f>
        <v>0</v>
      </c>
      <c r="T144" s="145">
        <f>SUMIFS(Table2[NewPointsAway],Table2[GameDate], "&lt;=" &amp; $A144, Table2[AwayTeam], T$1)+SUMIFS(Table2[NewPointsHome],Table2[GameDate], "&lt;=" &amp; $A144, Table2[HomeTeam], T$1)</f>
        <v>0</v>
      </c>
      <c r="U144" s="145">
        <f>SUMIFS(Table2[NewPointsAway],Table2[GameDate], "&lt;=" &amp; $A144, Table2[AwayTeam], U$1)+SUMIFS(Table2[NewPointsHome],Table2[GameDate], "&lt;=" &amp; $A144, Table2[HomeTeam], U$1)</f>
        <v>0</v>
      </c>
      <c r="V144" s="145">
        <f>SUMIFS(Table2[NewPointsAway],Table2[GameDate], "&lt;=" &amp; $A144, Table2[AwayTeam], V$1)+SUMIFS(Table2[NewPointsHome],Table2[GameDate], "&lt;=" &amp; $A144, Table2[HomeTeam], V$1)</f>
        <v>0</v>
      </c>
      <c r="W144" s="145">
        <f>SUMIFS(Table2[NewPointsAway],Table2[GameDate], "&lt;=" &amp; $A144, Table2[AwayTeam], W$1)+SUMIFS(Table2[NewPointsHome],Table2[GameDate], "&lt;=" &amp; $A144, Table2[HomeTeam], W$1)</f>
        <v>2</v>
      </c>
      <c r="X144" s="145">
        <f>SUMIFS(Table2[NewPointsAway],Table2[GameDate], "&lt;=" &amp; $A144, Table2[AwayTeam], X$1)+SUMIFS(Table2[NewPointsHome],Table2[GameDate], "&lt;=" &amp; $A144, Table2[HomeTeam], X$1)</f>
        <v>0</v>
      </c>
      <c r="Y144" s="145">
        <f>SUMIFS(Table2[NewPointsAway],Table2[GameDate], "&lt;=" &amp; $A144, Table2[AwayTeam], Y$1)+SUMIFS(Table2[NewPointsHome],Table2[GameDate], "&lt;=" &amp; $A144, Table2[HomeTeam], Y$1)</f>
        <v>0</v>
      </c>
      <c r="Z144" s="145">
        <f>SUMIFS(Table2[NewPointsAway],Table2[GameDate], "&lt;=" &amp; $A144, Table2[AwayTeam], Z$1)+SUMIFS(Table2[NewPointsHome],Table2[GameDate], "&lt;=" &amp; $A144, Table2[HomeTeam], Z$1)</f>
        <v>0</v>
      </c>
      <c r="AA144" s="145">
        <f>SUMIFS(Table2[NewPointsAway],Table2[GameDate], "&lt;=" &amp; $A144, Table2[AwayTeam], AA$1)+SUMIFS(Table2[NewPointsHome],Table2[GameDate], "&lt;=" &amp; $A144, Table2[HomeTeam], AA$1)</f>
        <v>0</v>
      </c>
      <c r="AB144" s="145">
        <f>SUMIFS(Table2[NewPointsAway],Table2[GameDate], "&lt;=" &amp; $A144, Table2[AwayTeam], AB$1)+SUMIFS(Table2[NewPointsHome],Table2[GameDate], "&lt;=" &amp; $A144, Table2[HomeTeam], AB$1)</f>
        <v>2</v>
      </c>
      <c r="AC144" s="145">
        <f>SUMIFS(Table2[NewPointsAway],Table2[GameDate], "&lt;=" &amp; $A144, Table2[AwayTeam], AC$1)+SUMIFS(Table2[NewPointsHome],Table2[GameDate], "&lt;=" &amp; $A144, Table2[HomeTeam], AC$1)</f>
        <v>0</v>
      </c>
      <c r="AD144" s="145">
        <f>SUMIFS(Table2[NewPointsAway],Table2[GameDate], "&lt;=" &amp; $A144, Table2[AwayTeam], AD$1)+SUMIFS(Table2[NewPointsHome],Table2[GameDate], "&lt;=" &amp; $A144, Table2[HomeTeam], AD$1)</f>
        <v>0</v>
      </c>
      <c r="AE144" s="145">
        <f>SUMIFS(Table2[NewPointsAway],Table2[GameDate], "&lt;=" &amp; $A144, Table2[AwayTeam], AE$1)+SUMIFS(Table2[NewPointsHome],Table2[GameDate], "&lt;=" &amp; $A144, Table2[HomeTeam], AE$1)</f>
        <v>1</v>
      </c>
      <c r="AF144" s="145">
        <f>SUMIFS(Table2[NewPointsAway],Table2[GameDate], "&lt;=" &amp; $A144, Table2[AwayTeam], AF$1)+SUMIFS(Table2[NewPointsHome],Table2[GameDate], "&lt;=" &amp; $A144, Table2[HomeTeam], AF$1)</f>
        <v>0</v>
      </c>
      <c r="AG144" s="145">
        <f>SUMIFS(Table2[NewPointsAway],Table2[GameDate], "&lt;=" &amp; $A144, Table2[AwayTeam], AG$1)+SUMIFS(Table2[NewPointsHome],Table2[GameDate], "&lt;=" &amp; $A144, Table2[HomeTeam], AG$1)</f>
        <v>0</v>
      </c>
    </row>
    <row r="145" spans="1:33" x14ac:dyDescent="0.25">
      <c r="A145" s="3">
        <v>46076</v>
      </c>
      <c r="B145" s="145">
        <f>SUMIFS(Table2[NewPointsAway],Table2[GameDate], "&lt;=" &amp; $A145, Table2[AwayTeam], B$1)+SUMIFS(Table2[NewPointsHome],Table2[GameDate], "&lt;=" &amp; $A145, Table2[HomeTeam], B$1)</f>
        <v>0</v>
      </c>
      <c r="C145" s="145">
        <f>SUMIFS(Table2[NewPointsAway],Table2[GameDate], "&lt;=" &amp; $A145, Table2[AwayTeam], C$1)+SUMIFS(Table2[NewPointsHome],Table2[GameDate], "&lt;=" &amp; $A145, Table2[HomeTeam], C$1)</f>
        <v>2</v>
      </c>
      <c r="D145" s="145">
        <f>SUMIFS(Table2[NewPointsAway],Table2[GameDate], "&lt;=" &amp; $A145, Table2[AwayTeam], D$1)+SUMIFS(Table2[NewPointsHome],Table2[GameDate], "&lt;=" &amp; $A145, Table2[HomeTeam], D$1)</f>
        <v>0</v>
      </c>
      <c r="E145" s="145">
        <f>SUMIFS(Table2[NewPointsAway],Table2[GameDate], "&lt;=" &amp; $A145, Table2[AwayTeam], E$1)+SUMIFS(Table2[NewPointsHome],Table2[GameDate], "&lt;=" &amp; $A145, Table2[HomeTeam], E$1)</f>
        <v>0</v>
      </c>
      <c r="F145" s="145">
        <f>SUMIFS(Table2[NewPointsAway],Table2[GameDate], "&lt;=" &amp; $A145, Table2[AwayTeam], F$1)+SUMIFS(Table2[NewPointsHome],Table2[GameDate], "&lt;=" &amp; $A145, Table2[HomeTeam], F$1)</f>
        <v>0</v>
      </c>
      <c r="G145" s="145">
        <f>SUMIFS(Table2[NewPointsAway],Table2[GameDate], "&lt;=" &amp; $A145, Table2[AwayTeam], G$1)+SUMIFS(Table2[NewPointsHome],Table2[GameDate], "&lt;=" &amp; $A145, Table2[HomeTeam], G$1)</f>
        <v>2</v>
      </c>
      <c r="H145" s="145">
        <f>SUMIFS(Table2[NewPointsAway],Table2[GameDate], "&lt;=" &amp; $A145, Table2[AwayTeam], H$1)+SUMIFS(Table2[NewPointsHome],Table2[GameDate], "&lt;=" &amp; $A145, Table2[HomeTeam], H$1)</f>
        <v>0</v>
      </c>
      <c r="I145" s="145">
        <f>SUMIFS(Table2[NewPointsAway],Table2[GameDate], "&lt;=" &amp; $A145, Table2[AwayTeam], I$1)+SUMIFS(Table2[NewPointsHome],Table2[GameDate], "&lt;=" &amp; $A145, Table2[HomeTeam], I$1)</f>
        <v>2</v>
      </c>
      <c r="J145" s="145">
        <f>SUMIFS(Table2[NewPointsAway],Table2[GameDate], "&lt;=" &amp; $A145, Table2[AwayTeam], J$1)+SUMIFS(Table2[NewPointsHome],Table2[GameDate], "&lt;=" &amp; $A145, Table2[HomeTeam], J$1)</f>
        <v>0</v>
      </c>
      <c r="K145" s="145">
        <f>SUMIFS(Table2[NewPointsAway],Table2[GameDate], "&lt;=" &amp; $A145, Table2[AwayTeam], K$1)+SUMIFS(Table2[NewPointsHome],Table2[GameDate], "&lt;=" &amp; $A145, Table2[HomeTeam], K$1)</f>
        <v>0</v>
      </c>
      <c r="L145" s="145">
        <f>SUMIFS(Table2[NewPointsAway],Table2[GameDate], "&lt;=" &amp; $A145, Table2[AwayTeam], L$1)+SUMIFS(Table2[NewPointsHome],Table2[GameDate], "&lt;=" &amp; $A145, Table2[HomeTeam], L$1)</f>
        <v>1</v>
      </c>
      <c r="M145" s="145">
        <f>SUMIFS(Table2[NewPointsAway],Table2[GameDate], "&lt;=" &amp; $A145, Table2[AwayTeam], M$1)+SUMIFS(Table2[NewPointsHome],Table2[GameDate], "&lt;=" &amp; $A145, Table2[HomeTeam], M$1)</f>
        <v>2</v>
      </c>
      <c r="N145" s="145">
        <f>SUMIFS(Table2[NewPointsAway],Table2[GameDate], "&lt;=" &amp; $A145, Table2[AwayTeam], N$1)+SUMIFS(Table2[NewPointsHome],Table2[GameDate], "&lt;=" &amp; $A145, Table2[HomeTeam], N$1)</f>
        <v>2</v>
      </c>
      <c r="O145" s="145">
        <f>SUMIFS(Table2[NewPointsAway],Table2[GameDate], "&lt;=" &amp; $A145, Table2[AwayTeam], O$1)+SUMIFS(Table2[NewPointsHome],Table2[GameDate], "&lt;=" &amp; $A145, Table2[HomeTeam], O$1)</f>
        <v>0</v>
      </c>
      <c r="P145" s="145">
        <f>SUMIFS(Table2[NewPointsAway],Table2[GameDate], "&lt;=" &amp; $A145, Table2[AwayTeam], P$1)+SUMIFS(Table2[NewPointsHome],Table2[GameDate], "&lt;=" &amp; $A145, Table2[HomeTeam], P$1)</f>
        <v>0</v>
      </c>
      <c r="Q145" s="145">
        <f>SUMIFS(Table2[NewPointsAway],Table2[GameDate], "&lt;=" &amp; $A145, Table2[AwayTeam], Q$1)+SUMIFS(Table2[NewPointsHome],Table2[GameDate], "&lt;=" &amp; $A145, Table2[HomeTeam], Q$1)</f>
        <v>0</v>
      </c>
      <c r="R145" s="145">
        <f>SUMIFS(Table2[NewPointsAway],Table2[GameDate], "&lt;=" &amp; $A145, Table2[AwayTeam], R$1)+SUMIFS(Table2[NewPointsHome],Table2[GameDate], "&lt;=" &amp; $A145, Table2[HomeTeam], R$1)</f>
        <v>0</v>
      </c>
      <c r="S145" s="145">
        <f>SUMIFS(Table2[NewPointsAway],Table2[GameDate], "&lt;=" &amp; $A145, Table2[AwayTeam], S$1)+SUMIFS(Table2[NewPointsHome],Table2[GameDate], "&lt;=" &amp; $A145, Table2[HomeTeam], S$1)</f>
        <v>0</v>
      </c>
      <c r="T145" s="145">
        <f>SUMIFS(Table2[NewPointsAway],Table2[GameDate], "&lt;=" &amp; $A145, Table2[AwayTeam], T$1)+SUMIFS(Table2[NewPointsHome],Table2[GameDate], "&lt;=" &amp; $A145, Table2[HomeTeam], T$1)</f>
        <v>0</v>
      </c>
      <c r="U145" s="145">
        <f>SUMIFS(Table2[NewPointsAway],Table2[GameDate], "&lt;=" &amp; $A145, Table2[AwayTeam], U$1)+SUMIFS(Table2[NewPointsHome],Table2[GameDate], "&lt;=" &amp; $A145, Table2[HomeTeam], U$1)</f>
        <v>0</v>
      </c>
      <c r="V145" s="145">
        <f>SUMIFS(Table2[NewPointsAway],Table2[GameDate], "&lt;=" &amp; $A145, Table2[AwayTeam], V$1)+SUMIFS(Table2[NewPointsHome],Table2[GameDate], "&lt;=" &amp; $A145, Table2[HomeTeam], V$1)</f>
        <v>0</v>
      </c>
      <c r="W145" s="145">
        <f>SUMIFS(Table2[NewPointsAway],Table2[GameDate], "&lt;=" &amp; $A145, Table2[AwayTeam], W$1)+SUMIFS(Table2[NewPointsHome],Table2[GameDate], "&lt;=" &amp; $A145, Table2[HomeTeam], W$1)</f>
        <v>2</v>
      </c>
      <c r="X145" s="145">
        <f>SUMIFS(Table2[NewPointsAway],Table2[GameDate], "&lt;=" &amp; $A145, Table2[AwayTeam], X$1)+SUMIFS(Table2[NewPointsHome],Table2[GameDate], "&lt;=" &amp; $A145, Table2[HomeTeam], X$1)</f>
        <v>0</v>
      </c>
      <c r="Y145" s="145">
        <f>SUMIFS(Table2[NewPointsAway],Table2[GameDate], "&lt;=" &amp; $A145, Table2[AwayTeam], Y$1)+SUMIFS(Table2[NewPointsHome],Table2[GameDate], "&lt;=" &amp; $A145, Table2[HomeTeam], Y$1)</f>
        <v>0</v>
      </c>
      <c r="Z145" s="145">
        <f>SUMIFS(Table2[NewPointsAway],Table2[GameDate], "&lt;=" &amp; $A145, Table2[AwayTeam], Z$1)+SUMIFS(Table2[NewPointsHome],Table2[GameDate], "&lt;=" &amp; $A145, Table2[HomeTeam], Z$1)</f>
        <v>0</v>
      </c>
      <c r="AA145" s="145">
        <f>SUMIFS(Table2[NewPointsAway],Table2[GameDate], "&lt;=" &amp; $A145, Table2[AwayTeam], AA$1)+SUMIFS(Table2[NewPointsHome],Table2[GameDate], "&lt;=" &amp; $A145, Table2[HomeTeam], AA$1)</f>
        <v>0</v>
      </c>
      <c r="AB145" s="145">
        <f>SUMIFS(Table2[NewPointsAway],Table2[GameDate], "&lt;=" &amp; $A145, Table2[AwayTeam], AB$1)+SUMIFS(Table2[NewPointsHome],Table2[GameDate], "&lt;=" &amp; $A145, Table2[HomeTeam], AB$1)</f>
        <v>2</v>
      </c>
      <c r="AC145" s="145">
        <f>SUMIFS(Table2[NewPointsAway],Table2[GameDate], "&lt;=" &amp; $A145, Table2[AwayTeam], AC$1)+SUMIFS(Table2[NewPointsHome],Table2[GameDate], "&lt;=" &amp; $A145, Table2[HomeTeam], AC$1)</f>
        <v>0</v>
      </c>
      <c r="AD145" s="145">
        <f>SUMIFS(Table2[NewPointsAway],Table2[GameDate], "&lt;=" &amp; $A145, Table2[AwayTeam], AD$1)+SUMIFS(Table2[NewPointsHome],Table2[GameDate], "&lt;=" &amp; $A145, Table2[HomeTeam], AD$1)</f>
        <v>0</v>
      </c>
      <c r="AE145" s="145">
        <f>SUMIFS(Table2[NewPointsAway],Table2[GameDate], "&lt;=" &amp; $A145, Table2[AwayTeam], AE$1)+SUMIFS(Table2[NewPointsHome],Table2[GameDate], "&lt;=" &amp; $A145, Table2[HomeTeam], AE$1)</f>
        <v>1</v>
      </c>
      <c r="AF145" s="145">
        <f>SUMIFS(Table2[NewPointsAway],Table2[GameDate], "&lt;=" &amp; $A145, Table2[AwayTeam], AF$1)+SUMIFS(Table2[NewPointsHome],Table2[GameDate], "&lt;=" &amp; $A145, Table2[HomeTeam], AF$1)</f>
        <v>0</v>
      </c>
      <c r="AG145" s="145">
        <f>SUMIFS(Table2[NewPointsAway],Table2[GameDate], "&lt;=" &amp; $A145, Table2[AwayTeam], AG$1)+SUMIFS(Table2[NewPointsHome],Table2[GameDate], "&lt;=" &amp; $A145, Table2[HomeTeam], AG$1)</f>
        <v>0</v>
      </c>
    </row>
    <row r="146" spans="1:33" x14ac:dyDescent="0.25">
      <c r="A146" s="3">
        <v>46077</v>
      </c>
      <c r="B146" s="145">
        <f>SUMIFS(Table2[NewPointsAway],Table2[GameDate], "&lt;=" &amp; $A146, Table2[AwayTeam], B$1)+SUMIFS(Table2[NewPointsHome],Table2[GameDate], "&lt;=" &amp; $A146, Table2[HomeTeam], B$1)</f>
        <v>0</v>
      </c>
      <c r="C146" s="145">
        <f>SUMIFS(Table2[NewPointsAway],Table2[GameDate], "&lt;=" &amp; $A146, Table2[AwayTeam], C$1)+SUMIFS(Table2[NewPointsHome],Table2[GameDate], "&lt;=" &amp; $A146, Table2[HomeTeam], C$1)</f>
        <v>2</v>
      </c>
      <c r="D146" s="145">
        <f>SUMIFS(Table2[NewPointsAway],Table2[GameDate], "&lt;=" &amp; $A146, Table2[AwayTeam], D$1)+SUMIFS(Table2[NewPointsHome],Table2[GameDate], "&lt;=" &amp; $A146, Table2[HomeTeam], D$1)</f>
        <v>0</v>
      </c>
      <c r="E146" s="145">
        <f>SUMIFS(Table2[NewPointsAway],Table2[GameDate], "&lt;=" &amp; $A146, Table2[AwayTeam], E$1)+SUMIFS(Table2[NewPointsHome],Table2[GameDate], "&lt;=" &amp; $A146, Table2[HomeTeam], E$1)</f>
        <v>0</v>
      </c>
      <c r="F146" s="145">
        <f>SUMIFS(Table2[NewPointsAway],Table2[GameDate], "&lt;=" &amp; $A146, Table2[AwayTeam], F$1)+SUMIFS(Table2[NewPointsHome],Table2[GameDate], "&lt;=" &amp; $A146, Table2[HomeTeam], F$1)</f>
        <v>0</v>
      </c>
      <c r="G146" s="145">
        <f>SUMIFS(Table2[NewPointsAway],Table2[GameDate], "&lt;=" &amp; $A146, Table2[AwayTeam], G$1)+SUMIFS(Table2[NewPointsHome],Table2[GameDate], "&lt;=" &amp; $A146, Table2[HomeTeam], G$1)</f>
        <v>2</v>
      </c>
      <c r="H146" s="145">
        <f>SUMIFS(Table2[NewPointsAway],Table2[GameDate], "&lt;=" &amp; $A146, Table2[AwayTeam], H$1)+SUMIFS(Table2[NewPointsHome],Table2[GameDate], "&lt;=" &amp; $A146, Table2[HomeTeam], H$1)</f>
        <v>0</v>
      </c>
      <c r="I146" s="145">
        <f>SUMIFS(Table2[NewPointsAway],Table2[GameDate], "&lt;=" &amp; $A146, Table2[AwayTeam], I$1)+SUMIFS(Table2[NewPointsHome],Table2[GameDate], "&lt;=" &amp; $A146, Table2[HomeTeam], I$1)</f>
        <v>2</v>
      </c>
      <c r="J146" s="145">
        <f>SUMIFS(Table2[NewPointsAway],Table2[GameDate], "&lt;=" &amp; $A146, Table2[AwayTeam], J$1)+SUMIFS(Table2[NewPointsHome],Table2[GameDate], "&lt;=" &amp; $A146, Table2[HomeTeam], J$1)</f>
        <v>0</v>
      </c>
      <c r="K146" s="145">
        <f>SUMIFS(Table2[NewPointsAway],Table2[GameDate], "&lt;=" &amp; $A146, Table2[AwayTeam], K$1)+SUMIFS(Table2[NewPointsHome],Table2[GameDate], "&lt;=" &amp; $A146, Table2[HomeTeam], K$1)</f>
        <v>0</v>
      </c>
      <c r="L146" s="145">
        <f>SUMIFS(Table2[NewPointsAway],Table2[GameDate], "&lt;=" &amp; $A146, Table2[AwayTeam], L$1)+SUMIFS(Table2[NewPointsHome],Table2[GameDate], "&lt;=" &amp; $A146, Table2[HomeTeam], L$1)</f>
        <v>1</v>
      </c>
      <c r="M146" s="145">
        <f>SUMIFS(Table2[NewPointsAway],Table2[GameDate], "&lt;=" &amp; $A146, Table2[AwayTeam], M$1)+SUMIFS(Table2[NewPointsHome],Table2[GameDate], "&lt;=" &amp; $A146, Table2[HomeTeam], M$1)</f>
        <v>2</v>
      </c>
      <c r="N146" s="145">
        <f>SUMIFS(Table2[NewPointsAway],Table2[GameDate], "&lt;=" &amp; $A146, Table2[AwayTeam], N$1)+SUMIFS(Table2[NewPointsHome],Table2[GameDate], "&lt;=" &amp; $A146, Table2[HomeTeam], N$1)</f>
        <v>2</v>
      </c>
      <c r="O146" s="145">
        <f>SUMIFS(Table2[NewPointsAway],Table2[GameDate], "&lt;=" &amp; $A146, Table2[AwayTeam], O$1)+SUMIFS(Table2[NewPointsHome],Table2[GameDate], "&lt;=" &amp; $A146, Table2[HomeTeam], O$1)</f>
        <v>0</v>
      </c>
      <c r="P146" s="145">
        <f>SUMIFS(Table2[NewPointsAway],Table2[GameDate], "&lt;=" &amp; $A146, Table2[AwayTeam], P$1)+SUMIFS(Table2[NewPointsHome],Table2[GameDate], "&lt;=" &amp; $A146, Table2[HomeTeam], P$1)</f>
        <v>0</v>
      </c>
      <c r="Q146" s="145">
        <f>SUMIFS(Table2[NewPointsAway],Table2[GameDate], "&lt;=" &amp; $A146, Table2[AwayTeam], Q$1)+SUMIFS(Table2[NewPointsHome],Table2[GameDate], "&lt;=" &amp; $A146, Table2[HomeTeam], Q$1)</f>
        <v>0</v>
      </c>
      <c r="R146" s="145">
        <f>SUMIFS(Table2[NewPointsAway],Table2[GameDate], "&lt;=" &amp; $A146, Table2[AwayTeam], R$1)+SUMIFS(Table2[NewPointsHome],Table2[GameDate], "&lt;=" &amp; $A146, Table2[HomeTeam], R$1)</f>
        <v>0</v>
      </c>
      <c r="S146" s="145">
        <f>SUMIFS(Table2[NewPointsAway],Table2[GameDate], "&lt;=" &amp; $A146, Table2[AwayTeam], S$1)+SUMIFS(Table2[NewPointsHome],Table2[GameDate], "&lt;=" &amp; $A146, Table2[HomeTeam], S$1)</f>
        <v>0</v>
      </c>
      <c r="T146" s="145">
        <f>SUMIFS(Table2[NewPointsAway],Table2[GameDate], "&lt;=" &amp; $A146, Table2[AwayTeam], T$1)+SUMIFS(Table2[NewPointsHome],Table2[GameDate], "&lt;=" &amp; $A146, Table2[HomeTeam], T$1)</f>
        <v>0</v>
      </c>
      <c r="U146" s="145">
        <f>SUMIFS(Table2[NewPointsAway],Table2[GameDate], "&lt;=" &amp; $A146, Table2[AwayTeam], U$1)+SUMIFS(Table2[NewPointsHome],Table2[GameDate], "&lt;=" &amp; $A146, Table2[HomeTeam], U$1)</f>
        <v>0</v>
      </c>
      <c r="V146" s="145">
        <f>SUMIFS(Table2[NewPointsAway],Table2[GameDate], "&lt;=" &amp; $A146, Table2[AwayTeam], V$1)+SUMIFS(Table2[NewPointsHome],Table2[GameDate], "&lt;=" &amp; $A146, Table2[HomeTeam], V$1)</f>
        <v>0</v>
      </c>
      <c r="W146" s="145">
        <f>SUMIFS(Table2[NewPointsAway],Table2[GameDate], "&lt;=" &amp; $A146, Table2[AwayTeam], W$1)+SUMIFS(Table2[NewPointsHome],Table2[GameDate], "&lt;=" &amp; $A146, Table2[HomeTeam], W$1)</f>
        <v>2</v>
      </c>
      <c r="X146" s="145">
        <f>SUMIFS(Table2[NewPointsAway],Table2[GameDate], "&lt;=" &amp; $A146, Table2[AwayTeam], X$1)+SUMIFS(Table2[NewPointsHome],Table2[GameDate], "&lt;=" &amp; $A146, Table2[HomeTeam], X$1)</f>
        <v>0</v>
      </c>
      <c r="Y146" s="145">
        <f>SUMIFS(Table2[NewPointsAway],Table2[GameDate], "&lt;=" &amp; $A146, Table2[AwayTeam], Y$1)+SUMIFS(Table2[NewPointsHome],Table2[GameDate], "&lt;=" &amp; $A146, Table2[HomeTeam], Y$1)</f>
        <v>0</v>
      </c>
      <c r="Z146" s="145">
        <f>SUMIFS(Table2[NewPointsAway],Table2[GameDate], "&lt;=" &amp; $A146, Table2[AwayTeam], Z$1)+SUMIFS(Table2[NewPointsHome],Table2[GameDate], "&lt;=" &amp; $A146, Table2[HomeTeam], Z$1)</f>
        <v>0</v>
      </c>
      <c r="AA146" s="145">
        <f>SUMIFS(Table2[NewPointsAway],Table2[GameDate], "&lt;=" &amp; $A146, Table2[AwayTeam], AA$1)+SUMIFS(Table2[NewPointsHome],Table2[GameDate], "&lt;=" &amp; $A146, Table2[HomeTeam], AA$1)</f>
        <v>0</v>
      </c>
      <c r="AB146" s="145">
        <f>SUMIFS(Table2[NewPointsAway],Table2[GameDate], "&lt;=" &amp; $A146, Table2[AwayTeam], AB$1)+SUMIFS(Table2[NewPointsHome],Table2[GameDate], "&lt;=" &amp; $A146, Table2[HomeTeam], AB$1)</f>
        <v>2</v>
      </c>
      <c r="AC146" s="145">
        <f>SUMIFS(Table2[NewPointsAway],Table2[GameDate], "&lt;=" &amp; $A146, Table2[AwayTeam], AC$1)+SUMIFS(Table2[NewPointsHome],Table2[GameDate], "&lt;=" &amp; $A146, Table2[HomeTeam], AC$1)</f>
        <v>0</v>
      </c>
      <c r="AD146" s="145">
        <f>SUMIFS(Table2[NewPointsAway],Table2[GameDate], "&lt;=" &amp; $A146, Table2[AwayTeam], AD$1)+SUMIFS(Table2[NewPointsHome],Table2[GameDate], "&lt;=" &amp; $A146, Table2[HomeTeam], AD$1)</f>
        <v>0</v>
      </c>
      <c r="AE146" s="145">
        <f>SUMIFS(Table2[NewPointsAway],Table2[GameDate], "&lt;=" &amp; $A146, Table2[AwayTeam], AE$1)+SUMIFS(Table2[NewPointsHome],Table2[GameDate], "&lt;=" &amp; $A146, Table2[HomeTeam], AE$1)</f>
        <v>1</v>
      </c>
      <c r="AF146" s="145">
        <f>SUMIFS(Table2[NewPointsAway],Table2[GameDate], "&lt;=" &amp; $A146, Table2[AwayTeam], AF$1)+SUMIFS(Table2[NewPointsHome],Table2[GameDate], "&lt;=" &amp; $A146, Table2[HomeTeam], AF$1)</f>
        <v>0</v>
      </c>
      <c r="AG146" s="145">
        <f>SUMIFS(Table2[NewPointsAway],Table2[GameDate], "&lt;=" &amp; $A146, Table2[AwayTeam], AG$1)+SUMIFS(Table2[NewPointsHome],Table2[GameDate], "&lt;=" &amp; $A146, Table2[HomeTeam], AG$1)</f>
        <v>0</v>
      </c>
    </row>
    <row r="147" spans="1:33" x14ac:dyDescent="0.25">
      <c r="A147" s="3">
        <v>46078</v>
      </c>
      <c r="B147" s="145">
        <f>SUMIFS(Table2[NewPointsAway],Table2[GameDate], "&lt;=" &amp; $A147, Table2[AwayTeam], B$1)+SUMIFS(Table2[NewPointsHome],Table2[GameDate], "&lt;=" &amp; $A147, Table2[HomeTeam], B$1)</f>
        <v>0</v>
      </c>
      <c r="C147" s="145">
        <f>SUMIFS(Table2[NewPointsAway],Table2[GameDate], "&lt;=" &amp; $A147, Table2[AwayTeam], C$1)+SUMIFS(Table2[NewPointsHome],Table2[GameDate], "&lt;=" &amp; $A147, Table2[HomeTeam], C$1)</f>
        <v>2</v>
      </c>
      <c r="D147" s="145">
        <f>SUMIFS(Table2[NewPointsAway],Table2[GameDate], "&lt;=" &amp; $A147, Table2[AwayTeam], D$1)+SUMIFS(Table2[NewPointsHome],Table2[GameDate], "&lt;=" &amp; $A147, Table2[HomeTeam], D$1)</f>
        <v>0</v>
      </c>
      <c r="E147" s="145">
        <f>SUMIFS(Table2[NewPointsAway],Table2[GameDate], "&lt;=" &amp; $A147, Table2[AwayTeam], E$1)+SUMIFS(Table2[NewPointsHome],Table2[GameDate], "&lt;=" &amp; $A147, Table2[HomeTeam], E$1)</f>
        <v>0</v>
      </c>
      <c r="F147" s="145">
        <f>SUMIFS(Table2[NewPointsAway],Table2[GameDate], "&lt;=" &amp; $A147, Table2[AwayTeam], F$1)+SUMIFS(Table2[NewPointsHome],Table2[GameDate], "&lt;=" &amp; $A147, Table2[HomeTeam], F$1)</f>
        <v>0</v>
      </c>
      <c r="G147" s="145">
        <f>SUMIFS(Table2[NewPointsAway],Table2[GameDate], "&lt;=" &amp; $A147, Table2[AwayTeam], G$1)+SUMIFS(Table2[NewPointsHome],Table2[GameDate], "&lt;=" &amp; $A147, Table2[HomeTeam], G$1)</f>
        <v>2</v>
      </c>
      <c r="H147" s="145">
        <f>SUMIFS(Table2[NewPointsAway],Table2[GameDate], "&lt;=" &amp; $A147, Table2[AwayTeam], H$1)+SUMIFS(Table2[NewPointsHome],Table2[GameDate], "&lt;=" &amp; $A147, Table2[HomeTeam], H$1)</f>
        <v>0</v>
      </c>
      <c r="I147" s="145">
        <f>SUMIFS(Table2[NewPointsAway],Table2[GameDate], "&lt;=" &amp; $A147, Table2[AwayTeam], I$1)+SUMIFS(Table2[NewPointsHome],Table2[GameDate], "&lt;=" &amp; $A147, Table2[HomeTeam], I$1)</f>
        <v>2</v>
      </c>
      <c r="J147" s="145">
        <f>SUMIFS(Table2[NewPointsAway],Table2[GameDate], "&lt;=" &amp; $A147, Table2[AwayTeam], J$1)+SUMIFS(Table2[NewPointsHome],Table2[GameDate], "&lt;=" &amp; $A147, Table2[HomeTeam], J$1)</f>
        <v>0</v>
      </c>
      <c r="K147" s="145">
        <f>SUMIFS(Table2[NewPointsAway],Table2[GameDate], "&lt;=" &amp; $A147, Table2[AwayTeam], K$1)+SUMIFS(Table2[NewPointsHome],Table2[GameDate], "&lt;=" &amp; $A147, Table2[HomeTeam], K$1)</f>
        <v>0</v>
      </c>
      <c r="L147" s="145">
        <f>SUMIFS(Table2[NewPointsAway],Table2[GameDate], "&lt;=" &amp; $A147, Table2[AwayTeam], L$1)+SUMIFS(Table2[NewPointsHome],Table2[GameDate], "&lt;=" &amp; $A147, Table2[HomeTeam], L$1)</f>
        <v>1</v>
      </c>
      <c r="M147" s="145">
        <f>SUMIFS(Table2[NewPointsAway],Table2[GameDate], "&lt;=" &amp; $A147, Table2[AwayTeam], M$1)+SUMIFS(Table2[NewPointsHome],Table2[GameDate], "&lt;=" &amp; $A147, Table2[HomeTeam], M$1)</f>
        <v>2</v>
      </c>
      <c r="N147" s="145">
        <f>SUMIFS(Table2[NewPointsAway],Table2[GameDate], "&lt;=" &amp; $A147, Table2[AwayTeam], N$1)+SUMIFS(Table2[NewPointsHome],Table2[GameDate], "&lt;=" &amp; $A147, Table2[HomeTeam], N$1)</f>
        <v>2</v>
      </c>
      <c r="O147" s="145">
        <f>SUMIFS(Table2[NewPointsAway],Table2[GameDate], "&lt;=" &amp; $A147, Table2[AwayTeam], O$1)+SUMIFS(Table2[NewPointsHome],Table2[GameDate], "&lt;=" &amp; $A147, Table2[HomeTeam], O$1)</f>
        <v>0</v>
      </c>
      <c r="P147" s="145">
        <f>SUMIFS(Table2[NewPointsAway],Table2[GameDate], "&lt;=" &amp; $A147, Table2[AwayTeam], P$1)+SUMIFS(Table2[NewPointsHome],Table2[GameDate], "&lt;=" &amp; $A147, Table2[HomeTeam], P$1)</f>
        <v>0</v>
      </c>
      <c r="Q147" s="145">
        <f>SUMIFS(Table2[NewPointsAway],Table2[GameDate], "&lt;=" &amp; $A147, Table2[AwayTeam], Q$1)+SUMIFS(Table2[NewPointsHome],Table2[GameDate], "&lt;=" &amp; $A147, Table2[HomeTeam], Q$1)</f>
        <v>0</v>
      </c>
      <c r="R147" s="145">
        <f>SUMIFS(Table2[NewPointsAway],Table2[GameDate], "&lt;=" &amp; $A147, Table2[AwayTeam], R$1)+SUMIFS(Table2[NewPointsHome],Table2[GameDate], "&lt;=" &amp; $A147, Table2[HomeTeam], R$1)</f>
        <v>0</v>
      </c>
      <c r="S147" s="145">
        <f>SUMIFS(Table2[NewPointsAway],Table2[GameDate], "&lt;=" &amp; $A147, Table2[AwayTeam], S$1)+SUMIFS(Table2[NewPointsHome],Table2[GameDate], "&lt;=" &amp; $A147, Table2[HomeTeam], S$1)</f>
        <v>0</v>
      </c>
      <c r="T147" s="145">
        <f>SUMIFS(Table2[NewPointsAway],Table2[GameDate], "&lt;=" &amp; $A147, Table2[AwayTeam], T$1)+SUMIFS(Table2[NewPointsHome],Table2[GameDate], "&lt;=" &amp; $A147, Table2[HomeTeam], T$1)</f>
        <v>0</v>
      </c>
      <c r="U147" s="145">
        <f>SUMIFS(Table2[NewPointsAway],Table2[GameDate], "&lt;=" &amp; $A147, Table2[AwayTeam], U$1)+SUMIFS(Table2[NewPointsHome],Table2[GameDate], "&lt;=" &amp; $A147, Table2[HomeTeam], U$1)</f>
        <v>0</v>
      </c>
      <c r="V147" s="145">
        <f>SUMIFS(Table2[NewPointsAway],Table2[GameDate], "&lt;=" &amp; $A147, Table2[AwayTeam], V$1)+SUMIFS(Table2[NewPointsHome],Table2[GameDate], "&lt;=" &amp; $A147, Table2[HomeTeam], V$1)</f>
        <v>0</v>
      </c>
      <c r="W147" s="145">
        <f>SUMIFS(Table2[NewPointsAway],Table2[GameDate], "&lt;=" &amp; $A147, Table2[AwayTeam], W$1)+SUMIFS(Table2[NewPointsHome],Table2[GameDate], "&lt;=" &amp; $A147, Table2[HomeTeam], W$1)</f>
        <v>2</v>
      </c>
      <c r="X147" s="145">
        <f>SUMIFS(Table2[NewPointsAway],Table2[GameDate], "&lt;=" &amp; $A147, Table2[AwayTeam], X$1)+SUMIFS(Table2[NewPointsHome],Table2[GameDate], "&lt;=" &amp; $A147, Table2[HomeTeam], X$1)</f>
        <v>0</v>
      </c>
      <c r="Y147" s="145">
        <f>SUMIFS(Table2[NewPointsAway],Table2[GameDate], "&lt;=" &amp; $A147, Table2[AwayTeam], Y$1)+SUMIFS(Table2[NewPointsHome],Table2[GameDate], "&lt;=" &amp; $A147, Table2[HomeTeam], Y$1)</f>
        <v>0</v>
      </c>
      <c r="Z147" s="145">
        <f>SUMIFS(Table2[NewPointsAway],Table2[GameDate], "&lt;=" &amp; $A147, Table2[AwayTeam], Z$1)+SUMIFS(Table2[NewPointsHome],Table2[GameDate], "&lt;=" &amp; $A147, Table2[HomeTeam], Z$1)</f>
        <v>0</v>
      </c>
      <c r="AA147" s="145">
        <f>SUMIFS(Table2[NewPointsAway],Table2[GameDate], "&lt;=" &amp; $A147, Table2[AwayTeam], AA$1)+SUMIFS(Table2[NewPointsHome],Table2[GameDate], "&lt;=" &amp; $A147, Table2[HomeTeam], AA$1)</f>
        <v>0</v>
      </c>
      <c r="AB147" s="145">
        <f>SUMIFS(Table2[NewPointsAway],Table2[GameDate], "&lt;=" &amp; $A147, Table2[AwayTeam], AB$1)+SUMIFS(Table2[NewPointsHome],Table2[GameDate], "&lt;=" &amp; $A147, Table2[HomeTeam], AB$1)</f>
        <v>2</v>
      </c>
      <c r="AC147" s="145">
        <f>SUMIFS(Table2[NewPointsAway],Table2[GameDate], "&lt;=" &amp; $A147, Table2[AwayTeam], AC$1)+SUMIFS(Table2[NewPointsHome],Table2[GameDate], "&lt;=" &amp; $A147, Table2[HomeTeam], AC$1)</f>
        <v>0</v>
      </c>
      <c r="AD147" s="145">
        <f>SUMIFS(Table2[NewPointsAway],Table2[GameDate], "&lt;=" &amp; $A147, Table2[AwayTeam], AD$1)+SUMIFS(Table2[NewPointsHome],Table2[GameDate], "&lt;=" &amp; $A147, Table2[HomeTeam], AD$1)</f>
        <v>0</v>
      </c>
      <c r="AE147" s="145">
        <f>SUMIFS(Table2[NewPointsAway],Table2[GameDate], "&lt;=" &amp; $A147, Table2[AwayTeam], AE$1)+SUMIFS(Table2[NewPointsHome],Table2[GameDate], "&lt;=" &amp; $A147, Table2[HomeTeam], AE$1)</f>
        <v>1</v>
      </c>
      <c r="AF147" s="145">
        <f>SUMIFS(Table2[NewPointsAway],Table2[GameDate], "&lt;=" &amp; $A147, Table2[AwayTeam], AF$1)+SUMIFS(Table2[NewPointsHome],Table2[GameDate], "&lt;=" &amp; $A147, Table2[HomeTeam], AF$1)</f>
        <v>0</v>
      </c>
      <c r="AG147" s="145">
        <f>SUMIFS(Table2[NewPointsAway],Table2[GameDate], "&lt;=" &amp; $A147, Table2[AwayTeam], AG$1)+SUMIFS(Table2[NewPointsHome],Table2[GameDate], "&lt;=" &amp; $A147, Table2[HomeTeam], AG$1)</f>
        <v>0</v>
      </c>
    </row>
    <row r="148" spans="1:33" x14ac:dyDescent="0.25">
      <c r="A148" s="3">
        <v>46079</v>
      </c>
      <c r="B148" s="145">
        <f>SUMIFS(Table2[NewPointsAway],Table2[GameDate], "&lt;=" &amp; $A148, Table2[AwayTeam], B$1)+SUMIFS(Table2[NewPointsHome],Table2[GameDate], "&lt;=" &amp; $A148, Table2[HomeTeam], B$1)</f>
        <v>0</v>
      </c>
      <c r="C148" s="145">
        <f>SUMIFS(Table2[NewPointsAway],Table2[GameDate], "&lt;=" &amp; $A148, Table2[AwayTeam], C$1)+SUMIFS(Table2[NewPointsHome],Table2[GameDate], "&lt;=" &amp; $A148, Table2[HomeTeam], C$1)</f>
        <v>2</v>
      </c>
      <c r="D148" s="145">
        <f>SUMIFS(Table2[NewPointsAway],Table2[GameDate], "&lt;=" &amp; $A148, Table2[AwayTeam], D$1)+SUMIFS(Table2[NewPointsHome],Table2[GameDate], "&lt;=" &amp; $A148, Table2[HomeTeam], D$1)</f>
        <v>0</v>
      </c>
      <c r="E148" s="145">
        <f>SUMIFS(Table2[NewPointsAway],Table2[GameDate], "&lt;=" &amp; $A148, Table2[AwayTeam], E$1)+SUMIFS(Table2[NewPointsHome],Table2[GameDate], "&lt;=" &amp; $A148, Table2[HomeTeam], E$1)</f>
        <v>0</v>
      </c>
      <c r="F148" s="145">
        <f>SUMIFS(Table2[NewPointsAway],Table2[GameDate], "&lt;=" &amp; $A148, Table2[AwayTeam], F$1)+SUMIFS(Table2[NewPointsHome],Table2[GameDate], "&lt;=" &amp; $A148, Table2[HomeTeam], F$1)</f>
        <v>0</v>
      </c>
      <c r="G148" s="145">
        <f>SUMIFS(Table2[NewPointsAway],Table2[GameDate], "&lt;=" &amp; $A148, Table2[AwayTeam], G$1)+SUMIFS(Table2[NewPointsHome],Table2[GameDate], "&lt;=" &amp; $A148, Table2[HomeTeam], G$1)</f>
        <v>2</v>
      </c>
      <c r="H148" s="145">
        <f>SUMIFS(Table2[NewPointsAway],Table2[GameDate], "&lt;=" &amp; $A148, Table2[AwayTeam], H$1)+SUMIFS(Table2[NewPointsHome],Table2[GameDate], "&lt;=" &amp; $A148, Table2[HomeTeam], H$1)</f>
        <v>0</v>
      </c>
      <c r="I148" s="145">
        <f>SUMIFS(Table2[NewPointsAway],Table2[GameDate], "&lt;=" &amp; $A148, Table2[AwayTeam], I$1)+SUMIFS(Table2[NewPointsHome],Table2[GameDate], "&lt;=" &amp; $A148, Table2[HomeTeam], I$1)</f>
        <v>2</v>
      </c>
      <c r="J148" s="145">
        <f>SUMIFS(Table2[NewPointsAway],Table2[GameDate], "&lt;=" &amp; $A148, Table2[AwayTeam], J$1)+SUMIFS(Table2[NewPointsHome],Table2[GameDate], "&lt;=" &amp; $A148, Table2[HomeTeam], J$1)</f>
        <v>0</v>
      </c>
      <c r="K148" s="145">
        <f>SUMIFS(Table2[NewPointsAway],Table2[GameDate], "&lt;=" &amp; $A148, Table2[AwayTeam], K$1)+SUMIFS(Table2[NewPointsHome],Table2[GameDate], "&lt;=" &amp; $A148, Table2[HomeTeam], K$1)</f>
        <v>0</v>
      </c>
      <c r="L148" s="145">
        <f>SUMIFS(Table2[NewPointsAway],Table2[GameDate], "&lt;=" &amp; $A148, Table2[AwayTeam], L$1)+SUMIFS(Table2[NewPointsHome],Table2[GameDate], "&lt;=" &amp; $A148, Table2[HomeTeam], L$1)</f>
        <v>1</v>
      </c>
      <c r="M148" s="145">
        <f>SUMIFS(Table2[NewPointsAway],Table2[GameDate], "&lt;=" &amp; $A148, Table2[AwayTeam], M$1)+SUMIFS(Table2[NewPointsHome],Table2[GameDate], "&lt;=" &amp; $A148, Table2[HomeTeam], M$1)</f>
        <v>2</v>
      </c>
      <c r="N148" s="145">
        <f>SUMIFS(Table2[NewPointsAway],Table2[GameDate], "&lt;=" &amp; $A148, Table2[AwayTeam], N$1)+SUMIFS(Table2[NewPointsHome],Table2[GameDate], "&lt;=" &amp; $A148, Table2[HomeTeam], N$1)</f>
        <v>2</v>
      </c>
      <c r="O148" s="145">
        <f>SUMIFS(Table2[NewPointsAway],Table2[GameDate], "&lt;=" &amp; $A148, Table2[AwayTeam], O$1)+SUMIFS(Table2[NewPointsHome],Table2[GameDate], "&lt;=" &amp; $A148, Table2[HomeTeam], O$1)</f>
        <v>0</v>
      </c>
      <c r="P148" s="145">
        <f>SUMIFS(Table2[NewPointsAway],Table2[GameDate], "&lt;=" &amp; $A148, Table2[AwayTeam], P$1)+SUMIFS(Table2[NewPointsHome],Table2[GameDate], "&lt;=" &amp; $A148, Table2[HomeTeam], P$1)</f>
        <v>0</v>
      </c>
      <c r="Q148" s="145">
        <f>SUMIFS(Table2[NewPointsAway],Table2[GameDate], "&lt;=" &amp; $A148, Table2[AwayTeam], Q$1)+SUMIFS(Table2[NewPointsHome],Table2[GameDate], "&lt;=" &amp; $A148, Table2[HomeTeam], Q$1)</f>
        <v>0</v>
      </c>
      <c r="R148" s="145">
        <f>SUMIFS(Table2[NewPointsAway],Table2[GameDate], "&lt;=" &amp; $A148, Table2[AwayTeam], R$1)+SUMIFS(Table2[NewPointsHome],Table2[GameDate], "&lt;=" &amp; $A148, Table2[HomeTeam], R$1)</f>
        <v>0</v>
      </c>
      <c r="S148" s="145">
        <f>SUMIFS(Table2[NewPointsAway],Table2[GameDate], "&lt;=" &amp; $A148, Table2[AwayTeam], S$1)+SUMIFS(Table2[NewPointsHome],Table2[GameDate], "&lt;=" &amp; $A148, Table2[HomeTeam], S$1)</f>
        <v>0</v>
      </c>
      <c r="T148" s="145">
        <f>SUMIFS(Table2[NewPointsAway],Table2[GameDate], "&lt;=" &amp; $A148, Table2[AwayTeam], T$1)+SUMIFS(Table2[NewPointsHome],Table2[GameDate], "&lt;=" &amp; $A148, Table2[HomeTeam], T$1)</f>
        <v>0</v>
      </c>
      <c r="U148" s="145">
        <f>SUMIFS(Table2[NewPointsAway],Table2[GameDate], "&lt;=" &amp; $A148, Table2[AwayTeam], U$1)+SUMIFS(Table2[NewPointsHome],Table2[GameDate], "&lt;=" &amp; $A148, Table2[HomeTeam], U$1)</f>
        <v>0</v>
      </c>
      <c r="V148" s="145">
        <f>SUMIFS(Table2[NewPointsAway],Table2[GameDate], "&lt;=" &amp; $A148, Table2[AwayTeam], V$1)+SUMIFS(Table2[NewPointsHome],Table2[GameDate], "&lt;=" &amp; $A148, Table2[HomeTeam], V$1)</f>
        <v>0</v>
      </c>
      <c r="W148" s="145">
        <f>SUMIFS(Table2[NewPointsAway],Table2[GameDate], "&lt;=" &amp; $A148, Table2[AwayTeam], W$1)+SUMIFS(Table2[NewPointsHome],Table2[GameDate], "&lt;=" &amp; $A148, Table2[HomeTeam], W$1)</f>
        <v>2</v>
      </c>
      <c r="X148" s="145">
        <f>SUMIFS(Table2[NewPointsAway],Table2[GameDate], "&lt;=" &amp; $A148, Table2[AwayTeam], X$1)+SUMIFS(Table2[NewPointsHome],Table2[GameDate], "&lt;=" &amp; $A148, Table2[HomeTeam], X$1)</f>
        <v>0</v>
      </c>
      <c r="Y148" s="145">
        <f>SUMIFS(Table2[NewPointsAway],Table2[GameDate], "&lt;=" &amp; $A148, Table2[AwayTeam], Y$1)+SUMIFS(Table2[NewPointsHome],Table2[GameDate], "&lt;=" &amp; $A148, Table2[HomeTeam], Y$1)</f>
        <v>0</v>
      </c>
      <c r="Z148" s="145">
        <f>SUMIFS(Table2[NewPointsAway],Table2[GameDate], "&lt;=" &amp; $A148, Table2[AwayTeam], Z$1)+SUMIFS(Table2[NewPointsHome],Table2[GameDate], "&lt;=" &amp; $A148, Table2[HomeTeam], Z$1)</f>
        <v>0</v>
      </c>
      <c r="AA148" s="145">
        <f>SUMIFS(Table2[NewPointsAway],Table2[GameDate], "&lt;=" &amp; $A148, Table2[AwayTeam], AA$1)+SUMIFS(Table2[NewPointsHome],Table2[GameDate], "&lt;=" &amp; $A148, Table2[HomeTeam], AA$1)</f>
        <v>0</v>
      </c>
      <c r="AB148" s="145">
        <f>SUMIFS(Table2[NewPointsAway],Table2[GameDate], "&lt;=" &amp; $A148, Table2[AwayTeam], AB$1)+SUMIFS(Table2[NewPointsHome],Table2[GameDate], "&lt;=" &amp; $A148, Table2[HomeTeam], AB$1)</f>
        <v>2</v>
      </c>
      <c r="AC148" s="145">
        <f>SUMIFS(Table2[NewPointsAway],Table2[GameDate], "&lt;=" &amp; $A148, Table2[AwayTeam], AC$1)+SUMIFS(Table2[NewPointsHome],Table2[GameDate], "&lt;=" &amp; $A148, Table2[HomeTeam], AC$1)</f>
        <v>0</v>
      </c>
      <c r="AD148" s="145">
        <f>SUMIFS(Table2[NewPointsAway],Table2[GameDate], "&lt;=" &amp; $A148, Table2[AwayTeam], AD$1)+SUMIFS(Table2[NewPointsHome],Table2[GameDate], "&lt;=" &amp; $A148, Table2[HomeTeam], AD$1)</f>
        <v>0</v>
      </c>
      <c r="AE148" s="145">
        <f>SUMIFS(Table2[NewPointsAway],Table2[GameDate], "&lt;=" &amp; $A148, Table2[AwayTeam], AE$1)+SUMIFS(Table2[NewPointsHome],Table2[GameDate], "&lt;=" &amp; $A148, Table2[HomeTeam], AE$1)</f>
        <v>1</v>
      </c>
      <c r="AF148" s="145">
        <f>SUMIFS(Table2[NewPointsAway],Table2[GameDate], "&lt;=" &amp; $A148, Table2[AwayTeam], AF$1)+SUMIFS(Table2[NewPointsHome],Table2[GameDate], "&lt;=" &amp; $A148, Table2[HomeTeam], AF$1)</f>
        <v>0</v>
      </c>
      <c r="AG148" s="145">
        <f>SUMIFS(Table2[NewPointsAway],Table2[GameDate], "&lt;=" &amp; $A148, Table2[AwayTeam], AG$1)+SUMIFS(Table2[NewPointsHome],Table2[GameDate], "&lt;=" &amp; $A148, Table2[HomeTeam], AG$1)</f>
        <v>0</v>
      </c>
    </row>
    <row r="149" spans="1:33" x14ac:dyDescent="0.25">
      <c r="A149" s="3">
        <v>46080</v>
      </c>
      <c r="B149" s="145">
        <f>SUMIFS(Table2[NewPointsAway],Table2[GameDate], "&lt;=" &amp; $A149, Table2[AwayTeam], B$1)+SUMIFS(Table2[NewPointsHome],Table2[GameDate], "&lt;=" &amp; $A149, Table2[HomeTeam], B$1)</f>
        <v>0</v>
      </c>
      <c r="C149" s="145">
        <f>SUMIFS(Table2[NewPointsAway],Table2[GameDate], "&lt;=" &amp; $A149, Table2[AwayTeam], C$1)+SUMIFS(Table2[NewPointsHome],Table2[GameDate], "&lt;=" &amp; $A149, Table2[HomeTeam], C$1)</f>
        <v>2</v>
      </c>
      <c r="D149" s="145">
        <f>SUMIFS(Table2[NewPointsAway],Table2[GameDate], "&lt;=" &amp; $A149, Table2[AwayTeam], D$1)+SUMIFS(Table2[NewPointsHome],Table2[GameDate], "&lt;=" &amp; $A149, Table2[HomeTeam], D$1)</f>
        <v>0</v>
      </c>
      <c r="E149" s="145">
        <f>SUMIFS(Table2[NewPointsAway],Table2[GameDate], "&lt;=" &amp; $A149, Table2[AwayTeam], E$1)+SUMIFS(Table2[NewPointsHome],Table2[GameDate], "&lt;=" &amp; $A149, Table2[HomeTeam], E$1)</f>
        <v>0</v>
      </c>
      <c r="F149" s="145">
        <f>SUMIFS(Table2[NewPointsAway],Table2[GameDate], "&lt;=" &amp; $A149, Table2[AwayTeam], F$1)+SUMIFS(Table2[NewPointsHome],Table2[GameDate], "&lt;=" &amp; $A149, Table2[HomeTeam], F$1)</f>
        <v>0</v>
      </c>
      <c r="G149" s="145">
        <f>SUMIFS(Table2[NewPointsAway],Table2[GameDate], "&lt;=" &amp; $A149, Table2[AwayTeam], G$1)+SUMIFS(Table2[NewPointsHome],Table2[GameDate], "&lt;=" &amp; $A149, Table2[HomeTeam], G$1)</f>
        <v>2</v>
      </c>
      <c r="H149" s="145">
        <f>SUMIFS(Table2[NewPointsAway],Table2[GameDate], "&lt;=" &amp; $A149, Table2[AwayTeam], H$1)+SUMIFS(Table2[NewPointsHome],Table2[GameDate], "&lt;=" &amp; $A149, Table2[HomeTeam], H$1)</f>
        <v>0</v>
      </c>
      <c r="I149" s="145">
        <f>SUMIFS(Table2[NewPointsAway],Table2[GameDate], "&lt;=" &amp; $A149, Table2[AwayTeam], I$1)+SUMIFS(Table2[NewPointsHome],Table2[GameDate], "&lt;=" &amp; $A149, Table2[HomeTeam], I$1)</f>
        <v>2</v>
      </c>
      <c r="J149" s="145">
        <f>SUMIFS(Table2[NewPointsAway],Table2[GameDate], "&lt;=" &amp; $A149, Table2[AwayTeam], J$1)+SUMIFS(Table2[NewPointsHome],Table2[GameDate], "&lt;=" &amp; $A149, Table2[HomeTeam], J$1)</f>
        <v>0</v>
      </c>
      <c r="K149" s="145">
        <f>SUMIFS(Table2[NewPointsAway],Table2[GameDate], "&lt;=" &amp; $A149, Table2[AwayTeam], K$1)+SUMIFS(Table2[NewPointsHome],Table2[GameDate], "&lt;=" &amp; $A149, Table2[HomeTeam], K$1)</f>
        <v>0</v>
      </c>
      <c r="L149" s="145">
        <f>SUMIFS(Table2[NewPointsAway],Table2[GameDate], "&lt;=" &amp; $A149, Table2[AwayTeam], L$1)+SUMIFS(Table2[NewPointsHome],Table2[GameDate], "&lt;=" &amp; $A149, Table2[HomeTeam], L$1)</f>
        <v>1</v>
      </c>
      <c r="M149" s="145">
        <f>SUMIFS(Table2[NewPointsAway],Table2[GameDate], "&lt;=" &amp; $A149, Table2[AwayTeam], M$1)+SUMIFS(Table2[NewPointsHome],Table2[GameDate], "&lt;=" &amp; $A149, Table2[HomeTeam], M$1)</f>
        <v>2</v>
      </c>
      <c r="N149" s="145">
        <f>SUMIFS(Table2[NewPointsAway],Table2[GameDate], "&lt;=" &amp; $A149, Table2[AwayTeam], N$1)+SUMIFS(Table2[NewPointsHome],Table2[GameDate], "&lt;=" &amp; $A149, Table2[HomeTeam], N$1)</f>
        <v>2</v>
      </c>
      <c r="O149" s="145">
        <f>SUMIFS(Table2[NewPointsAway],Table2[GameDate], "&lt;=" &amp; $A149, Table2[AwayTeam], O$1)+SUMIFS(Table2[NewPointsHome],Table2[GameDate], "&lt;=" &amp; $A149, Table2[HomeTeam], O$1)</f>
        <v>0</v>
      </c>
      <c r="P149" s="145">
        <f>SUMIFS(Table2[NewPointsAway],Table2[GameDate], "&lt;=" &amp; $A149, Table2[AwayTeam], P$1)+SUMIFS(Table2[NewPointsHome],Table2[GameDate], "&lt;=" &amp; $A149, Table2[HomeTeam], P$1)</f>
        <v>0</v>
      </c>
      <c r="Q149" s="145">
        <f>SUMIFS(Table2[NewPointsAway],Table2[GameDate], "&lt;=" &amp; $A149, Table2[AwayTeam], Q$1)+SUMIFS(Table2[NewPointsHome],Table2[GameDate], "&lt;=" &amp; $A149, Table2[HomeTeam], Q$1)</f>
        <v>0</v>
      </c>
      <c r="R149" s="145">
        <f>SUMIFS(Table2[NewPointsAway],Table2[GameDate], "&lt;=" &amp; $A149, Table2[AwayTeam], R$1)+SUMIFS(Table2[NewPointsHome],Table2[GameDate], "&lt;=" &amp; $A149, Table2[HomeTeam], R$1)</f>
        <v>0</v>
      </c>
      <c r="S149" s="145">
        <f>SUMIFS(Table2[NewPointsAway],Table2[GameDate], "&lt;=" &amp; $A149, Table2[AwayTeam], S$1)+SUMIFS(Table2[NewPointsHome],Table2[GameDate], "&lt;=" &amp; $A149, Table2[HomeTeam], S$1)</f>
        <v>0</v>
      </c>
      <c r="T149" s="145">
        <f>SUMIFS(Table2[NewPointsAway],Table2[GameDate], "&lt;=" &amp; $A149, Table2[AwayTeam], T$1)+SUMIFS(Table2[NewPointsHome],Table2[GameDate], "&lt;=" &amp; $A149, Table2[HomeTeam], T$1)</f>
        <v>0</v>
      </c>
      <c r="U149" s="145">
        <f>SUMIFS(Table2[NewPointsAway],Table2[GameDate], "&lt;=" &amp; $A149, Table2[AwayTeam], U$1)+SUMIFS(Table2[NewPointsHome],Table2[GameDate], "&lt;=" &amp; $A149, Table2[HomeTeam], U$1)</f>
        <v>0</v>
      </c>
      <c r="V149" s="145">
        <f>SUMIFS(Table2[NewPointsAway],Table2[GameDate], "&lt;=" &amp; $A149, Table2[AwayTeam], V$1)+SUMIFS(Table2[NewPointsHome],Table2[GameDate], "&lt;=" &amp; $A149, Table2[HomeTeam], V$1)</f>
        <v>0</v>
      </c>
      <c r="W149" s="145">
        <f>SUMIFS(Table2[NewPointsAway],Table2[GameDate], "&lt;=" &amp; $A149, Table2[AwayTeam], W$1)+SUMIFS(Table2[NewPointsHome],Table2[GameDate], "&lt;=" &amp; $A149, Table2[HomeTeam], W$1)</f>
        <v>2</v>
      </c>
      <c r="X149" s="145">
        <f>SUMIFS(Table2[NewPointsAway],Table2[GameDate], "&lt;=" &amp; $A149, Table2[AwayTeam], X$1)+SUMIFS(Table2[NewPointsHome],Table2[GameDate], "&lt;=" &amp; $A149, Table2[HomeTeam], X$1)</f>
        <v>0</v>
      </c>
      <c r="Y149" s="145">
        <f>SUMIFS(Table2[NewPointsAway],Table2[GameDate], "&lt;=" &amp; $A149, Table2[AwayTeam], Y$1)+SUMIFS(Table2[NewPointsHome],Table2[GameDate], "&lt;=" &amp; $A149, Table2[HomeTeam], Y$1)</f>
        <v>0</v>
      </c>
      <c r="Z149" s="145">
        <f>SUMIFS(Table2[NewPointsAway],Table2[GameDate], "&lt;=" &amp; $A149, Table2[AwayTeam], Z$1)+SUMIFS(Table2[NewPointsHome],Table2[GameDate], "&lt;=" &amp; $A149, Table2[HomeTeam], Z$1)</f>
        <v>0</v>
      </c>
      <c r="AA149" s="145">
        <f>SUMIFS(Table2[NewPointsAway],Table2[GameDate], "&lt;=" &amp; $A149, Table2[AwayTeam], AA$1)+SUMIFS(Table2[NewPointsHome],Table2[GameDate], "&lt;=" &amp; $A149, Table2[HomeTeam], AA$1)</f>
        <v>0</v>
      </c>
      <c r="AB149" s="145">
        <f>SUMIFS(Table2[NewPointsAway],Table2[GameDate], "&lt;=" &amp; $A149, Table2[AwayTeam], AB$1)+SUMIFS(Table2[NewPointsHome],Table2[GameDate], "&lt;=" &amp; $A149, Table2[HomeTeam], AB$1)</f>
        <v>2</v>
      </c>
      <c r="AC149" s="145">
        <f>SUMIFS(Table2[NewPointsAway],Table2[GameDate], "&lt;=" &amp; $A149, Table2[AwayTeam], AC$1)+SUMIFS(Table2[NewPointsHome],Table2[GameDate], "&lt;=" &amp; $A149, Table2[HomeTeam], AC$1)</f>
        <v>0</v>
      </c>
      <c r="AD149" s="145">
        <f>SUMIFS(Table2[NewPointsAway],Table2[GameDate], "&lt;=" &amp; $A149, Table2[AwayTeam], AD$1)+SUMIFS(Table2[NewPointsHome],Table2[GameDate], "&lt;=" &amp; $A149, Table2[HomeTeam], AD$1)</f>
        <v>0</v>
      </c>
      <c r="AE149" s="145">
        <f>SUMIFS(Table2[NewPointsAway],Table2[GameDate], "&lt;=" &amp; $A149, Table2[AwayTeam], AE$1)+SUMIFS(Table2[NewPointsHome],Table2[GameDate], "&lt;=" &amp; $A149, Table2[HomeTeam], AE$1)</f>
        <v>1</v>
      </c>
      <c r="AF149" s="145">
        <f>SUMIFS(Table2[NewPointsAway],Table2[GameDate], "&lt;=" &amp; $A149, Table2[AwayTeam], AF$1)+SUMIFS(Table2[NewPointsHome],Table2[GameDate], "&lt;=" &amp; $A149, Table2[HomeTeam], AF$1)</f>
        <v>0</v>
      </c>
      <c r="AG149" s="145">
        <f>SUMIFS(Table2[NewPointsAway],Table2[GameDate], "&lt;=" &amp; $A149, Table2[AwayTeam], AG$1)+SUMIFS(Table2[NewPointsHome],Table2[GameDate], "&lt;=" &amp; $A149, Table2[HomeTeam], AG$1)</f>
        <v>0</v>
      </c>
    </row>
    <row r="150" spans="1:33" x14ac:dyDescent="0.25">
      <c r="A150" s="3">
        <v>46081</v>
      </c>
      <c r="B150" s="145">
        <f>SUMIFS(Table2[NewPointsAway],Table2[GameDate], "&lt;=" &amp; $A150, Table2[AwayTeam], B$1)+SUMIFS(Table2[NewPointsHome],Table2[GameDate], "&lt;=" &amp; $A150, Table2[HomeTeam], B$1)</f>
        <v>0</v>
      </c>
      <c r="C150" s="145">
        <f>SUMIFS(Table2[NewPointsAway],Table2[GameDate], "&lt;=" &amp; $A150, Table2[AwayTeam], C$1)+SUMIFS(Table2[NewPointsHome],Table2[GameDate], "&lt;=" &amp; $A150, Table2[HomeTeam], C$1)</f>
        <v>2</v>
      </c>
      <c r="D150" s="145">
        <f>SUMIFS(Table2[NewPointsAway],Table2[GameDate], "&lt;=" &amp; $A150, Table2[AwayTeam], D$1)+SUMIFS(Table2[NewPointsHome],Table2[GameDate], "&lt;=" &amp; $A150, Table2[HomeTeam], D$1)</f>
        <v>0</v>
      </c>
      <c r="E150" s="145">
        <f>SUMIFS(Table2[NewPointsAway],Table2[GameDate], "&lt;=" &amp; $A150, Table2[AwayTeam], E$1)+SUMIFS(Table2[NewPointsHome],Table2[GameDate], "&lt;=" &amp; $A150, Table2[HomeTeam], E$1)</f>
        <v>0</v>
      </c>
      <c r="F150" s="145">
        <f>SUMIFS(Table2[NewPointsAway],Table2[GameDate], "&lt;=" &amp; $A150, Table2[AwayTeam], F$1)+SUMIFS(Table2[NewPointsHome],Table2[GameDate], "&lt;=" &amp; $A150, Table2[HomeTeam], F$1)</f>
        <v>0</v>
      </c>
      <c r="G150" s="145">
        <f>SUMIFS(Table2[NewPointsAway],Table2[GameDate], "&lt;=" &amp; $A150, Table2[AwayTeam], G$1)+SUMIFS(Table2[NewPointsHome],Table2[GameDate], "&lt;=" &amp; $A150, Table2[HomeTeam], G$1)</f>
        <v>2</v>
      </c>
      <c r="H150" s="145">
        <f>SUMIFS(Table2[NewPointsAway],Table2[GameDate], "&lt;=" &amp; $A150, Table2[AwayTeam], H$1)+SUMIFS(Table2[NewPointsHome],Table2[GameDate], "&lt;=" &amp; $A150, Table2[HomeTeam], H$1)</f>
        <v>0</v>
      </c>
      <c r="I150" s="145">
        <f>SUMIFS(Table2[NewPointsAway],Table2[GameDate], "&lt;=" &amp; $A150, Table2[AwayTeam], I$1)+SUMIFS(Table2[NewPointsHome],Table2[GameDate], "&lt;=" &amp; $A150, Table2[HomeTeam], I$1)</f>
        <v>2</v>
      </c>
      <c r="J150" s="145">
        <f>SUMIFS(Table2[NewPointsAway],Table2[GameDate], "&lt;=" &amp; $A150, Table2[AwayTeam], J$1)+SUMIFS(Table2[NewPointsHome],Table2[GameDate], "&lt;=" &amp; $A150, Table2[HomeTeam], J$1)</f>
        <v>0</v>
      </c>
      <c r="K150" s="145">
        <f>SUMIFS(Table2[NewPointsAway],Table2[GameDate], "&lt;=" &amp; $A150, Table2[AwayTeam], K$1)+SUMIFS(Table2[NewPointsHome],Table2[GameDate], "&lt;=" &amp; $A150, Table2[HomeTeam], K$1)</f>
        <v>0</v>
      </c>
      <c r="L150" s="145">
        <f>SUMIFS(Table2[NewPointsAway],Table2[GameDate], "&lt;=" &amp; $A150, Table2[AwayTeam], L$1)+SUMIFS(Table2[NewPointsHome],Table2[GameDate], "&lt;=" &amp; $A150, Table2[HomeTeam], L$1)</f>
        <v>1</v>
      </c>
      <c r="M150" s="145">
        <f>SUMIFS(Table2[NewPointsAway],Table2[GameDate], "&lt;=" &amp; $A150, Table2[AwayTeam], M$1)+SUMIFS(Table2[NewPointsHome],Table2[GameDate], "&lt;=" &amp; $A150, Table2[HomeTeam], M$1)</f>
        <v>2</v>
      </c>
      <c r="N150" s="145">
        <f>SUMIFS(Table2[NewPointsAway],Table2[GameDate], "&lt;=" &amp; $A150, Table2[AwayTeam], N$1)+SUMIFS(Table2[NewPointsHome],Table2[GameDate], "&lt;=" &amp; $A150, Table2[HomeTeam], N$1)</f>
        <v>2</v>
      </c>
      <c r="O150" s="145">
        <f>SUMIFS(Table2[NewPointsAway],Table2[GameDate], "&lt;=" &amp; $A150, Table2[AwayTeam], O$1)+SUMIFS(Table2[NewPointsHome],Table2[GameDate], "&lt;=" &amp; $A150, Table2[HomeTeam], O$1)</f>
        <v>0</v>
      </c>
      <c r="P150" s="145">
        <f>SUMIFS(Table2[NewPointsAway],Table2[GameDate], "&lt;=" &amp; $A150, Table2[AwayTeam], P$1)+SUMIFS(Table2[NewPointsHome],Table2[GameDate], "&lt;=" &amp; $A150, Table2[HomeTeam], P$1)</f>
        <v>0</v>
      </c>
      <c r="Q150" s="145">
        <f>SUMIFS(Table2[NewPointsAway],Table2[GameDate], "&lt;=" &amp; $A150, Table2[AwayTeam], Q$1)+SUMIFS(Table2[NewPointsHome],Table2[GameDate], "&lt;=" &amp; $A150, Table2[HomeTeam], Q$1)</f>
        <v>0</v>
      </c>
      <c r="R150" s="145">
        <f>SUMIFS(Table2[NewPointsAway],Table2[GameDate], "&lt;=" &amp; $A150, Table2[AwayTeam], R$1)+SUMIFS(Table2[NewPointsHome],Table2[GameDate], "&lt;=" &amp; $A150, Table2[HomeTeam], R$1)</f>
        <v>0</v>
      </c>
      <c r="S150" s="145">
        <f>SUMIFS(Table2[NewPointsAway],Table2[GameDate], "&lt;=" &amp; $A150, Table2[AwayTeam], S$1)+SUMIFS(Table2[NewPointsHome],Table2[GameDate], "&lt;=" &amp; $A150, Table2[HomeTeam], S$1)</f>
        <v>0</v>
      </c>
      <c r="T150" s="145">
        <f>SUMIFS(Table2[NewPointsAway],Table2[GameDate], "&lt;=" &amp; $A150, Table2[AwayTeam], T$1)+SUMIFS(Table2[NewPointsHome],Table2[GameDate], "&lt;=" &amp; $A150, Table2[HomeTeam], T$1)</f>
        <v>0</v>
      </c>
      <c r="U150" s="145">
        <f>SUMIFS(Table2[NewPointsAway],Table2[GameDate], "&lt;=" &amp; $A150, Table2[AwayTeam], U$1)+SUMIFS(Table2[NewPointsHome],Table2[GameDate], "&lt;=" &amp; $A150, Table2[HomeTeam], U$1)</f>
        <v>0</v>
      </c>
      <c r="V150" s="145">
        <f>SUMIFS(Table2[NewPointsAway],Table2[GameDate], "&lt;=" &amp; $A150, Table2[AwayTeam], V$1)+SUMIFS(Table2[NewPointsHome],Table2[GameDate], "&lt;=" &amp; $A150, Table2[HomeTeam], V$1)</f>
        <v>0</v>
      </c>
      <c r="W150" s="145">
        <f>SUMIFS(Table2[NewPointsAway],Table2[GameDate], "&lt;=" &amp; $A150, Table2[AwayTeam], W$1)+SUMIFS(Table2[NewPointsHome],Table2[GameDate], "&lt;=" &amp; $A150, Table2[HomeTeam], W$1)</f>
        <v>2</v>
      </c>
      <c r="X150" s="145">
        <f>SUMIFS(Table2[NewPointsAway],Table2[GameDate], "&lt;=" &amp; $A150, Table2[AwayTeam], X$1)+SUMIFS(Table2[NewPointsHome],Table2[GameDate], "&lt;=" &amp; $A150, Table2[HomeTeam], X$1)</f>
        <v>0</v>
      </c>
      <c r="Y150" s="145">
        <f>SUMIFS(Table2[NewPointsAway],Table2[GameDate], "&lt;=" &amp; $A150, Table2[AwayTeam], Y$1)+SUMIFS(Table2[NewPointsHome],Table2[GameDate], "&lt;=" &amp; $A150, Table2[HomeTeam], Y$1)</f>
        <v>0</v>
      </c>
      <c r="Z150" s="145">
        <f>SUMIFS(Table2[NewPointsAway],Table2[GameDate], "&lt;=" &amp; $A150, Table2[AwayTeam], Z$1)+SUMIFS(Table2[NewPointsHome],Table2[GameDate], "&lt;=" &amp; $A150, Table2[HomeTeam], Z$1)</f>
        <v>0</v>
      </c>
      <c r="AA150" s="145">
        <f>SUMIFS(Table2[NewPointsAway],Table2[GameDate], "&lt;=" &amp; $A150, Table2[AwayTeam], AA$1)+SUMIFS(Table2[NewPointsHome],Table2[GameDate], "&lt;=" &amp; $A150, Table2[HomeTeam], AA$1)</f>
        <v>0</v>
      </c>
      <c r="AB150" s="145">
        <f>SUMIFS(Table2[NewPointsAway],Table2[GameDate], "&lt;=" &amp; $A150, Table2[AwayTeam], AB$1)+SUMIFS(Table2[NewPointsHome],Table2[GameDate], "&lt;=" &amp; $A150, Table2[HomeTeam], AB$1)</f>
        <v>2</v>
      </c>
      <c r="AC150" s="145">
        <f>SUMIFS(Table2[NewPointsAway],Table2[GameDate], "&lt;=" &amp; $A150, Table2[AwayTeam], AC$1)+SUMIFS(Table2[NewPointsHome],Table2[GameDate], "&lt;=" &amp; $A150, Table2[HomeTeam], AC$1)</f>
        <v>0</v>
      </c>
      <c r="AD150" s="145">
        <f>SUMIFS(Table2[NewPointsAway],Table2[GameDate], "&lt;=" &amp; $A150, Table2[AwayTeam], AD$1)+SUMIFS(Table2[NewPointsHome],Table2[GameDate], "&lt;=" &amp; $A150, Table2[HomeTeam], AD$1)</f>
        <v>0</v>
      </c>
      <c r="AE150" s="145">
        <f>SUMIFS(Table2[NewPointsAway],Table2[GameDate], "&lt;=" &amp; $A150, Table2[AwayTeam], AE$1)+SUMIFS(Table2[NewPointsHome],Table2[GameDate], "&lt;=" &amp; $A150, Table2[HomeTeam], AE$1)</f>
        <v>1</v>
      </c>
      <c r="AF150" s="145">
        <f>SUMIFS(Table2[NewPointsAway],Table2[GameDate], "&lt;=" &amp; $A150, Table2[AwayTeam], AF$1)+SUMIFS(Table2[NewPointsHome],Table2[GameDate], "&lt;=" &amp; $A150, Table2[HomeTeam], AF$1)</f>
        <v>0</v>
      </c>
      <c r="AG150" s="145">
        <f>SUMIFS(Table2[NewPointsAway],Table2[GameDate], "&lt;=" &amp; $A150, Table2[AwayTeam], AG$1)+SUMIFS(Table2[NewPointsHome],Table2[GameDate], "&lt;=" &amp; $A150, Table2[HomeTeam], AG$1)</f>
        <v>0</v>
      </c>
    </row>
    <row r="151" spans="1:33" x14ac:dyDescent="0.25">
      <c r="A151" s="3">
        <v>46082</v>
      </c>
      <c r="B151" s="145">
        <f>SUMIFS(Table2[NewPointsAway],Table2[GameDate], "&lt;=" &amp; $A151, Table2[AwayTeam], B$1)+SUMIFS(Table2[NewPointsHome],Table2[GameDate], "&lt;=" &amp; $A151, Table2[HomeTeam], B$1)</f>
        <v>0</v>
      </c>
      <c r="C151" s="145">
        <f>SUMIFS(Table2[NewPointsAway],Table2[GameDate], "&lt;=" &amp; $A151, Table2[AwayTeam], C$1)+SUMIFS(Table2[NewPointsHome],Table2[GameDate], "&lt;=" &amp; $A151, Table2[HomeTeam], C$1)</f>
        <v>2</v>
      </c>
      <c r="D151" s="145">
        <f>SUMIFS(Table2[NewPointsAway],Table2[GameDate], "&lt;=" &amp; $A151, Table2[AwayTeam], D$1)+SUMIFS(Table2[NewPointsHome],Table2[GameDate], "&lt;=" &amp; $A151, Table2[HomeTeam], D$1)</f>
        <v>0</v>
      </c>
      <c r="E151" s="145">
        <f>SUMIFS(Table2[NewPointsAway],Table2[GameDate], "&lt;=" &amp; $A151, Table2[AwayTeam], E$1)+SUMIFS(Table2[NewPointsHome],Table2[GameDate], "&lt;=" &amp; $A151, Table2[HomeTeam], E$1)</f>
        <v>0</v>
      </c>
      <c r="F151" s="145">
        <f>SUMIFS(Table2[NewPointsAway],Table2[GameDate], "&lt;=" &amp; $A151, Table2[AwayTeam], F$1)+SUMIFS(Table2[NewPointsHome],Table2[GameDate], "&lt;=" &amp; $A151, Table2[HomeTeam], F$1)</f>
        <v>0</v>
      </c>
      <c r="G151" s="145">
        <f>SUMIFS(Table2[NewPointsAway],Table2[GameDate], "&lt;=" &amp; $A151, Table2[AwayTeam], G$1)+SUMIFS(Table2[NewPointsHome],Table2[GameDate], "&lt;=" &amp; $A151, Table2[HomeTeam], G$1)</f>
        <v>2</v>
      </c>
      <c r="H151" s="145">
        <f>SUMIFS(Table2[NewPointsAway],Table2[GameDate], "&lt;=" &amp; $A151, Table2[AwayTeam], H$1)+SUMIFS(Table2[NewPointsHome],Table2[GameDate], "&lt;=" &amp; $A151, Table2[HomeTeam], H$1)</f>
        <v>0</v>
      </c>
      <c r="I151" s="145">
        <f>SUMIFS(Table2[NewPointsAway],Table2[GameDate], "&lt;=" &amp; $A151, Table2[AwayTeam], I$1)+SUMIFS(Table2[NewPointsHome],Table2[GameDate], "&lt;=" &amp; $A151, Table2[HomeTeam], I$1)</f>
        <v>2</v>
      </c>
      <c r="J151" s="145">
        <f>SUMIFS(Table2[NewPointsAway],Table2[GameDate], "&lt;=" &amp; $A151, Table2[AwayTeam], J$1)+SUMIFS(Table2[NewPointsHome],Table2[GameDate], "&lt;=" &amp; $A151, Table2[HomeTeam], J$1)</f>
        <v>0</v>
      </c>
      <c r="K151" s="145">
        <f>SUMIFS(Table2[NewPointsAway],Table2[GameDate], "&lt;=" &amp; $A151, Table2[AwayTeam], K$1)+SUMIFS(Table2[NewPointsHome],Table2[GameDate], "&lt;=" &amp; $A151, Table2[HomeTeam], K$1)</f>
        <v>0</v>
      </c>
      <c r="L151" s="145">
        <f>SUMIFS(Table2[NewPointsAway],Table2[GameDate], "&lt;=" &amp; $A151, Table2[AwayTeam], L$1)+SUMIFS(Table2[NewPointsHome],Table2[GameDate], "&lt;=" &amp; $A151, Table2[HomeTeam], L$1)</f>
        <v>1</v>
      </c>
      <c r="M151" s="145">
        <f>SUMIFS(Table2[NewPointsAway],Table2[GameDate], "&lt;=" &amp; $A151, Table2[AwayTeam], M$1)+SUMIFS(Table2[NewPointsHome],Table2[GameDate], "&lt;=" &amp; $A151, Table2[HomeTeam], M$1)</f>
        <v>2</v>
      </c>
      <c r="N151" s="145">
        <f>SUMIFS(Table2[NewPointsAway],Table2[GameDate], "&lt;=" &amp; $A151, Table2[AwayTeam], N$1)+SUMIFS(Table2[NewPointsHome],Table2[GameDate], "&lt;=" &amp; $A151, Table2[HomeTeam], N$1)</f>
        <v>2</v>
      </c>
      <c r="O151" s="145">
        <f>SUMIFS(Table2[NewPointsAway],Table2[GameDate], "&lt;=" &amp; $A151, Table2[AwayTeam], O$1)+SUMIFS(Table2[NewPointsHome],Table2[GameDate], "&lt;=" &amp; $A151, Table2[HomeTeam], O$1)</f>
        <v>0</v>
      </c>
      <c r="P151" s="145">
        <f>SUMIFS(Table2[NewPointsAway],Table2[GameDate], "&lt;=" &amp; $A151, Table2[AwayTeam], P$1)+SUMIFS(Table2[NewPointsHome],Table2[GameDate], "&lt;=" &amp; $A151, Table2[HomeTeam], P$1)</f>
        <v>0</v>
      </c>
      <c r="Q151" s="145">
        <f>SUMIFS(Table2[NewPointsAway],Table2[GameDate], "&lt;=" &amp; $A151, Table2[AwayTeam], Q$1)+SUMIFS(Table2[NewPointsHome],Table2[GameDate], "&lt;=" &amp; $A151, Table2[HomeTeam], Q$1)</f>
        <v>0</v>
      </c>
      <c r="R151" s="145">
        <f>SUMIFS(Table2[NewPointsAway],Table2[GameDate], "&lt;=" &amp; $A151, Table2[AwayTeam], R$1)+SUMIFS(Table2[NewPointsHome],Table2[GameDate], "&lt;=" &amp; $A151, Table2[HomeTeam], R$1)</f>
        <v>0</v>
      </c>
      <c r="S151" s="145">
        <f>SUMIFS(Table2[NewPointsAway],Table2[GameDate], "&lt;=" &amp; $A151, Table2[AwayTeam], S$1)+SUMIFS(Table2[NewPointsHome],Table2[GameDate], "&lt;=" &amp; $A151, Table2[HomeTeam], S$1)</f>
        <v>0</v>
      </c>
      <c r="T151" s="145">
        <f>SUMIFS(Table2[NewPointsAway],Table2[GameDate], "&lt;=" &amp; $A151, Table2[AwayTeam], T$1)+SUMIFS(Table2[NewPointsHome],Table2[GameDate], "&lt;=" &amp; $A151, Table2[HomeTeam], T$1)</f>
        <v>0</v>
      </c>
      <c r="U151" s="145">
        <f>SUMIFS(Table2[NewPointsAway],Table2[GameDate], "&lt;=" &amp; $A151, Table2[AwayTeam], U$1)+SUMIFS(Table2[NewPointsHome],Table2[GameDate], "&lt;=" &amp; $A151, Table2[HomeTeam], U$1)</f>
        <v>0</v>
      </c>
      <c r="V151" s="145">
        <f>SUMIFS(Table2[NewPointsAway],Table2[GameDate], "&lt;=" &amp; $A151, Table2[AwayTeam], V$1)+SUMIFS(Table2[NewPointsHome],Table2[GameDate], "&lt;=" &amp; $A151, Table2[HomeTeam], V$1)</f>
        <v>0</v>
      </c>
      <c r="W151" s="145">
        <f>SUMIFS(Table2[NewPointsAway],Table2[GameDate], "&lt;=" &amp; $A151, Table2[AwayTeam], W$1)+SUMIFS(Table2[NewPointsHome],Table2[GameDate], "&lt;=" &amp; $A151, Table2[HomeTeam], W$1)</f>
        <v>2</v>
      </c>
      <c r="X151" s="145">
        <f>SUMIFS(Table2[NewPointsAway],Table2[GameDate], "&lt;=" &amp; $A151, Table2[AwayTeam], X$1)+SUMIFS(Table2[NewPointsHome],Table2[GameDate], "&lt;=" &amp; $A151, Table2[HomeTeam], X$1)</f>
        <v>0</v>
      </c>
      <c r="Y151" s="145">
        <f>SUMIFS(Table2[NewPointsAway],Table2[GameDate], "&lt;=" &amp; $A151, Table2[AwayTeam], Y$1)+SUMIFS(Table2[NewPointsHome],Table2[GameDate], "&lt;=" &amp; $A151, Table2[HomeTeam], Y$1)</f>
        <v>0</v>
      </c>
      <c r="Z151" s="145">
        <f>SUMIFS(Table2[NewPointsAway],Table2[GameDate], "&lt;=" &amp; $A151, Table2[AwayTeam], Z$1)+SUMIFS(Table2[NewPointsHome],Table2[GameDate], "&lt;=" &amp; $A151, Table2[HomeTeam], Z$1)</f>
        <v>0</v>
      </c>
      <c r="AA151" s="145">
        <f>SUMIFS(Table2[NewPointsAway],Table2[GameDate], "&lt;=" &amp; $A151, Table2[AwayTeam], AA$1)+SUMIFS(Table2[NewPointsHome],Table2[GameDate], "&lt;=" &amp; $A151, Table2[HomeTeam], AA$1)</f>
        <v>0</v>
      </c>
      <c r="AB151" s="145">
        <f>SUMIFS(Table2[NewPointsAway],Table2[GameDate], "&lt;=" &amp; $A151, Table2[AwayTeam], AB$1)+SUMIFS(Table2[NewPointsHome],Table2[GameDate], "&lt;=" &amp; $A151, Table2[HomeTeam], AB$1)</f>
        <v>2</v>
      </c>
      <c r="AC151" s="145">
        <f>SUMIFS(Table2[NewPointsAway],Table2[GameDate], "&lt;=" &amp; $A151, Table2[AwayTeam], AC$1)+SUMIFS(Table2[NewPointsHome],Table2[GameDate], "&lt;=" &amp; $A151, Table2[HomeTeam], AC$1)</f>
        <v>0</v>
      </c>
      <c r="AD151" s="145">
        <f>SUMIFS(Table2[NewPointsAway],Table2[GameDate], "&lt;=" &amp; $A151, Table2[AwayTeam], AD$1)+SUMIFS(Table2[NewPointsHome],Table2[GameDate], "&lt;=" &amp; $A151, Table2[HomeTeam], AD$1)</f>
        <v>0</v>
      </c>
      <c r="AE151" s="145">
        <f>SUMIFS(Table2[NewPointsAway],Table2[GameDate], "&lt;=" &amp; $A151, Table2[AwayTeam], AE$1)+SUMIFS(Table2[NewPointsHome],Table2[GameDate], "&lt;=" &amp; $A151, Table2[HomeTeam], AE$1)</f>
        <v>1</v>
      </c>
      <c r="AF151" s="145">
        <f>SUMIFS(Table2[NewPointsAway],Table2[GameDate], "&lt;=" &amp; $A151, Table2[AwayTeam], AF$1)+SUMIFS(Table2[NewPointsHome],Table2[GameDate], "&lt;=" &amp; $A151, Table2[HomeTeam], AF$1)</f>
        <v>0</v>
      </c>
      <c r="AG151" s="145">
        <f>SUMIFS(Table2[NewPointsAway],Table2[GameDate], "&lt;=" &amp; $A151, Table2[AwayTeam], AG$1)+SUMIFS(Table2[NewPointsHome],Table2[GameDate], "&lt;=" &amp; $A151, Table2[HomeTeam], AG$1)</f>
        <v>0</v>
      </c>
    </row>
    <row r="152" spans="1:33" x14ac:dyDescent="0.25">
      <c r="A152" s="3">
        <v>46083</v>
      </c>
      <c r="B152" s="145">
        <f>SUMIFS(Table2[NewPointsAway],Table2[GameDate], "&lt;=" &amp; $A152, Table2[AwayTeam], B$1)+SUMIFS(Table2[NewPointsHome],Table2[GameDate], "&lt;=" &amp; $A152, Table2[HomeTeam], B$1)</f>
        <v>0</v>
      </c>
      <c r="C152" s="145">
        <f>SUMIFS(Table2[NewPointsAway],Table2[GameDate], "&lt;=" &amp; $A152, Table2[AwayTeam], C$1)+SUMIFS(Table2[NewPointsHome],Table2[GameDate], "&lt;=" &amp; $A152, Table2[HomeTeam], C$1)</f>
        <v>2</v>
      </c>
      <c r="D152" s="145">
        <f>SUMIFS(Table2[NewPointsAway],Table2[GameDate], "&lt;=" &amp; $A152, Table2[AwayTeam], D$1)+SUMIFS(Table2[NewPointsHome],Table2[GameDate], "&lt;=" &amp; $A152, Table2[HomeTeam], D$1)</f>
        <v>0</v>
      </c>
      <c r="E152" s="145">
        <f>SUMIFS(Table2[NewPointsAway],Table2[GameDate], "&lt;=" &amp; $A152, Table2[AwayTeam], E$1)+SUMIFS(Table2[NewPointsHome],Table2[GameDate], "&lt;=" &amp; $A152, Table2[HomeTeam], E$1)</f>
        <v>0</v>
      </c>
      <c r="F152" s="145">
        <f>SUMIFS(Table2[NewPointsAway],Table2[GameDate], "&lt;=" &amp; $A152, Table2[AwayTeam], F$1)+SUMIFS(Table2[NewPointsHome],Table2[GameDate], "&lt;=" &amp; $A152, Table2[HomeTeam], F$1)</f>
        <v>0</v>
      </c>
      <c r="G152" s="145">
        <f>SUMIFS(Table2[NewPointsAway],Table2[GameDate], "&lt;=" &amp; $A152, Table2[AwayTeam], G$1)+SUMIFS(Table2[NewPointsHome],Table2[GameDate], "&lt;=" &amp; $A152, Table2[HomeTeam], G$1)</f>
        <v>2</v>
      </c>
      <c r="H152" s="145">
        <f>SUMIFS(Table2[NewPointsAway],Table2[GameDate], "&lt;=" &amp; $A152, Table2[AwayTeam], H$1)+SUMIFS(Table2[NewPointsHome],Table2[GameDate], "&lt;=" &amp; $A152, Table2[HomeTeam], H$1)</f>
        <v>0</v>
      </c>
      <c r="I152" s="145">
        <f>SUMIFS(Table2[NewPointsAway],Table2[GameDate], "&lt;=" &amp; $A152, Table2[AwayTeam], I$1)+SUMIFS(Table2[NewPointsHome],Table2[GameDate], "&lt;=" &amp; $A152, Table2[HomeTeam], I$1)</f>
        <v>2</v>
      </c>
      <c r="J152" s="145">
        <f>SUMIFS(Table2[NewPointsAway],Table2[GameDate], "&lt;=" &amp; $A152, Table2[AwayTeam], J$1)+SUMIFS(Table2[NewPointsHome],Table2[GameDate], "&lt;=" &amp; $A152, Table2[HomeTeam], J$1)</f>
        <v>0</v>
      </c>
      <c r="K152" s="145">
        <f>SUMIFS(Table2[NewPointsAway],Table2[GameDate], "&lt;=" &amp; $A152, Table2[AwayTeam], K$1)+SUMIFS(Table2[NewPointsHome],Table2[GameDate], "&lt;=" &amp; $A152, Table2[HomeTeam], K$1)</f>
        <v>0</v>
      </c>
      <c r="L152" s="145">
        <f>SUMIFS(Table2[NewPointsAway],Table2[GameDate], "&lt;=" &amp; $A152, Table2[AwayTeam], L$1)+SUMIFS(Table2[NewPointsHome],Table2[GameDate], "&lt;=" &amp; $A152, Table2[HomeTeam], L$1)</f>
        <v>1</v>
      </c>
      <c r="M152" s="145">
        <f>SUMIFS(Table2[NewPointsAway],Table2[GameDate], "&lt;=" &amp; $A152, Table2[AwayTeam], M$1)+SUMIFS(Table2[NewPointsHome],Table2[GameDate], "&lt;=" &amp; $A152, Table2[HomeTeam], M$1)</f>
        <v>2</v>
      </c>
      <c r="N152" s="145">
        <f>SUMIFS(Table2[NewPointsAway],Table2[GameDate], "&lt;=" &amp; $A152, Table2[AwayTeam], N$1)+SUMIFS(Table2[NewPointsHome],Table2[GameDate], "&lt;=" &amp; $A152, Table2[HomeTeam], N$1)</f>
        <v>2</v>
      </c>
      <c r="O152" s="145">
        <f>SUMIFS(Table2[NewPointsAway],Table2[GameDate], "&lt;=" &amp; $A152, Table2[AwayTeam], O$1)+SUMIFS(Table2[NewPointsHome],Table2[GameDate], "&lt;=" &amp; $A152, Table2[HomeTeam], O$1)</f>
        <v>0</v>
      </c>
      <c r="P152" s="145">
        <f>SUMIFS(Table2[NewPointsAway],Table2[GameDate], "&lt;=" &amp; $A152, Table2[AwayTeam], P$1)+SUMIFS(Table2[NewPointsHome],Table2[GameDate], "&lt;=" &amp; $A152, Table2[HomeTeam], P$1)</f>
        <v>0</v>
      </c>
      <c r="Q152" s="145">
        <f>SUMIFS(Table2[NewPointsAway],Table2[GameDate], "&lt;=" &amp; $A152, Table2[AwayTeam], Q$1)+SUMIFS(Table2[NewPointsHome],Table2[GameDate], "&lt;=" &amp; $A152, Table2[HomeTeam], Q$1)</f>
        <v>0</v>
      </c>
      <c r="R152" s="145">
        <f>SUMIFS(Table2[NewPointsAway],Table2[GameDate], "&lt;=" &amp; $A152, Table2[AwayTeam], R$1)+SUMIFS(Table2[NewPointsHome],Table2[GameDate], "&lt;=" &amp; $A152, Table2[HomeTeam], R$1)</f>
        <v>0</v>
      </c>
      <c r="S152" s="145">
        <f>SUMIFS(Table2[NewPointsAway],Table2[GameDate], "&lt;=" &amp; $A152, Table2[AwayTeam], S$1)+SUMIFS(Table2[NewPointsHome],Table2[GameDate], "&lt;=" &amp; $A152, Table2[HomeTeam], S$1)</f>
        <v>0</v>
      </c>
      <c r="T152" s="145">
        <f>SUMIFS(Table2[NewPointsAway],Table2[GameDate], "&lt;=" &amp; $A152, Table2[AwayTeam], T$1)+SUMIFS(Table2[NewPointsHome],Table2[GameDate], "&lt;=" &amp; $A152, Table2[HomeTeam], T$1)</f>
        <v>0</v>
      </c>
      <c r="U152" s="145">
        <f>SUMIFS(Table2[NewPointsAway],Table2[GameDate], "&lt;=" &amp; $A152, Table2[AwayTeam], U$1)+SUMIFS(Table2[NewPointsHome],Table2[GameDate], "&lt;=" &amp; $A152, Table2[HomeTeam], U$1)</f>
        <v>0</v>
      </c>
      <c r="V152" s="145">
        <f>SUMIFS(Table2[NewPointsAway],Table2[GameDate], "&lt;=" &amp; $A152, Table2[AwayTeam], V$1)+SUMIFS(Table2[NewPointsHome],Table2[GameDate], "&lt;=" &amp; $A152, Table2[HomeTeam], V$1)</f>
        <v>0</v>
      </c>
      <c r="W152" s="145">
        <f>SUMIFS(Table2[NewPointsAway],Table2[GameDate], "&lt;=" &amp; $A152, Table2[AwayTeam], W$1)+SUMIFS(Table2[NewPointsHome],Table2[GameDate], "&lt;=" &amp; $A152, Table2[HomeTeam], W$1)</f>
        <v>2</v>
      </c>
      <c r="X152" s="145">
        <f>SUMIFS(Table2[NewPointsAway],Table2[GameDate], "&lt;=" &amp; $A152, Table2[AwayTeam], X$1)+SUMIFS(Table2[NewPointsHome],Table2[GameDate], "&lt;=" &amp; $A152, Table2[HomeTeam], X$1)</f>
        <v>0</v>
      </c>
      <c r="Y152" s="145">
        <f>SUMIFS(Table2[NewPointsAway],Table2[GameDate], "&lt;=" &amp; $A152, Table2[AwayTeam], Y$1)+SUMIFS(Table2[NewPointsHome],Table2[GameDate], "&lt;=" &amp; $A152, Table2[HomeTeam], Y$1)</f>
        <v>0</v>
      </c>
      <c r="Z152" s="145">
        <f>SUMIFS(Table2[NewPointsAway],Table2[GameDate], "&lt;=" &amp; $A152, Table2[AwayTeam], Z$1)+SUMIFS(Table2[NewPointsHome],Table2[GameDate], "&lt;=" &amp; $A152, Table2[HomeTeam], Z$1)</f>
        <v>0</v>
      </c>
      <c r="AA152" s="145">
        <f>SUMIFS(Table2[NewPointsAway],Table2[GameDate], "&lt;=" &amp; $A152, Table2[AwayTeam], AA$1)+SUMIFS(Table2[NewPointsHome],Table2[GameDate], "&lt;=" &amp; $A152, Table2[HomeTeam], AA$1)</f>
        <v>0</v>
      </c>
      <c r="AB152" s="145">
        <f>SUMIFS(Table2[NewPointsAway],Table2[GameDate], "&lt;=" &amp; $A152, Table2[AwayTeam], AB$1)+SUMIFS(Table2[NewPointsHome],Table2[GameDate], "&lt;=" &amp; $A152, Table2[HomeTeam], AB$1)</f>
        <v>2</v>
      </c>
      <c r="AC152" s="145">
        <f>SUMIFS(Table2[NewPointsAway],Table2[GameDate], "&lt;=" &amp; $A152, Table2[AwayTeam], AC$1)+SUMIFS(Table2[NewPointsHome],Table2[GameDate], "&lt;=" &amp; $A152, Table2[HomeTeam], AC$1)</f>
        <v>0</v>
      </c>
      <c r="AD152" s="145">
        <f>SUMIFS(Table2[NewPointsAway],Table2[GameDate], "&lt;=" &amp; $A152, Table2[AwayTeam], AD$1)+SUMIFS(Table2[NewPointsHome],Table2[GameDate], "&lt;=" &amp; $A152, Table2[HomeTeam], AD$1)</f>
        <v>0</v>
      </c>
      <c r="AE152" s="145">
        <f>SUMIFS(Table2[NewPointsAway],Table2[GameDate], "&lt;=" &amp; $A152, Table2[AwayTeam], AE$1)+SUMIFS(Table2[NewPointsHome],Table2[GameDate], "&lt;=" &amp; $A152, Table2[HomeTeam], AE$1)</f>
        <v>1</v>
      </c>
      <c r="AF152" s="145">
        <f>SUMIFS(Table2[NewPointsAway],Table2[GameDate], "&lt;=" &amp; $A152, Table2[AwayTeam], AF$1)+SUMIFS(Table2[NewPointsHome],Table2[GameDate], "&lt;=" &amp; $A152, Table2[HomeTeam], AF$1)</f>
        <v>0</v>
      </c>
      <c r="AG152" s="145">
        <f>SUMIFS(Table2[NewPointsAway],Table2[GameDate], "&lt;=" &amp; $A152, Table2[AwayTeam], AG$1)+SUMIFS(Table2[NewPointsHome],Table2[GameDate], "&lt;=" &amp; $A152, Table2[HomeTeam], AG$1)</f>
        <v>0</v>
      </c>
    </row>
    <row r="153" spans="1:33" x14ac:dyDescent="0.25">
      <c r="A153" s="3">
        <v>46084</v>
      </c>
      <c r="B153" s="145">
        <f>SUMIFS(Table2[NewPointsAway],Table2[GameDate], "&lt;=" &amp; $A153, Table2[AwayTeam], B$1)+SUMIFS(Table2[NewPointsHome],Table2[GameDate], "&lt;=" &amp; $A153, Table2[HomeTeam], B$1)</f>
        <v>0</v>
      </c>
      <c r="C153" s="145">
        <f>SUMIFS(Table2[NewPointsAway],Table2[GameDate], "&lt;=" &amp; $A153, Table2[AwayTeam], C$1)+SUMIFS(Table2[NewPointsHome],Table2[GameDate], "&lt;=" &amp; $A153, Table2[HomeTeam], C$1)</f>
        <v>2</v>
      </c>
      <c r="D153" s="145">
        <f>SUMIFS(Table2[NewPointsAway],Table2[GameDate], "&lt;=" &amp; $A153, Table2[AwayTeam], D$1)+SUMIFS(Table2[NewPointsHome],Table2[GameDate], "&lt;=" &amp; $A153, Table2[HomeTeam], D$1)</f>
        <v>0</v>
      </c>
      <c r="E153" s="145">
        <f>SUMIFS(Table2[NewPointsAway],Table2[GameDate], "&lt;=" &amp; $A153, Table2[AwayTeam], E$1)+SUMIFS(Table2[NewPointsHome],Table2[GameDate], "&lt;=" &amp; $A153, Table2[HomeTeam], E$1)</f>
        <v>0</v>
      </c>
      <c r="F153" s="145">
        <f>SUMIFS(Table2[NewPointsAway],Table2[GameDate], "&lt;=" &amp; $A153, Table2[AwayTeam], F$1)+SUMIFS(Table2[NewPointsHome],Table2[GameDate], "&lt;=" &amp; $A153, Table2[HomeTeam], F$1)</f>
        <v>0</v>
      </c>
      <c r="G153" s="145">
        <f>SUMIFS(Table2[NewPointsAway],Table2[GameDate], "&lt;=" &amp; $A153, Table2[AwayTeam], G$1)+SUMIFS(Table2[NewPointsHome],Table2[GameDate], "&lt;=" &amp; $A153, Table2[HomeTeam], G$1)</f>
        <v>2</v>
      </c>
      <c r="H153" s="145">
        <f>SUMIFS(Table2[NewPointsAway],Table2[GameDate], "&lt;=" &amp; $A153, Table2[AwayTeam], H$1)+SUMIFS(Table2[NewPointsHome],Table2[GameDate], "&lt;=" &amp; $A153, Table2[HomeTeam], H$1)</f>
        <v>0</v>
      </c>
      <c r="I153" s="145">
        <f>SUMIFS(Table2[NewPointsAway],Table2[GameDate], "&lt;=" &amp; $A153, Table2[AwayTeam], I$1)+SUMIFS(Table2[NewPointsHome],Table2[GameDate], "&lt;=" &amp; $A153, Table2[HomeTeam], I$1)</f>
        <v>2</v>
      </c>
      <c r="J153" s="145">
        <f>SUMIFS(Table2[NewPointsAway],Table2[GameDate], "&lt;=" &amp; $A153, Table2[AwayTeam], J$1)+SUMIFS(Table2[NewPointsHome],Table2[GameDate], "&lt;=" &amp; $A153, Table2[HomeTeam], J$1)</f>
        <v>0</v>
      </c>
      <c r="K153" s="145">
        <f>SUMIFS(Table2[NewPointsAway],Table2[GameDate], "&lt;=" &amp; $A153, Table2[AwayTeam], K$1)+SUMIFS(Table2[NewPointsHome],Table2[GameDate], "&lt;=" &amp; $A153, Table2[HomeTeam], K$1)</f>
        <v>0</v>
      </c>
      <c r="L153" s="145">
        <f>SUMIFS(Table2[NewPointsAway],Table2[GameDate], "&lt;=" &amp; $A153, Table2[AwayTeam], L$1)+SUMIFS(Table2[NewPointsHome],Table2[GameDate], "&lt;=" &amp; $A153, Table2[HomeTeam], L$1)</f>
        <v>1</v>
      </c>
      <c r="M153" s="145">
        <f>SUMIFS(Table2[NewPointsAway],Table2[GameDate], "&lt;=" &amp; $A153, Table2[AwayTeam], M$1)+SUMIFS(Table2[NewPointsHome],Table2[GameDate], "&lt;=" &amp; $A153, Table2[HomeTeam], M$1)</f>
        <v>2</v>
      </c>
      <c r="N153" s="145">
        <f>SUMIFS(Table2[NewPointsAway],Table2[GameDate], "&lt;=" &amp; $A153, Table2[AwayTeam], N$1)+SUMIFS(Table2[NewPointsHome],Table2[GameDate], "&lt;=" &amp; $A153, Table2[HomeTeam], N$1)</f>
        <v>2</v>
      </c>
      <c r="O153" s="145">
        <f>SUMIFS(Table2[NewPointsAway],Table2[GameDate], "&lt;=" &amp; $A153, Table2[AwayTeam], O$1)+SUMIFS(Table2[NewPointsHome],Table2[GameDate], "&lt;=" &amp; $A153, Table2[HomeTeam], O$1)</f>
        <v>0</v>
      </c>
      <c r="P153" s="145">
        <f>SUMIFS(Table2[NewPointsAway],Table2[GameDate], "&lt;=" &amp; $A153, Table2[AwayTeam], P$1)+SUMIFS(Table2[NewPointsHome],Table2[GameDate], "&lt;=" &amp; $A153, Table2[HomeTeam], P$1)</f>
        <v>0</v>
      </c>
      <c r="Q153" s="145">
        <f>SUMIFS(Table2[NewPointsAway],Table2[GameDate], "&lt;=" &amp; $A153, Table2[AwayTeam], Q$1)+SUMIFS(Table2[NewPointsHome],Table2[GameDate], "&lt;=" &amp; $A153, Table2[HomeTeam], Q$1)</f>
        <v>0</v>
      </c>
      <c r="R153" s="145">
        <f>SUMIFS(Table2[NewPointsAway],Table2[GameDate], "&lt;=" &amp; $A153, Table2[AwayTeam], R$1)+SUMIFS(Table2[NewPointsHome],Table2[GameDate], "&lt;=" &amp; $A153, Table2[HomeTeam], R$1)</f>
        <v>0</v>
      </c>
      <c r="S153" s="145">
        <f>SUMIFS(Table2[NewPointsAway],Table2[GameDate], "&lt;=" &amp; $A153, Table2[AwayTeam], S$1)+SUMIFS(Table2[NewPointsHome],Table2[GameDate], "&lt;=" &amp; $A153, Table2[HomeTeam], S$1)</f>
        <v>0</v>
      </c>
      <c r="T153" s="145">
        <f>SUMIFS(Table2[NewPointsAway],Table2[GameDate], "&lt;=" &amp; $A153, Table2[AwayTeam], T$1)+SUMIFS(Table2[NewPointsHome],Table2[GameDate], "&lt;=" &amp; $A153, Table2[HomeTeam], T$1)</f>
        <v>0</v>
      </c>
      <c r="U153" s="145">
        <f>SUMIFS(Table2[NewPointsAway],Table2[GameDate], "&lt;=" &amp; $A153, Table2[AwayTeam], U$1)+SUMIFS(Table2[NewPointsHome],Table2[GameDate], "&lt;=" &amp; $A153, Table2[HomeTeam], U$1)</f>
        <v>0</v>
      </c>
      <c r="V153" s="145">
        <f>SUMIFS(Table2[NewPointsAway],Table2[GameDate], "&lt;=" &amp; $A153, Table2[AwayTeam], V$1)+SUMIFS(Table2[NewPointsHome],Table2[GameDate], "&lt;=" &amp; $A153, Table2[HomeTeam], V$1)</f>
        <v>0</v>
      </c>
      <c r="W153" s="145">
        <f>SUMIFS(Table2[NewPointsAway],Table2[GameDate], "&lt;=" &amp; $A153, Table2[AwayTeam], W$1)+SUMIFS(Table2[NewPointsHome],Table2[GameDate], "&lt;=" &amp; $A153, Table2[HomeTeam], W$1)</f>
        <v>2</v>
      </c>
      <c r="X153" s="145">
        <f>SUMIFS(Table2[NewPointsAway],Table2[GameDate], "&lt;=" &amp; $A153, Table2[AwayTeam], X$1)+SUMIFS(Table2[NewPointsHome],Table2[GameDate], "&lt;=" &amp; $A153, Table2[HomeTeam], X$1)</f>
        <v>0</v>
      </c>
      <c r="Y153" s="145">
        <f>SUMIFS(Table2[NewPointsAway],Table2[GameDate], "&lt;=" &amp; $A153, Table2[AwayTeam], Y$1)+SUMIFS(Table2[NewPointsHome],Table2[GameDate], "&lt;=" &amp; $A153, Table2[HomeTeam], Y$1)</f>
        <v>0</v>
      </c>
      <c r="Z153" s="145">
        <f>SUMIFS(Table2[NewPointsAway],Table2[GameDate], "&lt;=" &amp; $A153, Table2[AwayTeam], Z$1)+SUMIFS(Table2[NewPointsHome],Table2[GameDate], "&lt;=" &amp; $A153, Table2[HomeTeam], Z$1)</f>
        <v>0</v>
      </c>
      <c r="AA153" s="145">
        <f>SUMIFS(Table2[NewPointsAway],Table2[GameDate], "&lt;=" &amp; $A153, Table2[AwayTeam], AA$1)+SUMIFS(Table2[NewPointsHome],Table2[GameDate], "&lt;=" &amp; $A153, Table2[HomeTeam], AA$1)</f>
        <v>0</v>
      </c>
      <c r="AB153" s="145">
        <f>SUMIFS(Table2[NewPointsAway],Table2[GameDate], "&lt;=" &amp; $A153, Table2[AwayTeam], AB$1)+SUMIFS(Table2[NewPointsHome],Table2[GameDate], "&lt;=" &amp; $A153, Table2[HomeTeam], AB$1)</f>
        <v>2</v>
      </c>
      <c r="AC153" s="145">
        <f>SUMIFS(Table2[NewPointsAway],Table2[GameDate], "&lt;=" &amp; $A153, Table2[AwayTeam], AC$1)+SUMIFS(Table2[NewPointsHome],Table2[GameDate], "&lt;=" &amp; $A153, Table2[HomeTeam], AC$1)</f>
        <v>0</v>
      </c>
      <c r="AD153" s="145">
        <f>SUMIFS(Table2[NewPointsAway],Table2[GameDate], "&lt;=" &amp; $A153, Table2[AwayTeam], AD$1)+SUMIFS(Table2[NewPointsHome],Table2[GameDate], "&lt;=" &amp; $A153, Table2[HomeTeam], AD$1)</f>
        <v>0</v>
      </c>
      <c r="AE153" s="145">
        <f>SUMIFS(Table2[NewPointsAway],Table2[GameDate], "&lt;=" &amp; $A153, Table2[AwayTeam], AE$1)+SUMIFS(Table2[NewPointsHome],Table2[GameDate], "&lt;=" &amp; $A153, Table2[HomeTeam], AE$1)</f>
        <v>1</v>
      </c>
      <c r="AF153" s="145">
        <f>SUMIFS(Table2[NewPointsAway],Table2[GameDate], "&lt;=" &amp; $A153, Table2[AwayTeam], AF$1)+SUMIFS(Table2[NewPointsHome],Table2[GameDate], "&lt;=" &amp; $A153, Table2[HomeTeam], AF$1)</f>
        <v>0</v>
      </c>
      <c r="AG153" s="145">
        <f>SUMIFS(Table2[NewPointsAway],Table2[GameDate], "&lt;=" &amp; $A153, Table2[AwayTeam], AG$1)+SUMIFS(Table2[NewPointsHome],Table2[GameDate], "&lt;=" &amp; $A153, Table2[HomeTeam], AG$1)</f>
        <v>0</v>
      </c>
    </row>
    <row r="154" spans="1:33" x14ac:dyDescent="0.25">
      <c r="A154" s="3">
        <v>46085</v>
      </c>
      <c r="B154" s="145">
        <f>SUMIFS(Table2[NewPointsAway],Table2[GameDate], "&lt;=" &amp; $A154, Table2[AwayTeam], B$1)+SUMIFS(Table2[NewPointsHome],Table2[GameDate], "&lt;=" &amp; $A154, Table2[HomeTeam], B$1)</f>
        <v>0</v>
      </c>
      <c r="C154" s="145">
        <f>SUMIFS(Table2[NewPointsAway],Table2[GameDate], "&lt;=" &amp; $A154, Table2[AwayTeam], C$1)+SUMIFS(Table2[NewPointsHome],Table2[GameDate], "&lt;=" &amp; $A154, Table2[HomeTeam], C$1)</f>
        <v>2</v>
      </c>
      <c r="D154" s="145">
        <f>SUMIFS(Table2[NewPointsAway],Table2[GameDate], "&lt;=" &amp; $A154, Table2[AwayTeam], D$1)+SUMIFS(Table2[NewPointsHome],Table2[GameDate], "&lt;=" &amp; $A154, Table2[HomeTeam], D$1)</f>
        <v>0</v>
      </c>
      <c r="E154" s="145">
        <f>SUMIFS(Table2[NewPointsAway],Table2[GameDate], "&lt;=" &amp; $A154, Table2[AwayTeam], E$1)+SUMIFS(Table2[NewPointsHome],Table2[GameDate], "&lt;=" &amp; $A154, Table2[HomeTeam], E$1)</f>
        <v>0</v>
      </c>
      <c r="F154" s="145">
        <f>SUMIFS(Table2[NewPointsAway],Table2[GameDate], "&lt;=" &amp; $A154, Table2[AwayTeam], F$1)+SUMIFS(Table2[NewPointsHome],Table2[GameDate], "&lt;=" &amp; $A154, Table2[HomeTeam], F$1)</f>
        <v>0</v>
      </c>
      <c r="G154" s="145">
        <f>SUMIFS(Table2[NewPointsAway],Table2[GameDate], "&lt;=" &amp; $A154, Table2[AwayTeam], G$1)+SUMIFS(Table2[NewPointsHome],Table2[GameDate], "&lt;=" &amp; $A154, Table2[HomeTeam], G$1)</f>
        <v>2</v>
      </c>
      <c r="H154" s="145">
        <f>SUMIFS(Table2[NewPointsAway],Table2[GameDate], "&lt;=" &amp; $A154, Table2[AwayTeam], H$1)+SUMIFS(Table2[NewPointsHome],Table2[GameDate], "&lt;=" &amp; $A154, Table2[HomeTeam], H$1)</f>
        <v>0</v>
      </c>
      <c r="I154" s="145">
        <f>SUMIFS(Table2[NewPointsAway],Table2[GameDate], "&lt;=" &amp; $A154, Table2[AwayTeam], I$1)+SUMIFS(Table2[NewPointsHome],Table2[GameDate], "&lt;=" &amp; $A154, Table2[HomeTeam], I$1)</f>
        <v>2</v>
      </c>
      <c r="J154" s="145">
        <f>SUMIFS(Table2[NewPointsAway],Table2[GameDate], "&lt;=" &amp; $A154, Table2[AwayTeam], J$1)+SUMIFS(Table2[NewPointsHome],Table2[GameDate], "&lt;=" &amp; $A154, Table2[HomeTeam], J$1)</f>
        <v>0</v>
      </c>
      <c r="K154" s="145">
        <f>SUMIFS(Table2[NewPointsAway],Table2[GameDate], "&lt;=" &amp; $A154, Table2[AwayTeam], K$1)+SUMIFS(Table2[NewPointsHome],Table2[GameDate], "&lt;=" &amp; $A154, Table2[HomeTeam], K$1)</f>
        <v>0</v>
      </c>
      <c r="L154" s="145">
        <f>SUMIFS(Table2[NewPointsAway],Table2[GameDate], "&lt;=" &amp; $A154, Table2[AwayTeam], L$1)+SUMIFS(Table2[NewPointsHome],Table2[GameDate], "&lt;=" &amp; $A154, Table2[HomeTeam], L$1)</f>
        <v>1</v>
      </c>
      <c r="M154" s="145">
        <f>SUMIFS(Table2[NewPointsAway],Table2[GameDate], "&lt;=" &amp; $A154, Table2[AwayTeam], M$1)+SUMIFS(Table2[NewPointsHome],Table2[GameDate], "&lt;=" &amp; $A154, Table2[HomeTeam], M$1)</f>
        <v>2</v>
      </c>
      <c r="N154" s="145">
        <f>SUMIFS(Table2[NewPointsAway],Table2[GameDate], "&lt;=" &amp; $A154, Table2[AwayTeam], N$1)+SUMIFS(Table2[NewPointsHome],Table2[GameDate], "&lt;=" &amp; $A154, Table2[HomeTeam], N$1)</f>
        <v>2</v>
      </c>
      <c r="O154" s="145">
        <f>SUMIFS(Table2[NewPointsAway],Table2[GameDate], "&lt;=" &amp; $A154, Table2[AwayTeam], O$1)+SUMIFS(Table2[NewPointsHome],Table2[GameDate], "&lt;=" &amp; $A154, Table2[HomeTeam], O$1)</f>
        <v>0</v>
      </c>
      <c r="P154" s="145">
        <f>SUMIFS(Table2[NewPointsAway],Table2[GameDate], "&lt;=" &amp; $A154, Table2[AwayTeam], P$1)+SUMIFS(Table2[NewPointsHome],Table2[GameDate], "&lt;=" &amp; $A154, Table2[HomeTeam], P$1)</f>
        <v>0</v>
      </c>
      <c r="Q154" s="145">
        <f>SUMIFS(Table2[NewPointsAway],Table2[GameDate], "&lt;=" &amp; $A154, Table2[AwayTeam], Q$1)+SUMIFS(Table2[NewPointsHome],Table2[GameDate], "&lt;=" &amp; $A154, Table2[HomeTeam], Q$1)</f>
        <v>0</v>
      </c>
      <c r="R154" s="145">
        <f>SUMIFS(Table2[NewPointsAway],Table2[GameDate], "&lt;=" &amp; $A154, Table2[AwayTeam], R$1)+SUMIFS(Table2[NewPointsHome],Table2[GameDate], "&lt;=" &amp; $A154, Table2[HomeTeam], R$1)</f>
        <v>0</v>
      </c>
      <c r="S154" s="145">
        <f>SUMIFS(Table2[NewPointsAway],Table2[GameDate], "&lt;=" &amp; $A154, Table2[AwayTeam], S$1)+SUMIFS(Table2[NewPointsHome],Table2[GameDate], "&lt;=" &amp; $A154, Table2[HomeTeam], S$1)</f>
        <v>0</v>
      </c>
      <c r="T154" s="145">
        <f>SUMIFS(Table2[NewPointsAway],Table2[GameDate], "&lt;=" &amp; $A154, Table2[AwayTeam], T$1)+SUMIFS(Table2[NewPointsHome],Table2[GameDate], "&lt;=" &amp; $A154, Table2[HomeTeam], T$1)</f>
        <v>0</v>
      </c>
      <c r="U154" s="145">
        <f>SUMIFS(Table2[NewPointsAway],Table2[GameDate], "&lt;=" &amp; $A154, Table2[AwayTeam], U$1)+SUMIFS(Table2[NewPointsHome],Table2[GameDate], "&lt;=" &amp; $A154, Table2[HomeTeam], U$1)</f>
        <v>0</v>
      </c>
      <c r="V154" s="145">
        <f>SUMIFS(Table2[NewPointsAway],Table2[GameDate], "&lt;=" &amp; $A154, Table2[AwayTeam], V$1)+SUMIFS(Table2[NewPointsHome],Table2[GameDate], "&lt;=" &amp; $A154, Table2[HomeTeam], V$1)</f>
        <v>0</v>
      </c>
      <c r="W154" s="145">
        <f>SUMIFS(Table2[NewPointsAway],Table2[GameDate], "&lt;=" &amp; $A154, Table2[AwayTeam], W$1)+SUMIFS(Table2[NewPointsHome],Table2[GameDate], "&lt;=" &amp; $A154, Table2[HomeTeam], W$1)</f>
        <v>2</v>
      </c>
      <c r="X154" s="145">
        <f>SUMIFS(Table2[NewPointsAway],Table2[GameDate], "&lt;=" &amp; $A154, Table2[AwayTeam], X$1)+SUMIFS(Table2[NewPointsHome],Table2[GameDate], "&lt;=" &amp; $A154, Table2[HomeTeam], X$1)</f>
        <v>0</v>
      </c>
      <c r="Y154" s="145">
        <f>SUMIFS(Table2[NewPointsAway],Table2[GameDate], "&lt;=" &amp; $A154, Table2[AwayTeam], Y$1)+SUMIFS(Table2[NewPointsHome],Table2[GameDate], "&lt;=" &amp; $A154, Table2[HomeTeam], Y$1)</f>
        <v>0</v>
      </c>
      <c r="Z154" s="145">
        <f>SUMIFS(Table2[NewPointsAway],Table2[GameDate], "&lt;=" &amp; $A154, Table2[AwayTeam], Z$1)+SUMIFS(Table2[NewPointsHome],Table2[GameDate], "&lt;=" &amp; $A154, Table2[HomeTeam], Z$1)</f>
        <v>0</v>
      </c>
      <c r="AA154" s="145">
        <f>SUMIFS(Table2[NewPointsAway],Table2[GameDate], "&lt;=" &amp; $A154, Table2[AwayTeam], AA$1)+SUMIFS(Table2[NewPointsHome],Table2[GameDate], "&lt;=" &amp; $A154, Table2[HomeTeam], AA$1)</f>
        <v>0</v>
      </c>
      <c r="AB154" s="145">
        <f>SUMIFS(Table2[NewPointsAway],Table2[GameDate], "&lt;=" &amp; $A154, Table2[AwayTeam], AB$1)+SUMIFS(Table2[NewPointsHome],Table2[GameDate], "&lt;=" &amp; $A154, Table2[HomeTeam], AB$1)</f>
        <v>2</v>
      </c>
      <c r="AC154" s="145">
        <f>SUMIFS(Table2[NewPointsAway],Table2[GameDate], "&lt;=" &amp; $A154, Table2[AwayTeam], AC$1)+SUMIFS(Table2[NewPointsHome],Table2[GameDate], "&lt;=" &amp; $A154, Table2[HomeTeam], AC$1)</f>
        <v>0</v>
      </c>
      <c r="AD154" s="145">
        <f>SUMIFS(Table2[NewPointsAway],Table2[GameDate], "&lt;=" &amp; $A154, Table2[AwayTeam], AD$1)+SUMIFS(Table2[NewPointsHome],Table2[GameDate], "&lt;=" &amp; $A154, Table2[HomeTeam], AD$1)</f>
        <v>0</v>
      </c>
      <c r="AE154" s="145">
        <f>SUMIFS(Table2[NewPointsAway],Table2[GameDate], "&lt;=" &amp; $A154, Table2[AwayTeam], AE$1)+SUMIFS(Table2[NewPointsHome],Table2[GameDate], "&lt;=" &amp; $A154, Table2[HomeTeam], AE$1)</f>
        <v>1</v>
      </c>
      <c r="AF154" s="145">
        <f>SUMIFS(Table2[NewPointsAway],Table2[GameDate], "&lt;=" &amp; $A154, Table2[AwayTeam], AF$1)+SUMIFS(Table2[NewPointsHome],Table2[GameDate], "&lt;=" &amp; $A154, Table2[HomeTeam], AF$1)</f>
        <v>0</v>
      </c>
      <c r="AG154" s="145">
        <f>SUMIFS(Table2[NewPointsAway],Table2[GameDate], "&lt;=" &amp; $A154, Table2[AwayTeam], AG$1)+SUMIFS(Table2[NewPointsHome],Table2[GameDate], "&lt;=" &amp; $A154, Table2[HomeTeam], AG$1)</f>
        <v>0</v>
      </c>
    </row>
    <row r="155" spans="1:33" x14ac:dyDescent="0.25">
      <c r="A155" s="3">
        <v>46086</v>
      </c>
      <c r="B155" s="145">
        <f>SUMIFS(Table2[NewPointsAway],Table2[GameDate], "&lt;=" &amp; $A155, Table2[AwayTeam], B$1)+SUMIFS(Table2[NewPointsHome],Table2[GameDate], "&lt;=" &amp; $A155, Table2[HomeTeam], B$1)</f>
        <v>0</v>
      </c>
      <c r="C155" s="145">
        <f>SUMIFS(Table2[NewPointsAway],Table2[GameDate], "&lt;=" &amp; $A155, Table2[AwayTeam], C$1)+SUMIFS(Table2[NewPointsHome],Table2[GameDate], "&lt;=" &amp; $A155, Table2[HomeTeam], C$1)</f>
        <v>2</v>
      </c>
      <c r="D155" s="145">
        <f>SUMIFS(Table2[NewPointsAway],Table2[GameDate], "&lt;=" &amp; $A155, Table2[AwayTeam], D$1)+SUMIFS(Table2[NewPointsHome],Table2[GameDate], "&lt;=" &amp; $A155, Table2[HomeTeam], D$1)</f>
        <v>0</v>
      </c>
      <c r="E155" s="145">
        <f>SUMIFS(Table2[NewPointsAway],Table2[GameDate], "&lt;=" &amp; $A155, Table2[AwayTeam], E$1)+SUMIFS(Table2[NewPointsHome],Table2[GameDate], "&lt;=" &amp; $A155, Table2[HomeTeam], E$1)</f>
        <v>0</v>
      </c>
      <c r="F155" s="145">
        <f>SUMIFS(Table2[NewPointsAway],Table2[GameDate], "&lt;=" &amp; $A155, Table2[AwayTeam], F$1)+SUMIFS(Table2[NewPointsHome],Table2[GameDate], "&lt;=" &amp; $A155, Table2[HomeTeam], F$1)</f>
        <v>0</v>
      </c>
      <c r="G155" s="145">
        <f>SUMIFS(Table2[NewPointsAway],Table2[GameDate], "&lt;=" &amp; $A155, Table2[AwayTeam], G$1)+SUMIFS(Table2[NewPointsHome],Table2[GameDate], "&lt;=" &amp; $A155, Table2[HomeTeam], G$1)</f>
        <v>2</v>
      </c>
      <c r="H155" s="145">
        <f>SUMIFS(Table2[NewPointsAway],Table2[GameDate], "&lt;=" &amp; $A155, Table2[AwayTeam], H$1)+SUMIFS(Table2[NewPointsHome],Table2[GameDate], "&lt;=" &amp; $A155, Table2[HomeTeam], H$1)</f>
        <v>0</v>
      </c>
      <c r="I155" s="145">
        <f>SUMIFS(Table2[NewPointsAway],Table2[GameDate], "&lt;=" &amp; $A155, Table2[AwayTeam], I$1)+SUMIFS(Table2[NewPointsHome],Table2[GameDate], "&lt;=" &amp; $A155, Table2[HomeTeam], I$1)</f>
        <v>2</v>
      </c>
      <c r="J155" s="145">
        <f>SUMIFS(Table2[NewPointsAway],Table2[GameDate], "&lt;=" &amp; $A155, Table2[AwayTeam], J$1)+SUMIFS(Table2[NewPointsHome],Table2[GameDate], "&lt;=" &amp; $A155, Table2[HomeTeam], J$1)</f>
        <v>0</v>
      </c>
      <c r="K155" s="145">
        <f>SUMIFS(Table2[NewPointsAway],Table2[GameDate], "&lt;=" &amp; $A155, Table2[AwayTeam], K$1)+SUMIFS(Table2[NewPointsHome],Table2[GameDate], "&lt;=" &amp; $A155, Table2[HomeTeam], K$1)</f>
        <v>0</v>
      </c>
      <c r="L155" s="145">
        <f>SUMIFS(Table2[NewPointsAway],Table2[GameDate], "&lt;=" &amp; $A155, Table2[AwayTeam], L$1)+SUMIFS(Table2[NewPointsHome],Table2[GameDate], "&lt;=" &amp; $A155, Table2[HomeTeam], L$1)</f>
        <v>1</v>
      </c>
      <c r="M155" s="145">
        <f>SUMIFS(Table2[NewPointsAway],Table2[GameDate], "&lt;=" &amp; $A155, Table2[AwayTeam], M$1)+SUMIFS(Table2[NewPointsHome],Table2[GameDate], "&lt;=" &amp; $A155, Table2[HomeTeam], M$1)</f>
        <v>2</v>
      </c>
      <c r="N155" s="145">
        <f>SUMIFS(Table2[NewPointsAway],Table2[GameDate], "&lt;=" &amp; $A155, Table2[AwayTeam], N$1)+SUMIFS(Table2[NewPointsHome],Table2[GameDate], "&lt;=" &amp; $A155, Table2[HomeTeam], N$1)</f>
        <v>2</v>
      </c>
      <c r="O155" s="145">
        <f>SUMIFS(Table2[NewPointsAway],Table2[GameDate], "&lt;=" &amp; $A155, Table2[AwayTeam], O$1)+SUMIFS(Table2[NewPointsHome],Table2[GameDate], "&lt;=" &amp; $A155, Table2[HomeTeam], O$1)</f>
        <v>0</v>
      </c>
      <c r="P155" s="145">
        <f>SUMIFS(Table2[NewPointsAway],Table2[GameDate], "&lt;=" &amp; $A155, Table2[AwayTeam], P$1)+SUMIFS(Table2[NewPointsHome],Table2[GameDate], "&lt;=" &amp; $A155, Table2[HomeTeam], P$1)</f>
        <v>0</v>
      </c>
      <c r="Q155" s="145">
        <f>SUMIFS(Table2[NewPointsAway],Table2[GameDate], "&lt;=" &amp; $A155, Table2[AwayTeam], Q$1)+SUMIFS(Table2[NewPointsHome],Table2[GameDate], "&lt;=" &amp; $A155, Table2[HomeTeam], Q$1)</f>
        <v>0</v>
      </c>
      <c r="R155" s="145">
        <f>SUMIFS(Table2[NewPointsAway],Table2[GameDate], "&lt;=" &amp; $A155, Table2[AwayTeam], R$1)+SUMIFS(Table2[NewPointsHome],Table2[GameDate], "&lt;=" &amp; $A155, Table2[HomeTeam], R$1)</f>
        <v>0</v>
      </c>
      <c r="S155" s="145">
        <f>SUMIFS(Table2[NewPointsAway],Table2[GameDate], "&lt;=" &amp; $A155, Table2[AwayTeam], S$1)+SUMIFS(Table2[NewPointsHome],Table2[GameDate], "&lt;=" &amp; $A155, Table2[HomeTeam], S$1)</f>
        <v>0</v>
      </c>
      <c r="T155" s="145">
        <f>SUMIFS(Table2[NewPointsAway],Table2[GameDate], "&lt;=" &amp; $A155, Table2[AwayTeam], T$1)+SUMIFS(Table2[NewPointsHome],Table2[GameDate], "&lt;=" &amp; $A155, Table2[HomeTeam], T$1)</f>
        <v>0</v>
      </c>
      <c r="U155" s="145">
        <f>SUMIFS(Table2[NewPointsAway],Table2[GameDate], "&lt;=" &amp; $A155, Table2[AwayTeam], U$1)+SUMIFS(Table2[NewPointsHome],Table2[GameDate], "&lt;=" &amp; $A155, Table2[HomeTeam], U$1)</f>
        <v>0</v>
      </c>
      <c r="V155" s="145">
        <f>SUMIFS(Table2[NewPointsAway],Table2[GameDate], "&lt;=" &amp; $A155, Table2[AwayTeam], V$1)+SUMIFS(Table2[NewPointsHome],Table2[GameDate], "&lt;=" &amp; $A155, Table2[HomeTeam], V$1)</f>
        <v>0</v>
      </c>
      <c r="W155" s="145">
        <f>SUMIFS(Table2[NewPointsAway],Table2[GameDate], "&lt;=" &amp; $A155, Table2[AwayTeam], W$1)+SUMIFS(Table2[NewPointsHome],Table2[GameDate], "&lt;=" &amp; $A155, Table2[HomeTeam], W$1)</f>
        <v>2</v>
      </c>
      <c r="X155" s="145">
        <f>SUMIFS(Table2[NewPointsAway],Table2[GameDate], "&lt;=" &amp; $A155, Table2[AwayTeam], X$1)+SUMIFS(Table2[NewPointsHome],Table2[GameDate], "&lt;=" &amp; $A155, Table2[HomeTeam], X$1)</f>
        <v>0</v>
      </c>
      <c r="Y155" s="145">
        <f>SUMIFS(Table2[NewPointsAway],Table2[GameDate], "&lt;=" &amp; $A155, Table2[AwayTeam], Y$1)+SUMIFS(Table2[NewPointsHome],Table2[GameDate], "&lt;=" &amp; $A155, Table2[HomeTeam], Y$1)</f>
        <v>0</v>
      </c>
      <c r="Z155" s="145">
        <f>SUMIFS(Table2[NewPointsAway],Table2[GameDate], "&lt;=" &amp; $A155, Table2[AwayTeam], Z$1)+SUMIFS(Table2[NewPointsHome],Table2[GameDate], "&lt;=" &amp; $A155, Table2[HomeTeam], Z$1)</f>
        <v>0</v>
      </c>
      <c r="AA155" s="145">
        <f>SUMIFS(Table2[NewPointsAway],Table2[GameDate], "&lt;=" &amp; $A155, Table2[AwayTeam], AA$1)+SUMIFS(Table2[NewPointsHome],Table2[GameDate], "&lt;=" &amp; $A155, Table2[HomeTeam], AA$1)</f>
        <v>0</v>
      </c>
      <c r="AB155" s="145">
        <f>SUMIFS(Table2[NewPointsAway],Table2[GameDate], "&lt;=" &amp; $A155, Table2[AwayTeam], AB$1)+SUMIFS(Table2[NewPointsHome],Table2[GameDate], "&lt;=" &amp; $A155, Table2[HomeTeam], AB$1)</f>
        <v>2</v>
      </c>
      <c r="AC155" s="145">
        <f>SUMIFS(Table2[NewPointsAway],Table2[GameDate], "&lt;=" &amp; $A155, Table2[AwayTeam], AC$1)+SUMIFS(Table2[NewPointsHome],Table2[GameDate], "&lt;=" &amp; $A155, Table2[HomeTeam], AC$1)</f>
        <v>0</v>
      </c>
      <c r="AD155" s="145">
        <f>SUMIFS(Table2[NewPointsAway],Table2[GameDate], "&lt;=" &amp; $A155, Table2[AwayTeam], AD$1)+SUMIFS(Table2[NewPointsHome],Table2[GameDate], "&lt;=" &amp; $A155, Table2[HomeTeam], AD$1)</f>
        <v>0</v>
      </c>
      <c r="AE155" s="145">
        <f>SUMIFS(Table2[NewPointsAway],Table2[GameDate], "&lt;=" &amp; $A155, Table2[AwayTeam], AE$1)+SUMIFS(Table2[NewPointsHome],Table2[GameDate], "&lt;=" &amp; $A155, Table2[HomeTeam], AE$1)</f>
        <v>1</v>
      </c>
      <c r="AF155" s="145">
        <f>SUMIFS(Table2[NewPointsAway],Table2[GameDate], "&lt;=" &amp; $A155, Table2[AwayTeam], AF$1)+SUMIFS(Table2[NewPointsHome],Table2[GameDate], "&lt;=" &amp; $A155, Table2[HomeTeam], AF$1)</f>
        <v>0</v>
      </c>
      <c r="AG155" s="145">
        <f>SUMIFS(Table2[NewPointsAway],Table2[GameDate], "&lt;=" &amp; $A155, Table2[AwayTeam], AG$1)+SUMIFS(Table2[NewPointsHome],Table2[GameDate], "&lt;=" &amp; $A155, Table2[HomeTeam], AG$1)</f>
        <v>0</v>
      </c>
    </row>
    <row r="156" spans="1:33" x14ac:dyDescent="0.25">
      <c r="A156" s="3">
        <v>46087</v>
      </c>
      <c r="B156" s="145">
        <f>SUMIFS(Table2[NewPointsAway],Table2[GameDate], "&lt;=" &amp; $A156, Table2[AwayTeam], B$1)+SUMIFS(Table2[NewPointsHome],Table2[GameDate], "&lt;=" &amp; $A156, Table2[HomeTeam], B$1)</f>
        <v>0</v>
      </c>
      <c r="C156" s="145">
        <f>SUMIFS(Table2[NewPointsAway],Table2[GameDate], "&lt;=" &amp; $A156, Table2[AwayTeam], C$1)+SUMIFS(Table2[NewPointsHome],Table2[GameDate], "&lt;=" &amp; $A156, Table2[HomeTeam], C$1)</f>
        <v>2</v>
      </c>
      <c r="D156" s="145">
        <f>SUMIFS(Table2[NewPointsAway],Table2[GameDate], "&lt;=" &amp; $A156, Table2[AwayTeam], D$1)+SUMIFS(Table2[NewPointsHome],Table2[GameDate], "&lt;=" &amp; $A156, Table2[HomeTeam], D$1)</f>
        <v>0</v>
      </c>
      <c r="E156" s="145">
        <f>SUMIFS(Table2[NewPointsAway],Table2[GameDate], "&lt;=" &amp; $A156, Table2[AwayTeam], E$1)+SUMIFS(Table2[NewPointsHome],Table2[GameDate], "&lt;=" &amp; $A156, Table2[HomeTeam], E$1)</f>
        <v>0</v>
      </c>
      <c r="F156" s="145">
        <f>SUMIFS(Table2[NewPointsAway],Table2[GameDate], "&lt;=" &amp; $A156, Table2[AwayTeam], F$1)+SUMIFS(Table2[NewPointsHome],Table2[GameDate], "&lt;=" &amp; $A156, Table2[HomeTeam], F$1)</f>
        <v>0</v>
      </c>
      <c r="G156" s="145">
        <f>SUMIFS(Table2[NewPointsAway],Table2[GameDate], "&lt;=" &amp; $A156, Table2[AwayTeam], G$1)+SUMIFS(Table2[NewPointsHome],Table2[GameDate], "&lt;=" &amp; $A156, Table2[HomeTeam], G$1)</f>
        <v>2</v>
      </c>
      <c r="H156" s="145">
        <f>SUMIFS(Table2[NewPointsAway],Table2[GameDate], "&lt;=" &amp; $A156, Table2[AwayTeam], H$1)+SUMIFS(Table2[NewPointsHome],Table2[GameDate], "&lt;=" &amp; $A156, Table2[HomeTeam], H$1)</f>
        <v>0</v>
      </c>
      <c r="I156" s="145">
        <f>SUMIFS(Table2[NewPointsAway],Table2[GameDate], "&lt;=" &amp; $A156, Table2[AwayTeam], I$1)+SUMIFS(Table2[NewPointsHome],Table2[GameDate], "&lt;=" &amp; $A156, Table2[HomeTeam], I$1)</f>
        <v>2</v>
      </c>
      <c r="J156" s="145">
        <f>SUMIFS(Table2[NewPointsAway],Table2[GameDate], "&lt;=" &amp; $A156, Table2[AwayTeam], J$1)+SUMIFS(Table2[NewPointsHome],Table2[GameDate], "&lt;=" &amp; $A156, Table2[HomeTeam], J$1)</f>
        <v>0</v>
      </c>
      <c r="K156" s="145">
        <f>SUMIFS(Table2[NewPointsAway],Table2[GameDate], "&lt;=" &amp; $A156, Table2[AwayTeam], K$1)+SUMIFS(Table2[NewPointsHome],Table2[GameDate], "&lt;=" &amp; $A156, Table2[HomeTeam], K$1)</f>
        <v>0</v>
      </c>
      <c r="L156" s="145">
        <f>SUMIFS(Table2[NewPointsAway],Table2[GameDate], "&lt;=" &amp; $A156, Table2[AwayTeam], L$1)+SUMIFS(Table2[NewPointsHome],Table2[GameDate], "&lt;=" &amp; $A156, Table2[HomeTeam], L$1)</f>
        <v>1</v>
      </c>
      <c r="M156" s="145">
        <f>SUMIFS(Table2[NewPointsAway],Table2[GameDate], "&lt;=" &amp; $A156, Table2[AwayTeam], M$1)+SUMIFS(Table2[NewPointsHome],Table2[GameDate], "&lt;=" &amp; $A156, Table2[HomeTeam], M$1)</f>
        <v>2</v>
      </c>
      <c r="N156" s="145">
        <f>SUMIFS(Table2[NewPointsAway],Table2[GameDate], "&lt;=" &amp; $A156, Table2[AwayTeam], N$1)+SUMIFS(Table2[NewPointsHome],Table2[GameDate], "&lt;=" &amp; $A156, Table2[HomeTeam], N$1)</f>
        <v>2</v>
      </c>
      <c r="O156" s="145">
        <f>SUMIFS(Table2[NewPointsAway],Table2[GameDate], "&lt;=" &amp; $A156, Table2[AwayTeam], O$1)+SUMIFS(Table2[NewPointsHome],Table2[GameDate], "&lt;=" &amp; $A156, Table2[HomeTeam], O$1)</f>
        <v>0</v>
      </c>
      <c r="P156" s="145">
        <f>SUMIFS(Table2[NewPointsAway],Table2[GameDate], "&lt;=" &amp; $A156, Table2[AwayTeam], P$1)+SUMIFS(Table2[NewPointsHome],Table2[GameDate], "&lt;=" &amp; $A156, Table2[HomeTeam], P$1)</f>
        <v>0</v>
      </c>
      <c r="Q156" s="145">
        <f>SUMIFS(Table2[NewPointsAway],Table2[GameDate], "&lt;=" &amp; $A156, Table2[AwayTeam], Q$1)+SUMIFS(Table2[NewPointsHome],Table2[GameDate], "&lt;=" &amp; $A156, Table2[HomeTeam], Q$1)</f>
        <v>0</v>
      </c>
      <c r="R156" s="145">
        <f>SUMIFS(Table2[NewPointsAway],Table2[GameDate], "&lt;=" &amp; $A156, Table2[AwayTeam], R$1)+SUMIFS(Table2[NewPointsHome],Table2[GameDate], "&lt;=" &amp; $A156, Table2[HomeTeam], R$1)</f>
        <v>0</v>
      </c>
      <c r="S156" s="145">
        <f>SUMIFS(Table2[NewPointsAway],Table2[GameDate], "&lt;=" &amp; $A156, Table2[AwayTeam], S$1)+SUMIFS(Table2[NewPointsHome],Table2[GameDate], "&lt;=" &amp; $A156, Table2[HomeTeam], S$1)</f>
        <v>0</v>
      </c>
      <c r="T156" s="145">
        <f>SUMIFS(Table2[NewPointsAway],Table2[GameDate], "&lt;=" &amp; $A156, Table2[AwayTeam], T$1)+SUMIFS(Table2[NewPointsHome],Table2[GameDate], "&lt;=" &amp; $A156, Table2[HomeTeam], T$1)</f>
        <v>0</v>
      </c>
      <c r="U156" s="145">
        <f>SUMIFS(Table2[NewPointsAway],Table2[GameDate], "&lt;=" &amp; $A156, Table2[AwayTeam], U$1)+SUMIFS(Table2[NewPointsHome],Table2[GameDate], "&lt;=" &amp; $A156, Table2[HomeTeam], U$1)</f>
        <v>0</v>
      </c>
      <c r="V156" s="145">
        <f>SUMIFS(Table2[NewPointsAway],Table2[GameDate], "&lt;=" &amp; $A156, Table2[AwayTeam], V$1)+SUMIFS(Table2[NewPointsHome],Table2[GameDate], "&lt;=" &amp; $A156, Table2[HomeTeam], V$1)</f>
        <v>0</v>
      </c>
      <c r="W156" s="145">
        <f>SUMIFS(Table2[NewPointsAway],Table2[GameDate], "&lt;=" &amp; $A156, Table2[AwayTeam], W$1)+SUMIFS(Table2[NewPointsHome],Table2[GameDate], "&lt;=" &amp; $A156, Table2[HomeTeam], W$1)</f>
        <v>2</v>
      </c>
      <c r="X156" s="145">
        <f>SUMIFS(Table2[NewPointsAway],Table2[GameDate], "&lt;=" &amp; $A156, Table2[AwayTeam], X$1)+SUMIFS(Table2[NewPointsHome],Table2[GameDate], "&lt;=" &amp; $A156, Table2[HomeTeam], X$1)</f>
        <v>0</v>
      </c>
      <c r="Y156" s="145">
        <f>SUMIFS(Table2[NewPointsAway],Table2[GameDate], "&lt;=" &amp; $A156, Table2[AwayTeam], Y$1)+SUMIFS(Table2[NewPointsHome],Table2[GameDate], "&lt;=" &amp; $A156, Table2[HomeTeam], Y$1)</f>
        <v>0</v>
      </c>
      <c r="Z156" s="145">
        <f>SUMIFS(Table2[NewPointsAway],Table2[GameDate], "&lt;=" &amp; $A156, Table2[AwayTeam], Z$1)+SUMIFS(Table2[NewPointsHome],Table2[GameDate], "&lt;=" &amp; $A156, Table2[HomeTeam], Z$1)</f>
        <v>0</v>
      </c>
      <c r="AA156" s="145">
        <f>SUMIFS(Table2[NewPointsAway],Table2[GameDate], "&lt;=" &amp; $A156, Table2[AwayTeam], AA$1)+SUMIFS(Table2[NewPointsHome],Table2[GameDate], "&lt;=" &amp; $A156, Table2[HomeTeam], AA$1)</f>
        <v>0</v>
      </c>
      <c r="AB156" s="145">
        <f>SUMIFS(Table2[NewPointsAway],Table2[GameDate], "&lt;=" &amp; $A156, Table2[AwayTeam], AB$1)+SUMIFS(Table2[NewPointsHome],Table2[GameDate], "&lt;=" &amp; $A156, Table2[HomeTeam], AB$1)</f>
        <v>2</v>
      </c>
      <c r="AC156" s="145">
        <f>SUMIFS(Table2[NewPointsAway],Table2[GameDate], "&lt;=" &amp; $A156, Table2[AwayTeam], AC$1)+SUMIFS(Table2[NewPointsHome],Table2[GameDate], "&lt;=" &amp; $A156, Table2[HomeTeam], AC$1)</f>
        <v>0</v>
      </c>
      <c r="AD156" s="145">
        <f>SUMIFS(Table2[NewPointsAway],Table2[GameDate], "&lt;=" &amp; $A156, Table2[AwayTeam], AD$1)+SUMIFS(Table2[NewPointsHome],Table2[GameDate], "&lt;=" &amp; $A156, Table2[HomeTeam], AD$1)</f>
        <v>0</v>
      </c>
      <c r="AE156" s="145">
        <f>SUMIFS(Table2[NewPointsAway],Table2[GameDate], "&lt;=" &amp; $A156, Table2[AwayTeam], AE$1)+SUMIFS(Table2[NewPointsHome],Table2[GameDate], "&lt;=" &amp; $A156, Table2[HomeTeam], AE$1)</f>
        <v>1</v>
      </c>
      <c r="AF156" s="145">
        <f>SUMIFS(Table2[NewPointsAway],Table2[GameDate], "&lt;=" &amp; $A156, Table2[AwayTeam], AF$1)+SUMIFS(Table2[NewPointsHome],Table2[GameDate], "&lt;=" &amp; $A156, Table2[HomeTeam], AF$1)</f>
        <v>0</v>
      </c>
      <c r="AG156" s="145">
        <f>SUMIFS(Table2[NewPointsAway],Table2[GameDate], "&lt;=" &amp; $A156, Table2[AwayTeam], AG$1)+SUMIFS(Table2[NewPointsHome],Table2[GameDate], "&lt;=" &amp; $A156, Table2[HomeTeam], AG$1)</f>
        <v>0</v>
      </c>
    </row>
    <row r="157" spans="1:33" x14ac:dyDescent="0.25">
      <c r="A157" s="3">
        <v>46088</v>
      </c>
      <c r="B157" s="145">
        <f>SUMIFS(Table2[NewPointsAway],Table2[GameDate], "&lt;=" &amp; $A157, Table2[AwayTeam], B$1)+SUMIFS(Table2[NewPointsHome],Table2[GameDate], "&lt;=" &amp; $A157, Table2[HomeTeam], B$1)</f>
        <v>0</v>
      </c>
      <c r="C157" s="145">
        <f>SUMIFS(Table2[NewPointsAway],Table2[GameDate], "&lt;=" &amp; $A157, Table2[AwayTeam], C$1)+SUMIFS(Table2[NewPointsHome],Table2[GameDate], "&lt;=" &amp; $A157, Table2[HomeTeam], C$1)</f>
        <v>2</v>
      </c>
      <c r="D157" s="145">
        <f>SUMIFS(Table2[NewPointsAway],Table2[GameDate], "&lt;=" &amp; $A157, Table2[AwayTeam], D$1)+SUMIFS(Table2[NewPointsHome],Table2[GameDate], "&lt;=" &amp; $A157, Table2[HomeTeam], D$1)</f>
        <v>0</v>
      </c>
      <c r="E157" s="145">
        <f>SUMIFS(Table2[NewPointsAway],Table2[GameDate], "&lt;=" &amp; $A157, Table2[AwayTeam], E$1)+SUMIFS(Table2[NewPointsHome],Table2[GameDate], "&lt;=" &amp; $A157, Table2[HomeTeam], E$1)</f>
        <v>0</v>
      </c>
      <c r="F157" s="145">
        <f>SUMIFS(Table2[NewPointsAway],Table2[GameDate], "&lt;=" &amp; $A157, Table2[AwayTeam], F$1)+SUMIFS(Table2[NewPointsHome],Table2[GameDate], "&lt;=" &amp; $A157, Table2[HomeTeam], F$1)</f>
        <v>0</v>
      </c>
      <c r="G157" s="145">
        <f>SUMIFS(Table2[NewPointsAway],Table2[GameDate], "&lt;=" &amp; $A157, Table2[AwayTeam], G$1)+SUMIFS(Table2[NewPointsHome],Table2[GameDate], "&lt;=" &amp; $A157, Table2[HomeTeam], G$1)</f>
        <v>2</v>
      </c>
      <c r="H157" s="145">
        <f>SUMIFS(Table2[NewPointsAway],Table2[GameDate], "&lt;=" &amp; $A157, Table2[AwayTeam], H$1)+SUMIFS(Table2[NewPointsHome],Table2[GameDate], "&lt;=" &amp; $A157, Table2[HomeTeam], H$1)</f>
        <v>0</v>
      </c>
      <c r="I157" s="145">
        <f>SUMIFS(Table2[NewPointsAway],Table2[GameDate], "&lt;=" &amp; $A157, Table2[AwayTeam], I$1)+SUMIFS(Table2[NewPointsHome],Table2[GameDate], "&lt;=" &amp; $A157, Table2[HomeTeam], I$1)</f>
        <v>2</v>
      </c>
      <c r="J157" s="145">
        <f>SUMIFS(Table2[NewPointsAway],Table2[GameDate], "&lt;=" &amp; $A157, Table2[AwayTeam], J$1)+SUMIFS(Table2[NewPointsHome],Table2[GameDate], "&lt;=" &amp; $A157, Table2[HomeTeam], J$1)</f>
        <v>0</v>
      </c>
      <c r="K157" s="145">
        <f>SUMIFS(Table2[NewPointsAway],Table2[GameDate], "&lt;=" &amp; $A157, Table2[AwayTeam], K$1)+SUMIFS(Table2[NewPointsHome],Table2[GameDate], "&lt;=" &amp; $A157, Table2[HomeTeam], K$1)</f>
        <v>0</v>
      </c>
      <c r="L157" s="145">
        <f>SUMIFS(Table2[NewPointsAway],Table2[GameDate], "&lt;=" &amp; $A157, Table2[AwayTeam], L$1)+SUMIFS(Table2[NewPointsHome],Table2[GameDate], "&lt;=" &amp; $A157, Table2[HomeTeam], L$1)</f>
        <v>1</v>
      </c>
      <c r="M157" s="145">
        <f>SUMIFS(Table2[NewPointsAway],Table2[GameDate], "&lt;=" &amp; $A157, Table2[AwayTeam], M$1)+SUMIFS(Table2[NewPointsHome],Table2[GameDate], "&lt;=" &amp; $A157, Table2[HomeTeam], M$1)</f>
        <v>2</v>
      </c>
      <c r="N157" s="145">
        <f>SUMIFS(Table2[NewPointsAway],Table2[GameDate], "&lt;=" &amp; $A157, Table2[AwayTeam], N$1)+SUMIFS(Table2[NewPointsHome],Table2[GameDate], "&lt;=" &amp; $A157, Table2[HomeTeam], N$1)</f>
        <v>2</v>
      </c>
      <c r="O157" s="145">
        <f>SUMIFS(Table2[NewPointsAway],Table2[GameDate], "&lt;=" &amp; $A157, Table2[AwayTeam], O$1)+SUMIFS(Table2[NewPointsHome],Table2[GameDate], "&lt;=" &amp; $A157, Table2[HomeTeam], O$1)</f>
        <v>0</v>
      </c>
      <c r="P157" s="145">
        <f>SUMIFS(Table2[NewPointsAway],Table2[GameDate], "&lt;=" &amp; $A157, Table2[AwayTeam], P$1)+SUMIFS(Table2[NewPointsHome],Table2[GameDate], "&lt;=" &amp; $A157, Table2[HomeTeam], P$1)</f>
        <v>0</v>
      </c>
      <c r="Q157" s="145">
        <f>SUMIFS(Table2[NewPointsAway],Table2[GameDate], "&lt;=" &amp; $A157, Table2[AwayTeam], Q$1)+SUMIFS(Table2[NewPointsHome],Table2[GameDate], "&lt;=" &amp; $A157, Table2[HomeTeam], Q$1)</f>
        <v>0</v>
      </c>
      <c r="R157" s="145">
        <f>SUMIFS(Table2[NewPointsAway],Table2[GameDate], "&lt;=" &amp; $A157, Table2[AwayTeam], R$1)+SUMIFS(Table2[NewPointsHome],Table2[GameDate], "&lt;=" &amp; $A157, Table2[HomeTeam], R$1)</f>
        <v>0</v>
      </c>
      <c r="S157" s="145">
        <f>SUMIFS(Table2[NewPointsAway],Table2[GameDate], "&lt;=" &amp; $A157, Table2[AwayTeam], S$1)+SUMIFS(Table2[NewPointsHome],Table2[GameDate], "&lt;=" &amp; $A157, Table2[HomeTeam], S$1)</f>
        <v>0</v>
      </c>
      <c r="T157" s="145">
        <f>SUMIFS(Table2[NewPointsAway],Table2[GameDate], "&lt;=" &amp; $A157, Table2[AwayTeam], T$1)+SUMIFS(Table2[NewPointsHome],Table2[GameDate], "&lt;=" &amp; $A157, Table2[HomeTeam], T$1)</f>
        <v>0</v>
      </c>
      <c r="U157" s="145">
        <f>SUMIFS(Table2[NewPointsAway],Table2[GameDate], "&lt;=" &amp; $A157, Table2[AwayTeam], U$1)+SUMIFS(Table2[NewPointsHome],Table2[GameDate], "&lt;=" &amp; $A157, Table2[HomeTeam], U$1)</f>
        <v>0</v>
      </c>
      <c r="V157" s="145">
        <f>SUMIFS(Table2[NewPointsAway],Table2[GameDate], "&lt;=" &amp; $A157, Table2[AwayTeam], V$1)+SUMIFS(Table2[NewPointsHome],Table2[GameDate], "&lt;=" &amp; $A157, Table2[HomeTeam], V$1)</f>
        <v>0</v>
      </c>
      <c r="W157" s="145">
        <f>SUMIFS(Table2[NewPointsAway],Table2[GameDate], "&lt;=" &amp; $A157, Table2[AwayTeam], W$1)+SUMIFS(Table2[NewPointsHome],Table2[GameDate], "&lt;=" &amp; $A157, Table2[HomeTeam], W$1)</f>
        <v>2</v>
      </c>
      <c r="X157" s="145">
        <f>SUMIFS(Table2[NewPointsAway],Table2[GameDate], "&lt;=" &amp; $A157, Table2[AwayTeam], X$1)+SUMIFS(Table2[NewPointsHome],Table2[GameDate], "&lt;=" &amp; $A157, Table2[HomeTeam], X$1)</f>
        <v>0</v>
      </c>
      <c r="Y157" s="145">
        <f>SUMIFS(Table2[NewPointsAway],Table2[GameDate], "&lt;=" &amp; $A157, Table2[AwayTeam], Y$1)+SUMIFS(Table2[NewPointsHome],Table2[GameDate], "&lt;=" &amp; $A157, Table2[HomeTeam], Y$1)</f>
        <v>0</v>
      </c>
      <c r="Z157" s="145">
        <f>SUMIFS(Table2[NewPointsAway],Table2[GameDate], "&lt;=" &amp; $A157, Table2[AwayTeam], Z$1)+SUMIFS(Table2[NewPointsHome],Table2[GameDate], "&lt;=" &amp; $A157, Table2[HomeTeam], Z$1)</f>
        <v>0</v>
      </c>
      <c r="AA157" s="145">
        <f>SUMIFS(Table2[NewPointsAway],Table2[GameDate], "&lt;=" &amp; $A157, Table2[AwayTeam], AA$1)+SUMIFS(Table2[NewPointsHome],Table2[GameDate], "&lt;=" &amp; $A157, Table2[HomeTeam], AA$1)</f>
        <v>0</v>
      </c>
      <c r="AB157" s="145">
        <f>SUMIFS(Table2[NewPointsAway],Table2[GameDate], "&lt;=" &amp; $A157, Table2[AwayTeam], AB$1)+SUMIFS(Table2[NewPointsHome],Table2[GameDate], "&lt;=" &amp; $A157, Table2[HomeTeam], AB$1)</f>
        <v>2</v>
      </c>
      <c r="AC157" s="145">
        <f>SUMIFS(Table2[NewPointsAway],Table2[GameDate], "&lt;=" &amp; $A157, Table2[AwayTeam], AC$1)+SUMIFS(Table2[NewPointsHome],Table2[GameDate], "&lt;=" &amp; $A157, Table2[HomeTeam], AC$1)</f>
        <v>0</v>
      </c>
      <c r="AD157" s="145">
        <f>SUMIFS(Table2[NewPointsAway],Table2[GameDate], "&lt;=" &amp; $A157, Table2[AwayTeam], AD$1)+SUMIFS(Table2[NewPointsHome],Table2[GameDate], "&lt;=" &amp; $A157, Table2[HomeTeam], AD$1)</f>
        <v>0</v>
      </c>
      <c r="AE157" s="145">
        <f>SUMIFS(Table2[NewPointsAway],Table2[GameDate], "&lt;=" &amp; $A157, Table2[AwayTeam], AE$1)+SUMIFS(Table2[NewPointsHome],Table2[GameDate], "&lt;=" &amp; $A157, Table2[HomeTeam], AE$1)</f>
        <v>1</v>
      </c>
      <c r="AF157" s="145">
        <f>SUMIFS(Table2[NewPointsAway],Table2[GameDate], "&lt;=" &amp; $A157, Table2[AwayTeam], AF$1)+SUMIFS(Table2[NewPointsHome],Table2[GameDate], "&lt;=" &amp; $A157, Table2[HomeTeam], AF$1)</f>
        <v>0</v>
      </c>
      <c r="AG157" s="145">
        <f>SUMIFS(Table2[NewPointsAway],Table2[GameDate], "&lt;=" &amp; $A157, Table2[AwayTeam], AG$1)+SUMIFS(Table2[NewPointsHome],Table2[GameDate], "&lt;=" &amp; $A157, Table2[HomeTeam], AG$1)</f>
        <v>0</v>
      </c>
    </row>
    <row r="158" spans="1:33" x14ac:dyDescent="0.25">
      <c r="A158" s="3">
        <v>46089</v>
      </c>
      <c r="B158" s="145">
        <f>SUMIFS(Table2[NewPointsAway],Table2[GameDate], "&lt;=" &amp; $A158, Table2[AwayTeam], B$1)+SUMIFS(Table2[NewPointsHome],Table2[GameDate], "&lt;=" &amp; $A158, Table2[HomeTeam], B$1)</f>
        <v>0</v>
      </c>
      <c r="C158" s="145">
        <f>SUMIFS(Table2[NewPointsAway],Table2[GameDate], "&lt;=" &amp; $A158, Table2[AwayTeam], C$1)+SUMIFS(Table2[NewPointsHome],Table2[GameDate], "&lt;=" &amp; $A158, Table2[HomeTeam], C$1)</f>
        <v>2</v>
      </c>
      <c r="D158" s="145">
        <f>SUMIFS(Table2[NewPointsAway],Table2[GameDate], "&lt;=" &amp; $A158, Table2[AwayTeam], D$1)+SUMIFS(Table2[NewPointsHome],Table2[GameDate], "&lt;=" &amp; $A158, Table2[HomeTeam], D$1)</f>
        <v>0</v>
      </c>
      <c r="E158" s="145">
        <f>SUMIFS(Table2[NewPointsAway],Table2[GameDate], "&lt;=" &amp; $A158, Table2[AwayTeam], E$1)+SUMIFS(Table2[NewPointsHome],Table2[GameDate], "&lt;=" &amp; $A158, Table2[HomeTeam], E$1)</f>
        <v>0</v>
      </c>
      <c r="F158" s="145">
        <f>SUMIFS(Table2[NewPointsAway],Table2[GameDate], "&lt;=" &amp; $A158, Table2[AwayTeam], F$1)+SUMIFS(Table2[NewPointsHome],Table2[GameDate], "&lt;=" &amp; $A158, Table2[HomeTeam], F$1)</f>
        <v>0</v>
      </c>
      <c r="G158" s="145">
        <f>SUMIFS(Table2[NewPointsAway],Table2[GameDate], "&lt;=" &amp; $A158, Table2[AwayTeam], G$1)+SUMIFS(Table2[NewPointsHome],Table2[GameDate], "&lt;=" &amp; $A158, Table2[HomeTeam], G$1)</f>
        <v>2</v>
      </c>
      <c r="H158" s="145">
        <f>SUMIFS(Table2[NewPointsAway],Table2[GameDate], "&lt;=" &amp; $A158, Table2[AwayTeam], H$1)+SUMIFS(Table2[NewPointsHome],Table2[GameDate], "&lt;=" &amp; $A158, Table2[HomeTeam], H$1)</f>
        <v>0</v>
      </c>
      <c r="I158" s="145">
        <f>SUMIFS(Table2[NewPointsAway],Table2[GameDate], "&lt;=" &amp; $A158, Table2[AwayTeam], I$1)+SUMIFS(Table2[NewPointsHome],Table2[GameDate], "&lt;=" &amp; $A158, Table2[HomeTeam], I$1)</f>
        <v>2</v>
      </c>
      <c r="J158" s="145">
        <f>SUMIFS(Table2[NewPointsAway],Table2[GameDate], "&lt;=" &amp; $A158, Table2[AwayTeam], J$1)+SUMIFS(Table2[NewPointsHome],Table2[GameDate], "&lt;=" &amp; $A158, Table2[HomeTeam], J$1)</f>
        <v>0</v>
      </c>
      <c r="K158" s="145">
        <f>SUMIFS(Table2[NewPointsAway],Table2[GameDate], "&lt;=" &amp; $A158, Table2[AwayTeam], K$1)+SUMIFS(Table2[NewPointsHome],Table2[GameDate], "&lt;=" &amp; $A158, Table2[HomeTeam], K$1)</f>
        <v>0</v>
      </c>
      <c r="L158" s="145">
        <f>SUMIFS(Table2[NewPointsAway],Table2[GameDate], "&lt;=" &amp; $A158, Table2[AwayTeam], L$1)+SUMIFS(Table2[NewPointsHome],Table2[GameDate], "&lt;=" &amp; $A158, Table2[HomeTeam], L$1)</f>
        <v>1</v>
      </c>
      <c r="M158" s="145">
        <f>SUMIFS(Table2[NewPointsAway],Table2[GameDate], "&lt;=" &amp; $A158, Table2[AwayTeam], M$1)+SUMIFS(Table2[NewPointsHome],Table2[GameDate], "&lt;=" &amp; $A158, Table2[HomeTeam], M$1)</f>
        <v>2</v>
      </c>
      <c r="N158" s="145">
        <f>SUMIFS(Table2[NewPointsAway],Table2[GameDate], "&lt;=" &amp; $A158, Table2[AwayTeam], N$1)+SUMIFS(Table2[NewPointsHome],Table2[GameDate], "&lt;=" &amp; $A158, Table2[HomeTeam], N$1)</f>
        <v>2</v>
      </c>
      <c r="O158" s="145">
        <f>SUMIFS(Table2[NewPointsAway],Table2[GameDate], "&lt;=" &amp; $A158, Table2[AwayTeam], O$1)+SUMIFS(Table2[NewPointsHome],Table2[GameDate], "&lt;=" &amp; $A158, Table2[HomeTeam], O$1)</f>
        <v>0</v>
      </c>
      <c r="P158" s="145">
        <f>SUMIFS(Table2[NewPointsAway],Table2[GameDate], "&lt;=" &amp; $A158, Table2[AwayTeam], P$1)+SUMIFS(Table2[NewPointsHome],Table2[GameDate], "&lt;=" &amp; $A158, Table2[HomeTeam], P$1)</f>
        <v>0</v>
      </c>
      <c r="Q158" s="145">
        <f>SUMIFS(Table2[NewPointsAway],Table2[GameDate], "&lt;=" &amp; $A158, Table2[AwayTeam], Q$1)+SUMIFS(Table2[NewPointsHome],Table2[GameDate], "&lt;=" &amp; $A158, Table2[HomeTeam], Q$1)</f>
        <v>0</v>
      </c>
      <c r="R158" s="145">
        <f>SUMIFS(Table2[NewPointsAway],Table2[GameDate], "&lt;=" &amp; $A158, Table2[AwayTeam], R$1)+SUMIFS(Table2[NewPointsHome],Table2[GameDate], "&lt;=" &amp; $A158, Table2[HomeTeam], R$1)</f>
        <v>0</v>
      </c>
      <c r="S158" s="145">
        <f>SUMIFS(Table2[NewPointsAway],Table2[GameDate], "&lt;=" &amp; $A158, Table2[AwayTeam], S$1)+SUMIFS(Table2[NewPointsHome],Table2[GameDate], "&lt;=" &amp; $A158, Table2[HomeTeam], S$1)</f>
        <v>0</v>
      </c>
      <c r="T158" s="145">
        <f>SUMIFS(Table2[NewPointsAway],Table2[GameDate], "&lt;=" &amp; $A158, Table2[AwayTeam], T$1)+SUMIFS(Table2[NewPointsHome],Table2[GameDate], "&lt;=" &amp; $A158, Table2[HomeTeam], T$1)</f>
        <v>0</v>
      </c>
      <c r="U158" s="145">
        <f>SUMIFS(Table2[NewPointsAway],Table2[GameDate], "&lt;=" &amp; $A158, Table2[AwayTeam], U$1)+SUMIFS(Table2[NewPointsHome],Table2[GameDate], "&lt;=" &amp; $A158, Table2[HomeTeam], U$1)</f>
        <v>0</v>
      </c>
      <c r="V158" s="145">
        <f>SUMIFS(Table2[NewPointsAway],Table2[GameDate], "&lt;=" &amp; $A158, Table2[AwayTeam], V$1)+SUMIFS(Table2[NewPointsHome],Table2[GameDate], "&lt;=" &amp; $A158, Table2[HomeTeam], V$1)</f>
        <v>0</v>
      </c>
      <c r="W158" s="145">
        <f>SUMIFS(Table2[NewPointsAway],Table2[GameDate], "&lt;=" &amp; $A158, Table2[AwayTeam], W$1)+SUMIFS(Table2[NewPointsHome],Table2[GameDate], "&lt;=" &amp; $A158, Table2[HomeTeam], W$1)</f>
        <v>2</v>
      </c>
      <c r="X158" s="145">
        <f>SUMIFS(Table2[NewPointsAway],Table2[GameDate], "&lt;=" &amp; $A158, Table2[AwayTeam], X$1)+SUMIFS(Table2[NewPointsHome],Table2[GameDate], "&lt;=" &amp; $A158, Table2[HomeTeam], X$1)</f>
        <v>0</v>
      </c>
      <c r="Y158" s="145">
        <f>SUMIFS(Table2[NewPointsAway],Table2[GameDate], "&lt;=" &amp; $A158, Table2[AwayTeam], Y$1)+SUMIFS(Table2[NewPointsHome],Table2[GameDate], "&lt;=" &amp; $A158, Table2[HomeTeam], Y$1)</f>
        <v>0</v>
      </c>
      <c r="Z158" s="145">
        <f>SUMIFS(Table2[NewPointsAway],Table2[GameDate], "&lt;=" &amp; $A158, Table2[AwayTeam], Z$1)+SUMIFS(Table2[NewPointsHome],Table2[GameDate], "&lt;=" &amp; $A158, Table2[HomeTeam], Z$1)</f>
        <v>0</v>
      </c>
      <c r="AA158" s="145">
        <f>SUMIFS(Table2[NewPointsAway],Table2[GameDate], "&lt;=" &amp; $A158, Table2[AwayTeam], AA$1)+SUMIFS(Table2[NewPointsHome],Table2[GameDate], "&lt;=" &amp; $A158, Table2[HomeTeam], AA$1)</f>
        <v>0</v>
      </c>
      <c r="AB158" s="145">
        <f>SUMIFS(Table2[NewPointsAway],Table2[GameDate], "&lt;=" &amp; $A158, Table2[AwayTeam], AB$1)+SUMIFS(Table2[NewPointsHome],Table2[GameDate], "&lt;=" &amp; $A158, Table2[HomeTeam], AB$1)</f>
        <v>2</v>
      </c>
      <c r="AC158" s="145">
        <f>SUMIFS(Table2[NewPointsAway],Table2[GameDate], "&lt;=" &amp; $A158, Table2[AwayTeam], AC$1)+SUMIFS(Table2[NewPointsHome],Table2[GameDate], "&lt;=" &amp; $A158, Table2[HomeTeam], AC$1)</f>
        <v>0</v>
      </c>
      <c r="AD158" s="145">
        <f>SUMIFS(Table2[NewPointsAway],Table2[GameDate], "&lt;=" &amp; $A158, Table2[AwayTeam], AD$1)+SUMIFS(Table2[NewPointsHome],Table2[GameDate], "&lt;=" &amp; $A158, Table2[HomeTeam], AD$1)</f>
        <v>0</v>
      </c>
      <c r="AE158" s="145">
        <f>SUMIFS(Table2[NewPointsAway],Table2[GameDate], "&lt;=" &amp; $A158, Table2[AwayTeam], AE$1)+SUMIFS(Table2[NewPointsHome],Table2[GameDate], "&lt;=" &amp; $A158, Table2[HomeTeam], AE$1)</f>
        <v>1</v>
      </c>
      <c r="AF158" s="145">
        <f>SUMIFS(Table2[NewPointsAway],Table2[GameDate], "&lt;=" &amp; $A158, Table2[AwayTeam], AF$1)+SUMIFS(Table2[NewPointsHome],Table2[GameDate], "&lt;=" &amp; $A158, Table2[HomeTeam], AF$1)</f>
        <v>0</v>
      </c>
      <c r="AG158" s="145">
        <f>SUMIFS(Table2[NewPointsAway],Table2[GameDate], "&lt;=" &amp; $A158, Table2[AwayTeam], AG$1)+SUMIFS(Table2[NewPointsHome],Table2[GameDate], "&lt;=" &amp; $A158, Table2[HomeTeam], AG$1)</f>
        <v>0</v>
      </c>
    </row>
    <row r="159" spans="1:33" x14ac:dyDescent="0.25">
      <c r="A159" s="3">
        <v>46090</v>
      </c>
      <c r="B159" s="145">
        <f>SUMIFS(Table2[NewPointsAway],Table2[GameDate], "&lt;=" &amp; $A159, Table2[AwayTeam], B$1)+SUMIFS(Table2[NewPointsHome],Table2[GameDate], "&lt;=" &amp; $A159, Table2[HomeTeam], B$1)</f>
        <v>0</v>
      </c>
      <c r="C159" s="145">
        <f>SUMIFS(Table2[NewPointsAway],Table2[GameDate], "&lt;=" &amp; $A159, Table2[AwayTeam], C$1)+SUMIFS(Table2[NewPointsHome],Table2[GameDate], "&lt;=" &amp; $A159, Table2[HomeTeam], C$1)</f>
        <v>2</v>
      </c>
      <c r="D159" s="145">
        <f>SUMIFS(Table2[NewPointsAway],Table2[GameDate], "&lt;=" &amp; $A159, Table2[AwayTeam], D$1)+SUMIFS(Table2[NewPointsHome],Table2[GameDate], "&lt;=" &amp; $A159, Table2[HomeTeam], D$1)</f>
        <v>0</v>
      </c>
      <c r="E159" s="145">
        <f>SUMIFS(Table2[NewPointsAway],Table2[GameDate], "&lt;=" &amp; $A159, Table2[AwayTeam], E$1)+SUMIFS(Table2[NewPointsHome],Table2[GameDate], "&lt;=" &amp; $A159, Table2[HomeTeam], E$1)</f>
        <v>0</v>
      </c>
      <c r="F159" s="145">
        <f>SUMIFS(Table2[NewPointsAway],Table2[GameDate], "&lt;=" &amp; $A159, Table2[AwayTeam], F$1)+SUMIFS(Table2[NewPointsHome],Table2[GameDate], "&lt;=" &amp; $A159, Table2[HomeTeam], F$1)</f>
        <v>0</v>
      </c>
      <c r="G159" s="145">
        <f>SUMIFS(Table2[NewPointsAway],Table2[GameDate], "&lt;=" &amp; $A159, Table2[AwayTeam], G$1)+SUMIFS(Table2[NewPointsHome],Table2[GameDate], "&lt;=" &amp; $A159, Table2[HomeTeam], G$1)</f>
        <v>2</v>
      </c>
      <c r="H159" s="145">
        <f>SUMIFS(Table2[NewPointsAway],Table2[GameDate], "&lt;=" &amp; $A159, Table2[AwayTeam], H$1)+SUMIFS(Table2[NewPointsHome],Table2[GameDate], "&lt;=" &amp; $A159, Table2[HomeTeam], H$1)</f>
        <v>0</v>
      </c>
      <c r="I159" s="145">
        <f>SUMIFS(Table2[NewPointsAway],Table2[GameDate], "&lt;=" &amp; $A159, Table2[AwayTeam], I$1)+SUMIFS(Table2[NewPointsHome],Table2[GameDate], "&lt;=" &amp; $A159, Table2[HomeTeam], I$1)</f>
        <v>2</v>
      </c>
      <c r="J159" s="145">
        <f>SUMIFS(Table2[NewPointsAway],Table2[GameDate], "&lt;=" &amp; $A159, Table2[AwayTeam], J$1)+SUMIFS(Table2[NewPointsHome],Table2[GameDate], "&lt;=" &amp; $A159, Table2[HomeTeam], J$1)</f>
        <v>0</v>
      </c>
      <c r="K159" s="145">
        <f>SUMIFS(Table2[NewPointsAway],Table2[GameDate], "&lt;=" &amp; $A159, Table2[AwayTeam], K$1)+SUMIFS(Table2[NewPointsHome],Table2[GameDate], "&lt;=" &amp; $A159, Table2[HomeTeam], K$1)</f>
        <v>0</v>
      </c>
      <c r="L159" s="145">
        <f>SUMIFS(Table2[NewPointsAway],Table2[GameDate], "&lt;=" &amp; $A159, Table2[AwayTeam], L$1)+SUMIFS(Table2[NewPointsHome],Table2[GameDate], "&lt;=" &amp; $A159, Table2[HomeTeam], L$1)</f>
        <v>1</v>
      </c>
      <c r="M159" s="145">
        <f>SUMIFS(Table2[NewPointsAway],Table2[GameDate], "&lt;=" &amp; $A159, Table2[AwayTeam], M$1)+SUMIFS(Table2[NewPointsHome],Table2[GameDate], "&lt;=" &amp; $A159, Table2[HomeTeam], M$1)</f>
        <v>2</v>
      </c>
      <c r="N159" s="145">
        <f>SUMIFS(Table2[NewPointsAway],Table2[GameDate], "&lt;=" &amp; $A159, Table2[AwayTeam], N$1)+SUMIFS(Table2[NewPointsHome],Table2[GameDate], "&lt;=" &amp; $A159, Table2[HomeTeam], N$1)</f>
        <v>2</v>
      </c>
      <c r="O159" s="145">
        <f>SUMIFS(Table2[NewPointsAway],Table2[GameDate], "&lt;=" &amp; $A159, Table2[AwayTeam], O$1)+SUMIFS(Table2[NewPointsHome],Table2[GameDate], "&lt;=" &amp; $A159, Table2[HomeTeam], O$1)</f>
        <v>0</v>
      </c>
      <c r="P159" s="145">
        <f>SUMIFS(Table2[NewPointsAway],Table2[GameDate], "&lt;=" &amp; $A159, Table2[AwayTeam], P$1)+SUMIFS(Table2[NewPointsHome],Table2[GameDate], "&lt;=" &amp; $A159, Table2[HomeTeam], P$1)</f>
        <v>0</v>
      </c>
      <c r="Q159" s="145">
        <f>SUMIFS(Table2[NewPointsAway],Table2[GameDate], "&lt;=" &amp; $A159, Table2[AwayTeam], Q$1)+SUMIFS(Table2[NewPointsHome],Table2[GameDate], "&lt;=" &amp; $A159, Table2[HomeTeam], Q$1)</f>
        <v>0</v>
      </c>
      <c r="R159" s="145">
        <f>SUMIFS(Table2[NewPointsAway],Table2[GameDate], "&lt;=" &amp; $A159, Table2[AwayTeam], R$1)+SUMIFS(Table2[NewPointsHome],Table2[GameDate], "&lt;=" &amp; $A159, Table2[HomeTeam], R$1)</f>
        <v>0</v>
      </c>
      <c r="S159" s="145">
        <f>SUMIFS(Table2[NewPointsAway],Table2[GameDate], "&lt;=" &amp; $A159, Table2[AwayTeam], S$1)+SUMIFS(Table2[NewPointsHome],Table2[GameDate], "&lt;=" &amp; $A159, Table2[HomeTeam], S$1)</f>
        <v>0</v>
      </c>
      <c r="T159" s="145">
        <f>SUMIFS(Table2[NewPointsAway],Table2[GameDate], "&lt;=" &amp; $A159, Table2[AwayTeam], T$1)+SUMIFS(Table2[NewPointsHome],Table2[GameDate], "&lt;=" &amp; $A159, Table2[HomeTeam], T$1)</f>
        <v>0</v>
      </c>
      <c r="U159" s="145">
        <f>SUMIFS(Table2[NewPointsAway],Table2[GameDate], "&lt;=" &amp; $A159, Table2[AwayTeam], U$1)+SUMIFS(Table2[NewPointsHome],Table2[GameDate], "&lt;=" &amp; $A159, Table2[HomeTeam], U$1)</f>
        <v>0</v>
      </c>
      <c r="V159" s="145">
        <f>SUMIFS(Table2[NewPointsAway],Table2[GameDate], "&lt;=" &amp; $A159, Table2[AwayTeam], V$1)+SUMIFS(Table2[NewPointsHome],Table2[GameDate], "&lt;=" &amp; $A159, Table2[HomeTeam], V$1)</f>
        <v>0</v>
      </c>
      <c r="W159" s="145">
        <f>SUMIFS(Table2[NewPointsAway],Table2[GameDate], "&lt;=" &amp; $A159, Table2[AwayTeam], W$1)+SUMIFS(Table2[NewPointsHome],Table2[GameDate], "&lt;=" &amp; $A159, Table2[HomeTeam], W$1)</f>
        <v>2</v>
      </c>
      <c r="X159" s="145">
        <f>SUMIFS(Table2[NewPointsAway],Table2[GameDate], "&lt;=" &amp; $A159, Table2[AwayTeam], X$1)+SUMIFS(Table2[NewPointsHome],Table2[GameDate], "&lt;=" &amp; $A159, Table2[HomeTeam], X$1)</f>
        <v>0</v>
      </c>
      <c r="Y159" s="145">
        <f>SUMIFS(Table2[NewPointsAway],Table2[GameDate], "&lt;=" &amp; $A159, Table2[AwayTeam], Y$1)+SUMIFS(Table2[NewPointsHome],Table2[GameDate], "&lt;=" &amp; $A159, Table2[HomeTeam], Y$1)</f>
        <v>0</v>
      </c>
      <c r="Z159" s="145">
        <f>SUMIFS(Table2[NewPointsAway],Table2[GameDate], "&lt;=" &amp; $A159, Table2[AwayTeam], Z$1)+SUMIFS(Table2[NewPointsHome],Table2[GameDate], "&lt;=" &amp; $A159, Table2[HomeTeam], Z$1)</f>
        <v>0</v>
      </c>
      <c r="AA159" s="145">
        <f>SUMIFS(Table2[NewPointsAway],Table2[GameDate], "&lt;=" &amp; $A159, Table2[AwayTeam], AA$1)+SUMIFS(Table2[NewPointsHome],Table2[GameDate], "&lt;=" &amp; $A159, Table2[HomeTeam], AA$1)</f>
        <v>0</v>
      </c>
      <c r="AB159" s="145">
        <f>SUMIFS(Table2[NewPointsAway],Table2[GameDate], "&lt;=" &amp; $A159, Table2[AwayTeam], AB$1)+SUMIFS(Table2[NewPointsHome],Table2[GameDate], "&lt;=" &amp; $A159, Table2[HomeTeam], AB$1)</f>
        <v>2</v>
      </c>
      <c r="AC159" s="145">
        <f>SUMIFS(Table2[NewPointsAway],Table2[GameDate], "&lt;=" &amp; $A159, Table2[AwayTeam], AC$1)+SUMIFS(Table2[NewPointsHome],Table2[GameDate], "&lt;=" &amp; $A159, Table2[HomeTeam], AC$1)</f>
        <v>0</v>
      </c>
      <c r="AD159" s="145">
        <f>SUMIFS(Table2[NewPointsAway],Table2[GameDate], "&lt;=" &amp; $A159, Table2[AwayTeam], AD$1)+SUMIFS(Table2[NewPointsHome],Table2[GameDate], "&lt;=" &amp; $A159, Table2[HomeTeam], AD$1)</f>
        <v>0</v>
      </c>
      <c r="AE159" s="145">
        <f>SUMIFS(Table2[NewPointsAway],Table2[GameDate], "&lt;=" &amp; $A159, Table2[AwayTeam], AE$1)+SUMIFS(Table2[NewPointsHome],Table2[GameDate], "&lt;=" &amp; $A159, Table2[HomeTeam], AE$1)</f>
        <v>1</v>
      </c>
      <c r="AF159" s="145">
        <f>SUMIFS(Table2[NewPointsAway],Table2[GameDate], "&lt;=" &amp; $A159, Table2[AwayTeam], AF$1)+SUMIFS(Table2[NewPointsHome],Table2[GameDate], "&lt;=" &amp; $A159, Table2[HomeTeam], AF$1)</f>
        <v>0</v>
      </c>
      <c r="AG159" s="145">
        <f>SUMIFS(Table2[NewPointsAway],Table2[GameDate], "&lt;=" &amp; $A159, Table2[AwayTeam], AG$1)+SUMIFS(Table2[NewPointsHome],Table2[GameDate], "&lt;=" &amp; $A159, Table2[HomeTeam], AG$1)</f>
        <v>0</v>
      </c>
    </row>
    <row r="160" spans="1:33" x14ac:dyDescent="0.25">
      <c r="A160" s="3">
        <v>46091</v>
      </c>
      <c r="B160" s="145">
        <f>SUMIFS(Table2[NewPointsAway],Table2[GameDate], "&lt;=" &amp; $A160, Table2[AwayTeam], B$1)+SUMIFS(Table2[NewPointsHome],Table2[GameDate], "&lt;=" &amp; $A160, Table2[HomeTeam], B$1)</f>
        <v>0</v>
      </c>
      <c r="C160" s="145">
        <f>SUMIFS(Table2[NewPointsAway],Table2[GameDate], "&lt;=" &amp; $A160, Table2[AwayTeam], C$1)+SUMIFS(Table2[NewPointsHome],Table2[GameDate], "&lt;=" &amp; $A160, Table2[HomeTeam], C$1)</f>
        <v>2</v>
      </c>
      <c r="D160" s="145">
        <f>SUMIFS(Table2[NewPointsAway],Table2[GameDate], "&lt;=" &amp; $A160, Table2[AwayTeam], D$1)+SUMIFS(Table2[NewPointsHome],Table2[GameDate], "&lt;=" &amp; $A160, Table2[HomeTeam], D$1)</f>
        <v>0</v>
      </c>
      <c r="E160" s="145">
        <f>SUMIFS(Table2[NewPointsAway],Table2[GameDate], "&lt;=" &amp; $A160, Table2[AwayTeam], E$1)+SUMIFS(Table2[NewPointsHome],Table2[GameDate], "&lt;=" &amp; $A160, Table2[HomeTeam], E$1)</f>
        <v>0</v>
      </c>
      <c r="F160" s="145">
        <f>SUMIFS(Table2[NewPointsAway],Table2[GameDate], "&lt;=" &amp; $A160, Table2[AwayTeam], F$1)+SUMIFS(Table2[NewPointsHome],Table2[GameDate], "&lt;=" &amp; $A160, Table2[HomeTeam], F$1)</f>
        <v>0</v>
      </c>
      <c r="G160" s="145">
        <f>SUMIFS(Table2[NewPointsAway],Table2[GameDate], "&lt;=" &amp; $A160, Table2[AwayTeam], G$1)+SUMIFS(Table2[NewPointsHome],Table2[GameDate], "&lt;=" &amp; $A160, Table2[HomeTeam], G$1)</f>
        <v>2</v>
      </c>
      <c r="H160" s="145">
        <f>SUMIFS(Table2[NewPointsAway],Table2[GameDate], "&lt;=" &amp; $A160, Table2[AwayTeam], H$1)+SUMIFS(Table2[NewPointsHome],Table2[GameDate], "&lt;=" &amp; $A160, Table2[HomeTeam], H$1)</f>
        <v>0</v>
      </c>
      <c r="I160" s="145">
        <f>SUMIFS(Table2[NewPointsAway],Table2[GameDate], "&lt;=" &amp; $A160, Table2[AwayTeam], I$1)+SUMIFS(Table2[NewPointsHome],Table2[GameDate], "&lt;=" &amp; $A160, Table2[HomeTeam], I$1)</f>
        <v>2</v>
      </c>
      <c r="J160" s="145">
        <f>SUMIFS(Table2[NewPointsAway],Table2[GameDate], "&lt;=" &amp; $A160, Table2[AwayTeam], J$1)+SUMIFS(Table2[NewPointsHome],Table2[GameDate], "&lt;=" &amp; $A160, Table2[HomeTeam], J$1)</f>
        <v>0</v>
      </c>
      <c r="K160" s="145">
        <f>SUMIFS(Table2[NewPointsAway],Table2[GameDate], "&lt;=" &amp; $A160, Table2[AwayTeam], K$1)+SUMIFS(Table2[NewPointsHome],Table2[GameDate], "&lt;=" &amp; $A160, Table2[HomeTeam], K$1)</f>
        <v>0</v>
      </c>
      <c r="L160" s="145">
        <f>SUMIFS(Table2[NewPointsAway],Table2[GameDate], "&lt;=" &amp; $A160, Table2[AwayTeam], L$1)+SUMIFS(Table2[NewPointsHome],Table2[GameDate], "&lt;=" &amp; $A160, Table2[HomeTeam], L$1)</f>
        <v>1</v>
      </c>
      <c r="M160" s="145">
        <f>SUMIFS(Table2[NewPointsAway],Table2[GameDate], "&lt;=" &amp; $A160, Table2[AwayTeam], M$1)+SUMIFS(Table2[NewPointsHome],Table2[GameDate], "&lt;=" &amp; $A160, Table2[HomeTeam], M$1)</f>
        <v>2</v>
      </c>
      <c r="N160" s="145">
        <f>SUMIFS(Table2[NewPointsAway],Table2[GameDate], "&lt;=" &amp; $A160, Table2[AwayTeam], N$1)+SUMIFS(Table2[NewPointsHome],Table2[GameDate], "&lt;=" &amp; $A160, Table2[HomeTeam], N$1)</f>
        <v>2</v>
      </c>
      <c r="O160" s="145">
        <f>SUMIFS(Table2[NewPointsAway],Table2[GameDate], "&lt;=" &amp; $A160, Table2[AwayTeam], O$1)+SUMIFS(Table2[NewPointsHome],Table2[GameDate], "&lt;=" &amp; $A160, Table2[HomeTeam], O$1)</f>
        <v>0</v>
      </c>
      <c r="P160" s="145">
        <f>SUMIFS(Table2[NewPointsAway],Table2[GameDate], "&lt;=" &amp; $A160, Table2[AwayTeam], P$1)+SUMIFS(Table2[NewPointsHome],Table2[GameDate], "&lt;=" &amp; $A160, Table2[HomeTeam], P$1)</f>
        <v>0</v>
      </c>
      <c r="Q160" s="145">
        <f>SUMIFS(Table2[NewPointsAway],Table2[GameDate], "&lt;=" &amp; $A160, Table2[AwayTeam], Q$1)+SUMIFS(Table2[NewPointsHome],Table2[GameDate], "&lt;=" &amp; $A160, Table2[HomeTeam], Q$1)</f>
        <v>0</v>
      </c>
      <c r="R160" s="145">
        <f>SUMIFS(Table2[NewPointsAway],Table2[GameDate], "&lt;=" &amp; $A160, Table2[AwayTeam], R$1)+SUMIFS(Table2[NewPointsHome],Table2[GameDate], "&lt;=" &amp; $A160, Table2[HomeTeam], R$1)</f>
        <v>0</v>
      </c>
      <c r="S160" s="145">
        <f>SUMIFS(Table2[NewPointsAway],Table2[GameDate], "&lt;=" &amp; $A160, Table2[AwayTeam], S$1)+SUMIFS(Table2[NewPointsHome],Table2[GameDate], "&lt;=" &amp; $A160, Table2[HomeTeam], S$1)</f>
        <v>0</v>
      </c>
      <c r="T160" s="145">
        <f>SUMIFS(Table2[NewPointsAway],Table2[GameDate], "&lt;=" &amp; $A160, Table2[AwayTeam], T$1)+SUMIFS(Table2[NewPointsHome],Table2[GameDate], "&lt;=" &amp; $A160, Table2[HomeTeam], T$1)</f>
        <v>0</v>
      </c>
      <c r="U160" s="145">
        <f>SUMIFS(Table2[NewPointsAway],Table2[GameDate], "&lt;=" &amp; $A160, Table2[AwayTeam], U$1)+SUMIFS(Table2[NewPointsHome],Table2[GameDate], "&lt;=" &amp; $A160, Table2[HomeTeam], U$1)</f>
        <v>0</v>
      </c>
      <c r="V160" s="145">
        <f>SUMIFS(Table2[NewPointsAway],Table2[GameDate], "&lt;=" &amp; $A160, Table2[AwayTeam], V$1)+SUMIFS(Table2[NewPointsHome],Table2[GameDate], "&lt;=" &amp; $A160, Table2[HomeTeam], V$1)</f>
        <v>0</v>
      </c>
      <c r="W160" s="145">
        <f>SUMIFS(Table2[NewPointsAway],Table2[GameDate], "&lt;=" &amp; $A160, Table2[AwayTeam], W$1)+SUMIFS(Table2[NewPointsHome],Table2[GameDate], "&lt;=" &amp; $A160, Table2[HomeTeam], W$1)</f>
        <v>2</v>
      </c>
      <c r="X160" s="145">
        <f>SUMIFS(Table2[NewPointsAway],Table2[GameDate], "&lt;=" &amp; $A160, Table2[AwayTeam], X$1)+SUMIFS(Table2[NewPointsHome],Table2[GameDate], "&lt;=" &amp; $A160, Table2[HomeTeam], X$1)</f>
        <v>0</v>
      </c>
      <c r="Y160" s="145">
        <f>SUMIFS(Table2[NewPointsAway],Table2[GameDate], "&lt;=" &amp; $A160, Table2[AwayTeam], Y$1)+SUMIFS(Table2[NewPointsHome],Table2[GameDate], "&lt;=" &amp; $A160, Table2[HomeTeam], Y$1)</f>
        <v>0</v>
      </c>
      <c r="Z160" s="145">
        <f>SUMIFS(Table2[NewPointsAway],Table2[GameDate], "&lt;=" &amp; $A160, Table2[AwayTeam], Z$1)+SUMIFS(Table2[NewPointsHome],Table2[GameDate], "&lt;=" &amp; $A160, Table2[HomeTeam], Z$1)</f>
        <v>0</v>
      </c>
      <c r="AA160" s="145">
        <f>SUMIFS(Table2[NewPointsAway],Table2[GameDate], "&lt;=" &amp; $A160, Table2[AwayTeam], AA$1)+SUMIFS(Table2[NewPointsHome],Table2[GameDate], "&lt;=" &amp; $A160, Table2[HomeTeam], AA$1)</f>
        <v>0</v>
      </c>
      <c r="AB160" s="145">
        <f>SUMIFS(Table2[NewPointsAway],Table2[GameDate], "&lt;=" &amp; $A160, Table2[AwayTeam], AB$1)+SUMIFS(Table2[NewPointsHome],Table2[GameDate], "&lt;=" &amp; $A160, Table2[HomeTeam], AB$1)</f>
        <v>2</v>
      </c>
      <c r="AC160" s="145">
        <f>SUMIFS(Table2[NewPointsAway],Table2[GameDate], "&lt;=" &amp; $A160, Table2[AwayTeam], AC$1)+SUMIFS(Table2[NewPointsHome],Table2[GameDate], "&lt;=" &amp; $A160, Table2[HomeTeam], AC$1)</f>
        <v>0</v>
      </c>
      <c r="AD160" s="145">
        <f>SUMIFS(Table2[NewPointsAway],Table2[GameDate], "&lt;=" &amp; $A160, Table2[AwayTeam], AD$1)+SUMIFS(Table2[NewPointsHome],Table2[GameDate], "&lt;=" &amp; $A160, Table2[HomeTeam], AD$1)</f>
        <v>0</v>
      </c>
      <c r="AE160" s="145">
        <f>SUMIFS(Table2[NewPointsAway],Table2[GameDate], "&lt;=" &amp; $A160, Table2[AwayTeam], AE$1)+SUMIFS(Table2[NewPointsHome],Table2[GameDate], "&lt;=" &amp; $A160, Table2[HomeTeam], AE$1)</f>
        <v>1</v>
      </c>
      <c r="AF160" s="145">
        <f>SUMIFS(Table2[NewPointsAway],Table2[GameDate], "&lt;=" &amp; $A160, Table2[AwayTeam], AF$1)+SUMIFS(Table2[NewPointsHome],Table2[GameDate], "&lt;=" &amp; $A160, Table2[HomeTeam], AF$1)</f>
        <v>0</v>
      </c>
      <c r="AG160" s="145">
        <f>SUMIFS(Table2[NewPointsAway],Table2[GameDate], "&lt;=" &amp; $A160, Table2[AwayTeam], AG$1)+SUMIFS(Table2[NewPointsHome],Table2[GameDate], "&lt;=" &amp; $A160, Table2[HomeTeam], AG$1)</f>
        <v>0</v>
      </c>
    </row>
    <row r="161" spans="1:33" x14ac:dyDescent="0.25">
      <c r="A161" s="3">
        <v>46092</v>
      </c>
      <c r="B161" s="145">
        <f>SUMIFS(Table2[NewPointsAway],Table2[GameDate], "&lt;=" &amp; $A161, Table2[AwayTeam], B$1)+SUMIFS(Table2[NewPointsHome],Table2[GameDate], "&lt;=" &amp; $A161, Table2[HomeTeam], B$1)</f>
        <v>0</v>
      </c>
      <c r="C161" s="145">
        <f>SUMIFS(Table2[NewPointsAway],Table2[GameDate], "&lt;=" &amp; $A161, Table2[AwayTeam], C$1)+SUMIFS(Table2[NewPointsHome],Table2[GameDate], "&lt;=" &amp; $A161, Table2[HomeTeam], C$1)</f>
        <v>2</v>
      </c>
      <c r="D161" s="145">
        <f>SUMIFS(Table2[NewPointsAway],Table2[GameDate], "&lt;=" &amp; $A161, Table2[AwayTeam], D$1)+SUMIFS(Table2[NewPointsHome],Table2[GameDate], "&lt;=" &amp; $A161, Table2[HomeTeam], D$1)</f>
        <v>0</v>
      </c>
      <c r="E161" s="145">
        <f>SUMIFS(Table2[NewPointsAway],Table2[GameDate], "&lt;=" &amp; $A161, Table2[AwayTeam], E$1)+SUMIFS(Table2[NewPointsHome],Table2[GameDate], "&lt;=" &amp; $A161, Table2[HomeTeam], E$1)</f>
        <v>0</v>
      </c>
      <c r="F161" s="145">
        <f>SUMIFS(Table2[NewPointsAway],Table2[GameDate], "&lt;=" &amp; $A161, Table2[AwayTeam], F$1)+SUMIFS(Table2[NewPointsHome],Table2[GameDate], "&lt;=" &amp; $A161, Table2[HomeTeam], F$1)</f>
        <v>0</v>
      </c>
      <c r="G161" s="145">
        <f>SUMIFS(Table2[NewPointsAway],Table2[GameDate], "&lt;=" &amp; $A161, Table2[AwayTeam], G$1)+SUMIFS(Table2[NewPointsHome],Table2[GameDate], "&lt;=" &amp; $A161, Table2[HomeTeam], G$1)</f>
        <v>2</v>
      </c>
      <c r="H161" s="145">
        <f>SUMIFS(Table2[NewPointsAway],Table2[GameDate], "&lt;=" &amp; $A161, Table2[AwayTeam], H$1)+SUMIFS(Table2[NewPointsHome],Table2[GameDate], "&lt;=" &amp; $A161, Table2[HomeTeam], H$1)</f>
        <v>0</v>
      </c>
      <c r="I161" s="145">
        <f>SUMIFS(Table2[NewPointsAway],Table2[GameDate], "&lt;=" &amp; $A161, Table2[AwayTeam], I$1)+SUMIFS(Table2[NewPointsHome],Table2[GameDate], "&lt;=" &amp; $A161, Table2[HomeTeam], I$1)</f>
        <v>2</v>
      </c>
      <c r="J161" s="145">
        <f>SUMIFS(Table2[NewPointsAway],Table2[GameDate], "&lt;=" &amp; $A161, Table2[AwayTeam], J$1)+SUMIFS(Table2[NewPointsHome],Table2[GameDate], "&lt;=" &amp; $A161, Table2[HomeTeam], J$1)</f>
        <v>0</v>
      </c>
      <c r="K161" s="145">
        <f>SUMIFS(Table2[NewPointsAway],Table2[GameDate], "&lt;=" &amp; $A161, Table2[AwayTeam], K$1)+SUMIFS(Table2[NewPointsHome],Table2[GameDate], "&lt;=" &amp; $A161, Table2[HomeTeam], K$1)</f>
        <v>0</v>
      </c>
      <c r="L161" s="145">
        <f>SUMIFS(Table2[NewPointsAway],Table2[GameDate], "&lt;=" &amp; $A161, Table2[AwayTeam], L$1)+SUMIFS(Table2[NewPointsHome],Table2[GameDate], "&lt;=" &amp; $A161, Table2[HomeTeam], L$1)</f>
        <v>1</v>
      </c>
      <c r="M161" s="145">
        <f>SUMIFS(Table2[NewPointsAway],Table2[GameDate], "&lt;=" &amp; $A161, Table2[AwayTeam], M$1)+SUMIFS(Table2[NewPointsHome],Table2[GameDate], "&lt;=" &amp; $A161, Table2[HomeTeam], M$1)</f>
        <v>2</v>
      </c>
      <c r="N161" s="145">
        <f>SUMIFS(Table2[NewPointsAway],Table2[GameDate], "&lt;=" &amp; $A161, Table2[AwayTeam], N$1)+SUMIFS(Table2[NewPointsHome],Table2[GameDate], "&lt;=" &amp; $A161, Table2[HomeTeam], N$1)</f>
        <v>2</v>
      </c>
      <c r="O161" s="145">
        <f>SUMIFS(Table2[NewPointsAway],Table2[GameDate], "&lt;=" &amp; $A161, Table2[AwayTeam], O$1)+SUMIFS(Table2[NewPointsHome],Table2[GameDate], "&lt;=" &amp; $A161, Table2[HomeTeam], O$1)</f>
        <v>0</v>
      </c>
      <c r="P161" s="145">
        <f>SUMIFS(Table2[NewPointsAway],Table2[GameDate], "&lt;=" &amp; $A161, Table2[AwayTeam], P$1)+SUMIFS(Table2[NewPointsHome],Table2[GameDate], "&lt;=" &amp; $A161, Table2[HomeTeam], P$1)</f>
        <v>0</v>
      </c>
      <c r="Q161" s="145">
        <f>SUMIFS(Table2[NewPointsAway],Table2[GameDate], "&lt;=" &amp; $A161, Table2[AwayTeam], Q$1)+SUMIFS(Table2[NewPointsHome],Table2[GameDate], "&lt;=" &amp; $A161, Table2[HomeTeam], Q$1)</f>
        <v>0</v>
      </c>
      <c r="R161" s="145">
        <f>SUMIFS(Table2[NewPointsAway],Table2[GameDate], "&lt;=" &amp; $A161, Table2[AwayTeam], R$1)+SUMIFS(Table2[NewPointsHome],Table2[GameDate], "&lt;=" &amp; $A161, Table2[HomeTeam], R$1)</f>
        <v>0</v>
      </c>
      <c r="S161" s="145">
        <f>SUMIFS(Table2[NewPointsAway],Table2[GameDate], "&lt;=" &amp; $A161, Table2[AwayTeam], S$1)+SUMIFS(Table2[NewPointsHome],Table2[GameDate], "&lt;=" &amp; $A161, Table2[HomeTeam], S$1)</f>
        <v>0</v>
      </c>
      <c r="T161" s="145">
        <f>SUMIFS(Table2[NewPointsAway],Table2[GameDate], "&lt;=" &amp; $A161, Table2[AwayTeam], T$1)+SUMIFS(Table2[NewPointsHome],Table2[GameDate], "&lt;=" &amp; $A161, Table2[HomeTeam], T$1)</f>
        <v>0</v>
      </c>
      <c r="U161" s="145">
        <f>SUMIFS(Table2[NewPointsAway],Table2[GameDate], "&lt;=" &amp; $A161, Table2[AwayTeam], U$1)+SUMIFS(Table2[NewPointsHome],Table2[GameDate], "&lt;=" &amp; $A161, Table2[HomeTeam], U$1)</f>
        <v>0</v>
      </c>
      <c r="V161" s="145">
        <f>SUMIFS(Table2[NewPointsAway],Table2[GameDate], "&lt;=" &amp; $A161, Table2[AwayTeam], V$1)+SUMIFS(Table2[NewPointsHome],Table2[GameDate], "&lt;=" &amp; $A161, Table2[HomeTeam], V$1)</f>
        <v>0</v>
      </c>
      <c r="W161" s="145">
        <f>SUMIFS(Table2[NewPointsAway],Table2[GameDate], "&lt;=" &amp; $A161, Table2[AwayTeam], W$1)+SUMIFS(Table2[NewPointsHome],Table2[GameDate], "&lt;=" &amp; $A161, Table2[HomeTeam], W$1)</f>
        <v>2</v>
      </c>
      <c r="X161" s="145">
        <f>SUMIFS(Table2[NewPointsAway],Table2[GameDate], "&lt;=" &amp; $A161, Table2[AwayTeam], X$1)+SUMIFS(Table2[NewPointsHome],Table2[GameDate], "&lt;=" &amp; $A161, Table2[HomeTeam], X$1)</f>
        <v>0</v>
      </c>
      <c r="Y161" s="145">
        <f>SUMIFS(Table2[NewPointsAway],Table2[GameDate], "&lt;=" &amp; $A161, Table2[AwayTeam], Y$1)+SUMIFS(Table2[NewPointsHome],Table2[GameDate], "&lt;=" &amp; $A161, Table2[HomeTeam], Y$1)</f>
        <v>0</v>
      </c>
      <c r="Z161" s="145">
        <f>SUMIFS(Table2[NewPointsAway],Table2[GameDate], "&lt;=" &amp; $A161, Table2[AwayTeam], Z$1)+SUMIFS(Table2[NewPointsHome],Table2[GameDate], "&lt;=" &amp; $A161, Table2[HomeTeam], Z$1)</f>
        <v>0</v>
      </c>
      <c r="AA161" s="145">
        <f>SUMIFS(Table2[NewPointsAway],Table2[GameDate], "&lt;=" &amp; $A161, Table2[AwayTeam], AA$1)+SUMIFS(Table2[NewPointsHome],Table2[GameDate], "&lt;=" &amp; $A161, Table2[HomeTeam], AA$1)</f>
        <v>0</v>
      </c>
      <c r="AB161" s="145">
        <f>SUMIFS(Table2[NewPointsAway],Table2[GameDate], "&lt;=" &amp; $A161, Table2[AwayTeam], AB$1)+SUMIFS(Table2[NewPointsHome],Table2[GameDate], "&lt;=" &amp; $A161, Table2[HomeTeam], AB$1)</f>
        <v>2</v>
      </c>
      <c r="AC161" s="145">
        <f>SUMIFS(Table2[NewPointsAway],Table2[GameDate], "&lt;=" &amp; $A161, Table2[AwayTeam], AC$1)+SUMIFS(Table2[NewPointsHome],Table2[GameDate], "&lt;=" &amp; $A161, Table2[HomeTeam], AC$1)</f>
        <v>0</v>
      </c>
      <c r="AD161" s="145">
        <f>SUMIFS(Table2[NewPointsAway],Table2[GameDate], "&lt;=" &amp; $A161, Table2[AwayTeam], AD$1)+SUMIFS(Table2[NewPointsHome],Table2[GameDate], "&lt;=" &amp; $A161, Table2[HomeTeam], AD$1)</f>
        <v>0</v>
      </c>
      <c r="AE161" s="145">
        <f>SUMIFS(Table2[NewPointsAway],Table2[GameDate], "&lt;=" &amp; $A161, Table2[AwayTeam], AE$1)+SUMIFS(Table2[NewPointsHome],Table2[GameDate], "&lt;=" &amp; $A161, Table2[HomeTeam], AE$1)</f>
        <v>1</v>
      </c>
      <c r="AF161" s="145">
        <f>SUMIFS(Table2[NewPointsAway],Table2[GameDate], "&lt;=" &amp; $A161, Table2[AwayTeam], AF$1)+SUMIFS(Table2[NewPointsHome],Table2[GameDate], "&lt;=" &amp; $A161, Table2[HomeTeam], AF$1)</f>
        <v>0</v>
      </c>
      <c r="AG161" s="145">
        <f>SUMIFS(Table2[NewPointsAway],Table2[GameDate], "&lt;=" &amp; $A161, Table2[AwayTeam], AG$1)+SUMIFS(Table2[NewPointsHome],Table2[GameDate], "&lt;=" &amp; $A161, Table2[HomeTeam], AG$1)</f>
        <v>0</v>
      </c>
    </row>
    <row r="162" spans="1:33" x14ac:dyDescent="0.25">
      <c r="A162" s="3">
        <v>46093</v>
      </c>
      <c r="B162" s="145">
        <f>SUMIFS(Table2[NewPointsAway],Table2[GameDate], "&lt;=" &amp; $A162, Table2[AwayTeam], B$1)+SUMIFS(Table2[NewPointsHome],Table2[GameDate], "&lt;=" &amp; $A162, Table2[HomeTeam], B$1)</f>
        <v>0</v>
      </c>
      <c r="C162" s="145">
        <f>SUMIFS(Table2[NewPointsAway],Table2[GameDate], "&lt;=" &amp; $A162, Table2[AwayTeam], C$1)+SUMIFS(Table2[NewPointsHome],Table2[GameDate], "&lt;=" &amp; $A162, Table2[HomeTeam], C$1)</f>
        <v>2</v>
      </c>
      <c r="D162" s="145">
        <f>SUMIFS(Table2[NewPointsAway],Table2[GameDate], "&lt;=" &amp; $A162, Table2[AwayTeam], D$1)+SUMIFS(Table2[NewPointsHome],Table2[GameDate], "&lt;=" &amp; $A162, Table2[HomeTeam], D$1)</f>
        <v>0</v>
      </c>
      <c r="E162" s="145">
        <f>SUMIFS(Table2[NewPointsAway],Table2[GameDate], "&lt;=" &amp; $A162, Table2[AwayTeam], E$1)+SUMIFS(Table2[NewPointsHome],Table2[GameDate], "&lt;=" &amp; $A162, Table2[HomeTeam], E$1)</f>
        <v>0</v>
      </c>
      <c r="F162" s="145">
        <f>SUMIFS(Table2[NewPointsAway],Table2[GameDate], "&lt;=" &amp; $A162, Table2[AwayTeam], F$1)+SUMIFS(Table2[NewPointsHome],Table2[GameDate], "&lt;=" &amp; $A162, Table2[HomeTeam], F$1)</f>
        <v>0</v>
      </c>
      <c r="G162" s="145">
        <f>SUMIFS(Table2[NewPointsAway],Table2[GameDate], "&lt;=" &amp; $A162, Table2[AwayTeam], G$1)+SUMIFS(Table2[NewPointsHome],Table2[GameDate], "&lt;=" &amp; $A162, Table2[HomeTeam], G$1)</f>
        <v>2</v>
      </c>
      <c r="H162" s="145">
        <f>SUMIFS(Table2[NewPointsAway],Table2[GameDate], "&lt;=" &amp; $A162, Table2[AwayTeam], H$1)+SUMIFS(Table2[NewPointsHome],Table2[GameDate], "&lt;=" &amp; $A162, Table2[HomeTeam], H$1)</f>
        <v>0</v>
      </c>
      <c r="I162" s="145">
        <f>SUMIFS(Table2[NewPointsAway],Table2[GameDate], "&lt;=" &amp; $A162, Table2[AwayTeam], I$1)+SUMIFS(Table2[NewPointsHome],Table2[GameDate], "&lt;=" &amp; $A162, Table2[HomeTeam], I$1)</f>
        <v>2</v>
      </c>
      <c r="J162" s="145">
        <f>SUMIFS(Table2[NewPointsAway],Table2[GameDate], "&lt;=" &amp; $A162, Table2[AwayTeam], J$1)+SUMIFS(Table2[NewPointsHome],Table2[GameDate], "&lt;=" &amp; $A162, Table2[HomeTeam], J$1)</f>
        <v>0</v>
      </c>
      <c r="K162" s="145">
        <f>SUMIFS(Table2[NewPointsAway],Table2[GameDate], "&lt;=" &amp; $A162, Table2[AwayTeam], K$1)+SUMIFS(Table2[NewPointsHome],Table2[GameDate], "&lt;=" &amp; $A162, Table2[HomeTeam], K$1)</f>
        <v>0</v>
      </c>
      <c r="L162" s="145">
        <f>SUMIFS(Table2[NewPointsAway],Table2[GameDate], "&lt;=" &amp; $A162, Table2[AwayTeam], L$1)+SUMIFS(Table2[NewPointsHome],Table2[GameDate], "&lt;=" &amp; $A162, Table2[HomeTeam], L$1)</f>
        <v>1</v>
      </c>
      <c r="M162" s="145">
        <f>SUMIFS(Table2[NewPointsAway],Table2[GameDate], "&lt;=" &amp; $A162, Table2[AwayTeam], M$1)+SUMIFS(Table2[NewPointsHome],Table2[GameDate], "&lt;=" &amp; $A162, Table2[HomeTeam], M$1)</f>
        <v>2</v>
      </c>
      <c r="N162" s="145">
        <f>SUMIFS(Table2[NewPointsAway],Table2[GameDate], "&lt;=" &amp; $A162, Table2[AwayTeam], N$1)+SUMIFS(Table2[NewPointsHome],Table2[GameDate], "&lt;=" &amp; $A162, Table2[HomeTeam], N$1)</f>
        <v>2</v>
      </c>
      <c r="O162" s="145">
        <f>SUMIFS(Table2[NewPointsAway],Table2[GameDate], "&lt;=" &amp; $A162, Table2[AwayTeam], O$1)+SUMIFS(Table2[NewPointsHome],Table2[GameDate], "&lt;=" &amp; $A162, Table2[HomeTeam], O$1)</f>
        <v>0</v>
      </c>
      <c r="P162" s="145">
        <f>SUMIFS(Table2[NewPointsAway],Table2[GameDate], "&lt;=" &amp; $A162, Table2[AwayTeam], P$1)+SUMIFS(Table2[NewPointsHome],Table2[GameDate], "&lt;=" &amp; $A162, Table2[HomeTeam], P$1)</f>
        <v>0</v>
      </c>
      <c r="Q162" s="145">
        <f>SUMIFS(Table2[NewPointsAway],Table2[GameDate], "&lt;=" &amp; $A162, Table2[AwayTeam], Q$1)+SUMIFS(Table2[NewPointsHome],Table2[GameDate], "&lt;=" &amp; $A162, Table2[HomeTeam], Q$1)</f>
        <v>0</v>
      </c>
      <c r="R162" s="145">
        <f>SUMIFS(Table2[NewPointsAway],Table2[GameDate], "&lt;=" &amp; $A162, Table2[AwayTeam], R$1)+SUMIFS(Table2[NewPointsHome],Table2[GameDate], "&lt;=" &amp; $A162, Table2[HomeTeam], R$1)</f>
        <v>0</v>
      </c>
      <c r="S162" s="145">
        <f>SUMIFS(Table2[NewPointsAway],Table2[GameDate], "&lt;=" &amp; $A162, Table2[AwayTeam], S$1)+SUMIFS(Table2[NewPointsHome],Table2[GameDate], "&lt;=" &amp; $A162, Table2[HomeTeam], S$1)</f>
        <v>0</v>
      </c>
      <c r="T162" s="145">
        <f>SUMIFS(Table2[NewPointsAway],Table2[GameDate], "&lt;=" &amp; $A162, Table2[AwayTeam], T$1)+SUMIFS(Table2[NewPointsHome],Table2[GameDate], "&lt;=" &amp; $A162, Table2[HomeTeam], T$1)</f>
        <v>0</v>
      </c>
      <c r="U162" s="145">
        <f>SUMIFS(Table2[NewPointsAway],Table2[GameDate], "&lt;=" &amp; $A162, Table2[AwayTeam], U$1)+SUMIFS(Table2[NewPointsHome],Table2[GameDate], "&lt;=" &amp; $A162, Table2[HomeTeam], U$1)</f>
        <v>0</v>
      </c>
      <c r="V162" s="145">
        <f>SUMIFS(Table2[NewPointsAway],Table2[GameDate], "&lt;=" &amp; $A162, Table2[AwayTeam], V$1)+SUMIFS(Table2[NewPointsHome],Table2[GameDate], "&lt;=" &amp; $A162, Table2[HomeTeam], V$1)</f>
        <v>0</v>
      </c>
      <c r="W162" s="145">
        <f>SUMIFS(Table2[NewPointsAway],Table2[GameDate], "&lt;=" &amp; $A162, Table2[AwayTeam], W$1)+SUMIFS(Table2[NewPointsHome],Table2[GameDate], "&lt;=" &amp; $A162, Table2[HomeTeam], W$1)</f>
        <v>2</v>
      </c>
      <c r="X162" s="145">
        <f>SUMIFS(Table2[NewPointsAway],Table2[GameDate], "&lt;=" &amp; $A162, Table2[AwayTeam], X$1)+SUMIFS(Table2[NewPointsHome],Table2[GameDate], "&lt;=" &amp; $A162, Table2[HomeTeam], X$1)</f>
        <v>0</v>
      </c>
      <c r="Y162" s="145">
        <f>SUMIFS(Table2[NewPointsAway],Table2[GameDate], "&lt;=" &amp; $A162, Table2[AwayTeam], Y$1)+SUMIFS(Table2[NewPointsHome],Table2[GameDate], "&lt;=" &amp; $A162, Table2[HomeTeam], Y$1)</f>
        <v>0</v>
      </c>
      <c r="Z162" s="145">
        <f>SUMIFS(Table2[NewPointsAway],Table2[GameDate], "&lt;=" &amp; $A162, Table2[AwayTeam], Z$1)+SUMIFS(Table2[NewPointsHome],Table2[GameDate], "&lt;=" &amp; $A162, Table2[HomeTeam], Z$1)</f>
        <v>0</v>
      </c>
      <c r="AA162" s="145">
        <f>SUMIFS(Table2[NewPointsAway],Table2[GameDate], "&lt;=" &amp; $A162, Table2[AwayTeam], AA$1)+SUMIFS(Table2[NewPointsHome],Table2[GameDate], "&lt;=" &amp; $A162, Table2[HomeTeam], AA$1)</f>
        <v>0</v>
      </c>
      <c r="AB162" s="145">
        <f>SUMIFS(Table2[NewPointsAway],Table2[GameDate], "&lt;=" &amp; $A162, Table2[AwayTeam], AB$1)+SUMIFS(Table2[NewPointsHome],Table2[GameDate], "&lt;=" &amp; $A162, Table2[HomeTeam], AB$1)</f>
        <v>2</v>
      </c>
      <c r="AC162" s="145">
        <f>SUMIFS(Table2[NewPointsAway],Table2[GameDate], "&lt;=" &amp; $A162, Table2[AwayTeam], AC$1)+SUMIFS(Table2[NewPointsHome],Table2[GameDate], "&lt;=" &amp; $A162, Table2[HomeTeam], AC$1)</f>
        <v>0</v>
      </c>
      <c r="AD162" s="145">
        <f>SUMIFS(Table2[NewPointsAway],Table2[GameDate], "&lt;=" &amp; $A162, Table2[AwayTeam], AD$1)+SUMIFS(Table2[NewPointsHome],Table2[GameDate], "&lt;=" &amp; $A162, Table2[HomeTeam], AD$1)</f>
        <v>0</v>
      </c>
      <c r="AE162" s="145">
        <f>SUMIFS(Table2[NewPointsAway],Table2[GameDate], "&lt;=" &amp; $A162, Table2[AwayTeam], AE$1)+SUMIFS(Table2[NewPointsHome],Table2[GameDate], "&lt;=" &amp; $A162, Table2[HomeTeam], AE$1)</f>
        <v>1</v>
      </c>
      <c r="AF162" s="145">
        <f>SUMIFS(Table2[NewPointsAway],Table2[GameDate], "&lt;=" &amp; $A162, Table2[AwayTeam], AF$1)+SUMIFS(Table2[NewPointsHome],Table2[GameDate], "&lt;=" &amp; $A162, Table2[HomeTeam], AF$1)</f>
        <v>0</v>
      </c>
      <c r="AG162" s="145">
        <f>SUMIFS(Table2[NewPointsAway],Table2[GameDate], "&lt;=" &amp; $A162, Table2[AwayTeam], AG$1)+SUMIFS(Table2[NewPointsHome],Table2[GameDate], "&lt;=" &amp; $A162, Table2[HomeTeam], AG$1)</f>
        <v>0</v>
      </c>
    </row>
    <row r="163" spans="1:33" x14ac:dyDescent="0.25">
      <c r="A163" s="3">
        <v>46094</v>
      </c>
      <c r="B163" s="145">
        <f>SUMIFS(Table2[NewPointsAway],Table2[GameDate], "&lt;=" &amp; $A163, Table2[AwayTeam], B$1)+SUMIFS(Table2[NewPointsHome],Table2[GameDate], "&lt;=" &amp; $A163, Table2[HomeTeam], B$1)</f>
        <v>0</v>
      </c>
      <c r="C163" s="145">
        <f>SUMIFS(Table2[NewPointsAway],Table2[GameDate], "&lt;=" &amp; $A163, Table2[AwayTeam], C$1)+SUMIFS(Table2[NewPointsHome],Table2[GameDate], "&lt;=" &amp; $A163, Table2[HomeTeam], C$1)</f>
        <v>2</v>
      </c>
      <c r="D163" s="145">
        <f>SUMIFS(Table2[NewPointsAway],Table2[GameDate], "&lt;=" &amp; $A163, Table2[AwayTeam], D$1)+SUMIFS(Table2[NewPointsHome],Table2[GameDate], "&lt;=" &amp; $A163, Table2[HomeTeam], D$1)</f>
        <v>0</v>
      </c>
      <c r="E163" s="145">
        <f>SUMIFS(Table2[NewPointsAway],Table2[GameDate], "&lt;=" &amp; $A163, Table2[AwayTeam], E$1)+SUMIFS(Table2[NewPointsHome],Table2[GameDate], "&lt;=" &amp; $A163, Table2[HomeTeam], E$1)</f>
        <v>0</v>
      </c>
      <c r="F163" s="145">
        <f>SUMIFS(Table2[NewPointsAway],Table2[GameDate], "&lt;=" &amp; $A163, Table2[AwayTeam], F$1)+SUMIFS(Table2[NewPointsHome],Table2[GameDate], "&lt;=" &amp; $A163, Table2[HomeTeam], F$1)</f>
        <v>0</v>
      </c>
      <c r="G163" s="145">
        <f>SUMIFS(Table2[NewPointsAway],Table2[GameDate], "&lt;=" &amp; $A163, Table2[AwayTeam], G$1)+SUMIFS(Table2[NewPointsHome],Table2[GameDate], "&lt;=" &amp; $A163, Table2[HomeTeam], G$1)</f>
        <v>2</v>
      </c>
      <c r="H163" s="145">
        <f>SUMIFS(Table2[NewPointsAway],Table2[GameDate], "&lt;=" &amp; $A163, Table2[AwayTeam], H$1)+SUMIFS(Table2[NewPointsHome],Table2[GameDate], "&lt;=" &amp; $A163, Table2[HomeTeam], H$1)</f>
        <v>0</v>
      </c>
      <c r="I163" s="145">
        <f>SUMIFS(Table2[NewPointsAway],Table2[GameDate], "&lt;=" &amp; $A163, Table2[AwayTeam], I$1)+SUMIFS(Table2[NewPointsHome],Table2[GameDate], "&lt;=" &amp; $A163, Table2[HomeTeam], I$1)</f>
        <v>2</v>
      </c>
      <c r="J163" s="145">
        <f>SUMIFS(Table2[NewPointsAway],Table2[GameDate], "&lt;=" &amp; $A163, Table2[AwayTeam], J$1)+SUMIFS(Table2[NewPointsHome],Table2[GameDate], "&lt;=" &amp; $A163, Table2[HomeTeam], J$1)</f>
        <v>0</v>
      </c>
      <c r="K163" s="145">
        <f>SUMIFS(Table2[NewPointsAway],Table2[GameDate], "&lt;=" &amp; $A163, Table2[AwayTeam], K$1)+SUMIFS(Table2[NewPointsHome],Table2[GameDate], "&lt;=" &amp; $A163, Table2[HomeTeam], K$1)</f>
        <v>0</v>
      </c>
      <c r="L163" s="145">
        <f>SUMIFS(Table2[NewPointsAway],Table2[GameDate], "&lt;=" &amp; $A163, Table2[AwayTeam], L$1)+SUMIFS(Table2[NewPointsHome],Table2[GameDate], "&lt;=" &amp; $A163, Table2[HomeTeam], L$1)</f>
        <v>1</v>
      </c>
      <c r="M163" s="145">
        <f>SUMIFS(Table2[NewPointsAway],Table2[GameDate], "&lt;=" &amp; $A163, Table2[AwayTeam], M$1)+SUMIFS(Table2[NewPointsHome],Table2[GameDate], "&lt;=" &amp; $A163, Table2[HomeTeam], M$1)</f>
        <v>2</v>
      </c>
      <c r="N163" s="145">
        <f>SUMIFS(Table2[NewPointsAway],Table2[GameDate], "&lt;=" &amp; $A163, Table2[AwayTeam], N$1)+SUMIFS(Table2[NewPointsHome],Table2[GameDate], "&lt;=" &amp; $A163, Table2[HomeTeam], N$1)</f>
        <v>2</v>
      </c>
      <c r="O163" s="145">
        <f>SUMIFS(Table2[NewPointsAway],Table2[GameDate], "&lt;=" &amp; $A163, Table2[AwayTeam], O$1)+SUMIFS(Table2[NewPointsHome],Table2[GameDate], "&lt;=" &amp; $A163, Table2[HomeTeam], O$1)</f>
        <v>0</v>
      </c>
      <c r="P163" s="145">
        <f>SUMIFS(Table2[NewPointsAway],Table2[GameDate], "&lt;=" &amp; $A163, Table2[AwayTeam], P$1)+SUMIFS(Table2[NewPointsHome],Table2[GameDate], "&lt;=" &amp; $A163, Table2[HomeTeam], P$1)</f>
        <v>0</v>
      </c>
      <c r="Q163" s="145">
        <f>SUMIFS(Table2[NewPointsAway],Table2[GameDate], "&lt;=" &amp; $A163, Table2[AwayTeam], Q$1)+SUMIFS(Table2[NewPointsHome],Table2[GameDate], "&lt;=" &amp; $A163, Table2[HomeTeam], Q$1)</f>
        <v>0</v>
      </c>
      <c r="R163" s="145">
        <f>SUMIFS(Table2[NewPointsAway],Table2[GameDate], "&lt;=" &amp; $A163, Table2[AwayTeam], R$1)+SUMIFS(Table2[NewPointsHome],Table2[GameDate], "&lt;=" &amp; $A163, Table2[HomeTeam], R$1)</f>
        <v>0</v>
      </c>
      <c r="S163" s="145">
        <f>SUMIFS(Table2[NewPointsAway],Table2[GameDate], "&lt;=" &amp; $A163, Table2[AwayTeam], S$1)+SUMIFS(Table2[NewPointsHome],Table2[GameDate], "&lt;=" &amp; $A163, Table2[HomeTeam], S$1)</f>
        <v>0</v>
      </c>
      <c r="T163" s="145">
        <f>SUMIFS(Table2[NewPointsAway],Table2[GameDate], "&lt;=" &amp; $A163, Table2[AwayTeam], T$1)+SUMIFS(Table2[NewPointsHome],Table2[GameDate], "&lt;=" &amp; $A163, Table2[HomeTeam], T$1)</f>
        <v>0</v>
      </c>
      <c r="U163" s="145">
        <f>SUMIFS(Table2[NewPointsAway],Table2[GameDate], "&lt;=" &amp; $A163, Table2[AwayTeam], U$1)+SUMIFS(Table2[NewPointsHome],Table2[GameDate], "&lt;=" &amp; $A163, Table2[HomeTeam], U$1)</f>
        <v>0</v>
      </c>
      <c r="V163" s="145">
        <f>SUMIFS(Table2[NewPointsAway],Table2[GameDate], "&lt;=" &amp; $A163, Table2[AwayTeam], V$1)+SUMIFS(Table2[NewPointsHome],Table2[GameDate], "&lt;=" &amp; $A163, Table2[HomeTeam], V$1)</f>
        <v>0</v>
      </c>
      <c r="W163" s="145">
        <f>SUMIFS(Table2[NewPointsAway],Table2[GameDate], "&lt;=" &amp; $A163, Table2[AwayTeam], W$1)+SUMIFS(Table2[NewPointsHome],Table2[GameDate], "&lt;=" &amp; $A163, Table2[HomeTeam], W$1)</f>
        <v>2</v>
      </c>
      <c r="X163" s="145">
        <f>SUMIFS(Table2[NewPointsAway],Table2[GameDate], "&lt;=" &amp; $A163, Table2[AwayTeam], X$1)+SUMIFS(Table2[NewPointsHome],Table2[GameDate], "&lt;=" &amp; $A163, Table2[HomeTeam], X$1)</f>
        <v>0</v>
      </c>
      <c r="Y163" s="145">
        <f>SUMIFS(Table2[NewPointsAway],Table2[GameDate], "&lt;=" &amp; $A163, Table2[AwayTeam], Y$1)+SUMIFS(Table2[NewPointsHome],Table2[GameDate], "&lt;=" &amp; $A163, Table2[HomeTeam], Y$1)</f>
        <v>0</v>
      </c>
      <c r="Z163" s="145">
        <f>SUMIFS(Table2[NewPointsAway],Table2[GameDate], "&lt;=" &amp; $A163, Table2[AwayTeam], Z$1)+SUMIFS(Table2[NewPointsHome],Table2[GameDate], "&lt;=" &amp; $A163, Table2[HomeTeam], Z$1)</f>
        <v>0</v>
      </c>
      <c r="AA163" s="145">
        <f>SUMIFS(Table2[NewPointsAway],Table2[GameDate], "&lt;=" &amp; $A163, Table2[AwayTeam], AA$1)+SUMIFS(Table2[NewPointsHome],Table2[GameDate], "&lt;=" &amp; $A163, Table2[HomeTeam], AA$1)</f>
        <v>0</v>
      </c>
      <c r="AB163" s="145">
        <f>SUMIFS(Table2[NewPointsAway],Table2[GameDate], "&lt;=" &amp; $A163, Table2[AwayTeam], AB$1)+SUMIFS(Table2[NewPointsHome],Table2[GameDate], "&lt;=" &amp; $A163, Table2[HomeTeam], AB$1)</f>
        <v>2</v>
      </c>
      <c r="AC163" s="145">
        <f>SUMIFS(Table2[NewPointsAway],Table2[GameDate], "&lt;=" &amp; $A163, Table2[AwayTeam], AC$1)+SUMIFS(Table2[NewPointsHome],Table2[GameDate], "&lt;=" &amp; $A163, Table2[HomeTeam], AC$1)</f>
        <v>0</v>
      </c>
      <c r="AD163" s="145">
        <f>SUMIFS(Table2[NewPointsAway],Table2[GameDate], "&lt;=" &amp; $A163, Table2[AwayTeam], AD$1)+SUMIFS(Table2[NewPointsHome],Table2[GameDate], "&lt;=" &amp; $A163, Table2[HomeTeam], AD$1)</f>
        <v>0</v>
      </c>
      <c r="AE163" s="145">
        <f>SUMIFS(Table2[NewPointsAway],Table2[GameDate], "&lt;=" &amp; $A163, Table2[AwayTeam], AE$1)+SUMIFS(Table2[NewPointsHome],Table2[GameDate], "&lt;=" &amp; $A163, Table2[HomeTeam], AE$1)</f>
        <v>1</v>
      </c>
      <c r="AF163" s="145">
        <f>SUMIFS(Table2[NewPointsAway],Table2[GameDate], "&lt;=" &amp; $A163, Table2[AwayTeam], AF$1)+SUMIFS(Table2[NewPointsHome],Table2[GameDate], "&lt;=" &amp; $A163, Table2[HomeTeam], AF$1)</f>
        <v>0</v>
      </c>
      <c r="AG163" s="145">
        <f>SUMIFS(Table2[NewPointsAway],Table2[GameDate], "&lt;=" &amp; $A163, Table2[AwayTeam], AG$1)+SUMIFS(Table2[NewPointsHome],Table2[GameDate], "&lt;=" &amp; $A163, Table2[HomeTeam], AG$1)</f>
        <v>0</v>
      </c>
    </row>
    <row r="164" spans="1:33" x14ac:dyDescent="0.25">
      <c r="A164" s="3">
        <v>46095</v>
      </c>
      <c r="B164" s="145">
        <f>SUMIFS(Table2[NewPointsAway],Table2[GameDate], "&lt;=" &amp; $A164, Table2[AwayTeam], B$1)+SUMIFS(Table2[NewPointsHome],Table2[GameDate], "&lt;=" &amp; $A164, Table2[HomeTeam], B$1)</f>
        <v>0</v>
      </c>
      <c r="C164" s="145">
        <f>SUMIFS(Table2[NewPointsAway],Table2[GameDate], "&lt;=" &amp; $A164, Table2[AwayTeam], C$1)+SUMIFS(Table2[NewPointsHome],Table2[GameDate], "&lt;=" &amp; $A164, Table2[HomeTeam], C$1)</f>
        <v>2</v>
      </c>
      <c r="D164" s="145">
        <f>SUMIFS(Table2[NewPointsAway],Table2[GameDate], "&lt;=" &amp; $A164, Table2[AwayTeam], D$1)+SUMIFS(Table2[NewPointsHome],Table2[GameDate], "&lt;=" &amp; $A164, Table2[HomeTeam], D$1)</f>
        <v>0</v>
      </c>
      <c r="E164" s="145">
        <f>SUMIFS(Table2[NewPointsAway],Table2[GameDate], "&lt;=" &amp; $A164, Table2[AwayTeam], E$1)+SUMIFS(Table2[NewPointsHome],Table2[GameDate], "&lt;=" &amp; $A164, Table2[HomeTeam], E$1)</f>
        <v>0</v>
      </c>
      <c r="F164" s="145">
        <f>SUMIFS(Table2[NewPointsAway],Table2[GameDate], "&lt;=" &amp; $A164, Table2[AwayTeam], F$1)+SUMIFS(Table2[NewPointsHome],Table2[GameDate], "&lt;=" &amp; $A164, Table2[HomeTeam], F$1)</f>
        <v>0</v>
      </c>
      <c r="G164" s="145">
        <f>SUMIFS(Table2[NewPointsAway],Table2[GameDate], "&lt;=" &amp; $A164, Table2[AwayTeam], G$1)+SUMIFS(Table2[NewPointsHome],Table2[GameDate], "&lt;=" &amp; $A164, Table2[HomeTeam], G$1)</f>
        <v>2</v>
      </c>
      <c r="H164" s="145">
        <f>SUMIFS(Table2[NewPointsAway],Table2[GameDate], "&lt;=" &amp; $A164, Table2[AwayTeam], H$1)+SUMIFS(Table2[NewPointsHome],Table2[GameDate], "&lt;=" &amp; $A164, Table2[HomeTeam], H$1)</f>
        <v>0</v>
      </c>
      <c r="I164" s="145">
        <f>SUMIFS(Table2[NewPointsAway],Table2[GameDate], "&lt;=" &amp; $A164, Table2[AwayTeam], I$1)+SUMIFS(Table2[NewPointsHome],Table2[GameDate], "&lt;=" &amp; $A164, Table2[HomeTeam], I$1)</f>
        <v>2</v>
      </c>
      <c r="J164" s="145">
        <f>SUMIFS(Table2[NewPointsAway],Table2[GameDate], "&lt;=" &amp; $A164, Table2[AwayTeam], J$1)+SUMIFS(Table2[NewPointsHome],Table2[GameDate], "&lt;=" &amp; $A164, Table2[HomeTeam], J$1)</f>
        <v>0</v>
      </c>
      <c r="K164" s="145">
        <f>SUMIFS(Table2[NewPointsAway],Table2[GameDate], "&lt;=" &amp; $A164, Table2[AwayTeam], K$1)+SUMIFS(Table2[NewPointsHome],Table2[GameDate], "&lt;=" &amp; $A164, Table2[HomeTeam], K$1)</f>
        <v>0</v>
      </c>
      <c r="L164" s="145">
        <f>SUMIFS(Table2[NewPointsAway],Table2[GameDate], "&lt;=" &amp; $A164, Table2[AwayTeam], L$1)+SUMIFS(Table2[NewPointsHome],Table2[GameDate], "&lt;=" &amp; $A164, Table2[HomeTeam], L$1)</f>
        <v>1</v>
      </c>
      <c r="M164" s="145">
        <f>SUMIFS(Table2[NewPointsAway],Table2[GameDate], "&lt;=" &amp; $A164, Table2[AwayTeam], M$1)+SUMIFS(Table2[NewPointsHome],Table2[GameDate], "&lt;=" &amp; $A164, Table2[HomeTeam], M$1)</f>
        <v>2</v>
      </c>
      <c r="N164" s="145">
        <f>SUMIFS(Table2[NewPointsAway],Table2[GameDate], "&lt;=" &amp; $A164, Table2[AwayTeam], N$1)+SUMIFS(Table2[NewPointsHome],Table2[GameDate], "&lt;=" &amp; $A164, Table2[HomeTeam], N$1)</f>
        <v>2</v>
      </c>
      <c r="O164" s="145">
        <f>SUMIFS(Table2[NewPointsAway],Table2[GameDate], "&lt;=" &amp; $A164, Table2[AwayTeam], O$1)+SUMIFS(Table2[NewPointsHome],Table2[GameDate], "&lt;=" &amp; $A164, Table2[HomeTeam], O$1)</f>
        <v>0</v>
      </c>
      <c r="P164" s="145">
        <f>SUMIFS(Table2[NewPointsAway],Table2[GameDate], "&lt;=" &amp; $A164, Table2[AwayTeam], P$1)+SUMIFS(Table2[NewPointsHome],Table2[GameDate], "&lt;=" &amp; $A164, Table2[HomeTeam], P$1)</f>
        <v>0</v>
      </c>
      <c r="Q164" s="145">
        <f>SUMIFS(Table2[NewPointsAway],Table2[GameDate], "&lt;=" &amp; $A164, Table2[AwayTeam], Q$1)+SUMIFS(Table2[NewPointsHome],Table2[GameDate], "&lt;=" &amp; $A164, Table2[HomeTeam], Q$1)</f>
        <v>0</v>
      </c>
      <c r="R164" s="145">
        <f>SUMIFS(Table2[NewPointsAway],Table2[GameDate], "&lt;=" &amp; $A164, Table2[AwayTeam], R$1)+SUMIFS(Table2[NewPointsHome],Table2[GameDate], "&lt;=" &amp; $A164, Table2[HomeTeam], R$1)</f>
        <v>0</v>
      </c>
      <c r="S164" s="145">
        <f>SUMIFS(Table2[NewPointsAway],Table2[GameDate], "&lt;=" &amp; $A164, Table2[AwayTeam], S$1)+SUMIFS(Table2[NewPointsHome],Table2[GameDate], "&lt;=" &amp; $A164, Table2[HomeTeam], S$1)</f>
        <v>0</v>
      </c>
      <c r="T164" s="145">
        <f>SUMIFS(Table2[NewPointsAway],Table2[GameDate], "&lt;=" &amp; $A164, Table2[AwayTeam], T$1)+SUMIFS(Table2[NewPointsHome],Table2[GameDate], "&lt;=" &amp; $A164, Table2[HomeTeam], T$1)</f>
        <v>0</v>
      </c>
      <c r="U164" s="145">
        <f>SUMIFS(Table2[NewPointsAway],Table2[GameDate], "&lt;=" &amp; $A164, Table2[AwayTeam], U$1)+SUMIFS(Table2[NewPointsHome],Table2[GameDate], "&lt;=" &amp; $A164, Table2[HomeTeam], U$1)</f>
        <v>0</v>
      </c>
      <c r="V164" s="145">
        <f>SUMIFS(Table2[NewPointsAway],Table2[GameDate], "&lt;=" &amp; $A164, Table2[AwayTeam], V$1)+SUMIFS(Table2[NewPointsHome],Table2[GameDate], "&lt;=" &amp; $A164, Table2[HomeTeam], V$1)</f>
        <v>0</v>
      </c>
      <c r="W164" s="145">
        <f>SUMIFS(Table2[NewPointsAway],Table2[GameDate], "&lt;=" &amp; $A164, Table2[AwayTeam], W$1)+SUMIFS(Table2[NewPointsHome],Table2[GameDate], "&lt;=" &amp; $A164, Table2[HomeTeam], W$1)</f>
        <v>2</v>
      </c>
      <c r="X164" s="145">
        <f>SUMIFS(Table2[NewPointsAway],Table2[GameDate], "&lt;=" &amp; $A164, Table2[AwayTeam], X$1)+SUMIFS(Table2[NewPointsHome],Table2[GameDate], "&lt;=" &amp; $A164, Table2[HomeTeam], X$1)</f>
        <v>0</v>
      </c>
      <c r="Y164" s="145">
        <f>SUMIFS(Table2[NewPointsAway],Table2[GameDate], "&lt;=" &amp; $A164, Table2[AwayTeam], Y$1)+SUMIFS(Table2[NewPointsHome],Table2[GameDate], "&lt;=" &amp; $A164, Table2[HomeTeam], Y$1)</f>
        <v>0</v>
      </c>
      <c r="Z164" s="145">
        <f>SUMIFS(Table2[NewPointsAway],Table2[GameDate], "&lt;=" &amp; $A164, Table2[AwayTeam], Z$1)+SUMIFS(Table2[NewPointsHome],Table2[GameDate], "&lt;=" &amp; $A164, Table2[HomeTeam], Z$1)</f>
        <v>0</v>
      </c>
      <c r="AA164" s="145">
        <f>SUMIFS(Table2[NewPointsAway],Table2[GameDate], "&lt;=" &amp; $A164, Table2[AwayTeam], AA$1)+SUMIFS(Table2[NewPointsHome],Table2[GameDate], "&lt;=" &amp; $A164, Table2[HomeTeam], AA$1)</f>
        <v>0</v>
      </c>
      <c r="AB164" s="145">
        <f>SUMIFS(Table2[NewPointsAway],Table2[GameDate], "&lt;=" &amp; $A164, Table2[AwayTeam], AB$1)+SUMIFS(Table2[NewPointsHome],Table2[GameDate], "&lt;=" &amp; $A164, Table2[HomeTeam], AB$1)</f>
        <v>2</v>
      </c>
      <c r="AC164" s="145">
        <f>SUMIFS(Table2[NewPointsAway],Table2[GameDate], "&lt;=" &amp; $A164, Table2[AwayTeam], AC$1)+SUMIFS(Table2[NewPointsHome],Table2[GameDate], "&lt;=" &amp; $A164, Table2[HomeTeam], AC$1)</f>
        <v>0</v>
      </c>
      <c r="AD164" s="145">
        <f>SUMIFS(Table2[NewPointsAway],Table2[GameDate], "&lt;=" &amp; $A164, Table2[AwayTeam], AD$1)+SUMIFS(Table2[NewPointsHome],Table2[GameDate], "&lt;=" &amp; $A164, Table2[HomeTeam], AD$1)</f>
        <v>0</v>
      </c>
      <c r="AE164" s="145">
        <f>SUMIFS(Table2[NewPointsAway],Table2[GameDate], "&lt;=" &amp; $A164, Table2[AwayTeam], AE$1)+SUMIFS(Table2[NewPointsHome],Table2[GameDate], "&lt;=" &amp; $A164, Table2[HomeTeam], AE$1)</f>
        <v>1</v>
      </c>
      <c r="AF164" s="145">
        <f>SUMIFS(Table2[NewPointsAway],Table2[GameDate], "&lt;=" &amp; $A164, Table2[AwayTeam], AF$1)+SUMIFS(Table2[NewPointsHome],Table2[GameDate], "&lt;=" &amp; $A164, Table2[HomeTeam], AF$1)</f>
        <v>0</v>
      </c>
      <c r="AG164" s="145">
        <f>SUMIFS(Table2[NewPointsAway],Table2[GameDate], "&lt;=" &amp; $A164, Table2[AwayTeam], AG$1)+SUMIFS(Table2[NewPointsHome],Table2[GameDate], "&lt;=" &amp; $A164, Table2[HomeTeam], AG$1)</f>
        <v>0</v>
      </c>
    </row>
    <row r="165" spans="1:33" x14ac:dyDescent="0.25">
      <c r="A165" s="3">
        <v>46096</v>
      </c>
      <c r="B165" s="145">
        <f>SUMIFS(Table2[NewPointsAway],Table2[GameDate], "&lt;=" &amp; $A165, Table2[AwayTeam], B$1)+SUMIFS(Table2[NewPointsHome],Table2[GameDate], "&lt;=" &amp; $A165, Table2[HomeTeam], B$1)</f>
        <v>0</v>
      </c>
      <c r="C165" s="145">
        <f>SUMIFS(Table2[NewPointsAway],Table2[GameDate], "&lt;=" &amp; $A165, Table2[AwayTeam], C$1)+SUMIFS(Table2[NewPointsHome],Table2[GameDate], "&lt;=" &amp; $A165, Table2[HomeTeam], C$1)</f>
        <v>2</v>
      </c>
      <c r="D165" s="145">
        <f>SUMIFS(Table2[NewPointsAway],Table2[GameDate], "&lt;=" &amp; $A165, Table2[AwayTeam], D$1)+SUMIFS(Table2[NewPointsHome],Table2[GameDate], "&lt;=" &amp; $A165, Table2[HomeTeam], D$1)</f>
        <v>0</v>
      </c>
      <c r="E165" s="145">
        <f>SUMIFS(Table2[NewPointsAway],Table2[GameDate], "&lt;=" &amp; $A165, Table2[AwayTeam], E$1)+SUMIFS(Table2[NewPointsHome],Table2[GameDate], "&lt;=" &amp; $A165, Table2[HomeTeam], E$1)</f>
        <v>0</v>
      </c>
      <c r="F165" s="145">
        <f>SUMIFS(Table2[NewPointsAway],Table2[GameDate], "&lt;=" &amp; $A165, Table2[AwayTeam], F$1)+SUMIFS(Table2[NewPointsHome],Table2[GameDate], "&lt;=" &amp; $A165, Table2[HomeTeam], F$1)</f>
        <v>0</v>
      </c>
      <c r="G165" s="145">
        <f>SUMIFS(Table2[NewPointsAway],Table2[GameDate], "&lt;=" &amp; $A165, Table2[AwayTeam], G$1)+SUMIFS(Table2[NewPointsHome],Table2[GameDate], "&lt;=" &amp; $A165, Table2[HomeTeam], G$1)</f>
        <v>2</v>
      </c>
      <c r="H165" s="145">
        <f>SUMIFS(Table2[NewPointsAway],Table2[GameDate], "&lt;=" &amp; $A165, Table2[AwayTeam], H$1)+SUMIFS(Table2[NewPointsHome],Table2[GameDate], "&lt;=" &amp; $A165, Table2[HomeTeam], H$1)</f>
        <v>0</v>
      </c>
      <c r="I165" s="145">
        <f>SUMIFS(Table2[NewPointsAway],Table2[GameDate], "&lt;=" &amp; $A165, Table2[AwayTeam], I$1)+SUMIFS(Table2[NewPointsHome],Table2[GameDate], "&lt;=" &amp; $A165, Table2[HomeTeam], I$1)</f>
        <v>2</v>
      </c>
      <c r="J165" s="145">
        <f>SUMIFS(Table2[NewPointsAway],Table2[GameDate], "&lt;=" &amp; $A165, Table2[AwayTeam], J$1)+SUMIFS(Table2[NewPointsHome],Table2[GameDate], "&lt;=" &amp; $A165, Table2[HomeTeam], J$1)</f>
        <v>0</v>
      </c>
      <c r="K165" s="145">
        <f>SUMIFS(Table2[NewPointsAway],Table2[GameDate], "&lt;=" &amp; $A165, Table2[AwayTeam], K$1)+SUMIFS(Table2[NewPointsHome],Table2[GameDate], "&lt;=" &amp; $A165, Table2[HomeTeam], K$1)</f>
        <v>0</v>
      </c>
      <c r="L165" s="145">
        <f>SUMIFS(Table2[NewPointsAway],Table2[GameDate], "&lt;=" &amp; $A165, Table2[AwayTeam], L$1)+SUMIFS(Table2[NewPointsHome],Table2[GameDate], "&lt;=" &amp; $A165, Table2[HomeTeam], L$1)</f>
        <v>1</v>
      </c>
      <c r="M165" s="145">
        <f>SUMIFS(Table2[NewPointsAway],Table2[GameDate], "&lt;=" &amp; $A165, Table2[AwayTeam], M$1)+SUMIFS(Table2[NewPointsHome],Table2[GameDate], "&lt;=" &amp; $A165, Table2[HomeTeam], M$1)</f>
        <v>2</v>
      </c>
      <c r="N165" s="145">
        <f>SUMIFS(Table2[NewPointsAway],Table2[GameDate], "&lt;=" &amp; $A165, Table2[AwayTeam], N$1)+SUMIFS(Table2[NewPointsHome],Table2[GameDate], "&lt;=" &amp; $A165, Table2[HomeTeam], N$1)</f>
        <v>2</v>
      </c>
      <c r="O165" s="145">
        <f>SUMIFS(Table2[NewPointsAway],Table2[GameDate], "&lt;=" &amp; $A165, Table2[AwayTeam], O$1)+SUMIFS(Table2[NewPointsHome],Table2[GameDate], "&lt;=" &amp; $A165, Table2[HomeTeam], O$1)</f>
        <v>0</v>
      </c>
      <c r="P165" s="145">
        <f>SUMIFS(Table2[NewPointsAway],Table2[GameDate], "&lt;=" &amp; $A165, Table2[AwayTeam], P$1)+SUMIFS(Table2[NewPointsHome],Table2[GameDate], "&lt;=" &amp; $A165, Table2[HomeTeam], P$1)</f>
        <v>0</v>
      </c>
      <c r="Q165" s="145">
        <f>SUMIFS(Table2[NewPointsAway],Table2[GameDate], "&lt;=" &amp; $A165, Table2[AwayTeam], Q$1)+SUMIFS(Table2[NewPointsHome],Table2[GameDate], "&lt;=" &amp; $A165, Table2[HomeTeam], Q$1)</f>
        <v>0</v>
      </c>
      <c r="R165" s="145">
        <f>SUMIFS(Table2[NewPointsAway],Table2[GameDate], "&lt;=" &amp; $A165, Table2[AwayTeam], R$1)+SUMIFS(Table2[NewPointsHome],Table2[GameDate], "&lt;=" &amp; $A165, Table2[HomeTeam], R$1)</f>
        <v>0</v>
      </c>
      <c r="S165" s="145">
        <f>SUMIFS(Table2[NewPointsAway],Table2[GameDate], "&lt;=" &amp; $A165, Table2[AwayTeam], S$1)+SUMIFS(Table2[NewPointsHome],Table2[GameDate], "&lt;=" &amp; $A165, Table2[HomeTeam], S$1)</f>
        <v>0</v>
      </c>
      <c r="T165" s="145">
        <f>SUMIFS(Table2[NewPointsAway],Table2[GameDate], "&lt;=" &amp; $A165, Table2[AwayTeam], T$1)+SUMIFS(Table2[NewPointsHome],Table2[GameDate], "&lt;=" &amp; $A165, Table2[HomeTeam], T$1)</f>
        <v>0</v>
      </c>
      <c r="U165" s="145">
        <f>SUMIFS(Table2[NewPointsAway],Table2[GameDate], "&lt;=" &amp; $A165, Table2[AwayTeam], U$1)+SUMIFS(Table2[NewPointsHome],Table2[GameDate], "&lt;=" &amp; $A165, Table2[HomeTeam], U$1)</f>
        <v>0</v>
      </c>
      <c r="V165" s="145">
        <f>SUMIFS(Table2[NewPointsAway],Table2[GameDate], "&lt;=" &amp; $A165, Table2[AwayTeam], V$1)+SUMIFS(Table2[NewPointsHome],Table2[GameDate], "&lt;=" &amp; $A165, Table2[HomeTeam], V$1)</f>
        <v>0</v>
      </c>
      <c r="W165" s="145">
        <f>SUMIFS(Table2[NewPointsAway],Table2[GameDate], "&lt;=" &amp; $A165, Table2[AwayTeam], W$1)+SUMIFS(Table2[NewPointsHome],Table2[GameDate], "&lt;=" &amp; $A165, Table2[HomeTeam], W$1)</f>
        <v>2</v>
      </c>
      <c r="X165" s="145">
        <f>SUMIFS(Table2[NewPointsAway],Table2[GameDate], "&lt;=" &amp; $A165, Table2[AwayTeam], X$1)+SUMIFS(Table2[NewPointsHome],Table2[GameDate], "&lt;=" &amp; $A165, Table2[HomeTeam], X$1)</f>
        <v>0</v>
      </c>
      <c r="Y165" s="145">
        <f>SUMIFS(Table2[NewPointsAway],Table2[GameDate], "&lt;=" &amp; $A165, Table2[AwayTeam], Y$1)+SUMIFS(Table2[NewPointsHome],Table2[GameDate], "&lt;=" &amp; $A165, Table2[HomeTeam], Y$1)</f>
        <v>0</v>
      </c>
      <c r="Z165" s="145">
        <f>SUMIFS(Table2[NewPointsAway],Table2[GameDate], "&lt;=" &amp; $A165, Table2[AwayTeam], Z$1)+SUMIFS(Table2[NewPointsHome],Table2[GameDate], "&lt;=" &amp; $A165, Table2[HomeTeam], Z$1)</f>
        <v>0</v>
      </c>
      <c r="AA165" s="145">
        <f>SUMIFS(Table2[NewPointsAway],Table2[GameDate], "&lt;=" &amp; $A165, Table2[AwayTeam], AA$1)+SUMIFS(Table2[NewPointsHome],Table2[GameDate], "&lt;=" &amp; $A165, Table2[HomeTeam], AA$1)</f>
        <v>0</v>
      </c>
      <c r="AB165" s="145">
        <f>SUMIFS(Table2[NewPointsAway],Table2[GameDate], "&lt;=" &amp; $A165, Table2[AwayTeam], AB$1)+SUMIFS(Table2[NewPointsHome],Table2[GameDate], "&lt;=" &amp; $A165, Table2[HomeTeam], AB$1)</f>
        <v>2</v>
      </c>
      <c r="AC165" s="145">
        <f>SUMIFS(Table2[NewPointsAway],Table2[GameDate], "&lt;=" &amp; $A165, Table2[AwayTeam], AC$1)+SUMIFS(Table2[NewPointsHome],Table2[GameDate], "&lt;=" &amp; $A165, Table2[HomeTeam], AC$1)</f>
        <v>0</v>
      </c>
      <c r="AD165" s="145">
        <f>SUMIFS(Table2[NewPointsAway],Table2[GameDate], "&lt;=" &amp; $A165, Table2[AwayTeam], AD$1)+SUMIFS(Table2[NewPointsHome],Table2[GameDate], "&lt;=" &amp; $A165, Table2[HomeTeam], AD$1)</f>
        <v>0</v>
      </c>
      <c r="AE165" s="145">
        <f>SUMIFS(Table2[NewPointsAway],Table2[GameDate], "&lt;=" &amp; $A165, Table2[AwayTeam], AE$1)+SUMIFS(Table2[NewPointsHome],Table2[GameDate], "&lt;=" &amp; $A165, Table2[HomeTeam], AE$1)</f>
        <v>1</v>
      </c>
      <c r="AF165" s="145">
        <f>SUMIFS(Table2[NewPointsAway],Table2[GameDate], "&lt;=" &amp; $A165, Table2[AwayTeam], AF$1)+SUMIFS(Table2[NewPointsHome],Table2[GameDate], "&lt;=" &amp; $A165, Table2[HomeTeam], AF$1)</f>
        <v>0</v>
      </c>
      <c r="AG165" s="145">
        <f>SUMIFS(Table2[NewPointsAway],Table2[GameDate], "&lt;=" &amp; $A165, Table2[AwayTeam], AG$1)+SUMIFS(Table2[NewPointsHome],Table2[GameDate], "&lt;=" &amp; $A165, Table2[HomeTeam], AG$1)</f>
        <v>0</v>
      </c>
    </row>
    <row r="166" spans="1:33" x14ac:dyDescent="0.25">
      <c r="A166" s="3">
        <v>46097</v>
      </c>
      <c r="B166" s="145">
        <f>SUMIFS(Table2[NewPointsAway],Table2[GameDate], "&lt;=" &amp; $A166, Table2[AwayTeam], B$1)+SUMIFS(Table2[NewPointsHome],Table2[GameDate], "&lt;=" &amp; $A166, Table2[HomeTeam], B$1)</f>
        <v>0</v>
      </c>
      <c r="C166" s="145">
        <f>SUMIFS(Table2[NewPointsAway],Table2[GameDate], "&lt;=" &amp; $A166, Table2[AwayTeam], C$1)+SUMIFS(Table2[NewPointsHome],Table2[GameDate], "&lt;=" &amp; $A166, Table2[HomeTeam], C$1)</f>
        <v>2</v>
      </c>
      <c r="D166" s="145">
        <f>SUMIFS(Table2[NewPointsAway],Table2[GameDate], "&lt;=" &amp; $A166, Table2[AwayTeam], D$1)+SUMIFS(Table2[NewPointsHome],Table2[GameDate], "&lt;=" &amp; $A166, Table2[HomeTeam], D$1)</f>
        <v>0</v>
      </c>
      <c r="E166" s="145">
        <f>SUMIFS(Table2[NewPointsAway],Table2[GameDate], "&lt;=" &amp; $A166, Table2[AwayTeam], E$1)+SUMIFS(Table2[NewPointsHome],Table2[GameDate], "&lt;=" &amp; $A166, Table2[HomeTeam], E$1)</f>
        <v>0</v>
      </c>
      <c r="F166" s="145">
        <f>SUMIFS(Table2[NewPointsAway],Table2[GameDate], "&lt;=" &amp; $A166, Table2[AwayTeam], F$1)+SUMIFS(Table2[NewPointsHome],Table2[GameDate], "&lt;=" &amp; $A166, Table2[HomeTeam], F$1)</f>
        <v>0</v>
      </c>
      <c r="G166" s="145">
        <f>SUMIFS(Table2[NewPointsAway],Table2[GameDate], "&lt;=" &amp; $A166, Table2[AwayTeam], G$1)+SUMIFS(Table2[NewPointsHome],Table2[GameDate], "&lt;=" &amp; $A166, Table2[HomeTeam], G$1)</f>
        <v>2</v>
      </c>
      <c r="H166" s="145">
        <f>SUMIFS(Table2[NewPointsAway],Table2[GameDate], "&lt;=" &amp; $A166, Table2[AwayTeam], H$1)+SUMIFS(Table2[NewPointsHome],Table2[GameDate], "&lt;=" &amp; $A166, Table2[HomeTeam], H$1)</f>
        <v>0</v>
      </c>
      <c r="I166" s="145">
        <f>SUMIFS(Table2[NewPointsAway],Table2[GameDate], "&lt;=" &amp; $A166, Table2[AwayTeam], I$1)+SUMIFS(Table2[NewPointsHome],Table2[GameDate], "&lt;=" &amp; $A166, Table2[HomeTeam], I$1)</f>
        <v>2</v>
      </c>
      <c r="J166" s="145">
        <f>SUMIFS(Table2[NewPointsAway],Table2[GameDate], "&lt;=" &amp; $A166, Table2[AwayTeam], J$1)+SUMIFS(Table2[NewPointsHome],Table2[GameDate], "&lt;=" &amp; $A166, Table2[HomeTeam], J$1)</f>
        <v>0</v>
      </c>
      <c r="K166" s="145">
        <f>SUMIFS(Table2[NewPointsAway],Table2[GameDate], "&lt;=" &amp; $A166, Table2[AwayTeam], K$1)+SUMIFS(Table2[NewPointsHome],Table2[GameDate], "&lt;=" &amp; $A166, Table2[HomeTeam], K$1)</f>
        <v>0</v>
      </c>
      <c r="L166" s="145">
        <f>SUMIFS(Table2[NewPointsAway],Table2[GameDate], "&lt;=" &amp; $A166, Table2[AwayTeam], L$1)+SUMIFS(Table2[NewPointsHome],Table2[GameDate], "&lt;=" &amp; $A166, Table2[HomeTeam], L$1)</f>
        <v>1</v>
      </c>
      <c r="M166" s="145">
        <f>SUMIFS(Table2[NewPointsAway],Table2[GameDate], "&lt;=" &amp; $A166, Table2[AwayTeam], M$1)+SUMIFS(Table2[NewPointsHome],Table2[GameDate], "&lt;=" &amp; $A166, Table2[HomeTeam], M$1)</f>
        <v>2</v>
      </c>
      <c r="N166" s="145">
        <f>SUMIFS(Table2[NewPointsAway],Table2[GameDate], "&lt;=" &amp; $A166, Table2[AwayTeam], N$1)+SUMIFS(Table2[NewPointsHome],Table2[GameDate], "&lt;=" &amp; $A166, Table2[HomeTeam], N$1)</f>
        <v>2</v>
      </c>
      <c r="O166" s="145">
        <f>SUMIFS(Table2[NewPointsAway],Table2[GameDate], "&lt;=" &amp; $A166, Table2[AwayTeam], O$1)+SUMIFS(Table2[NewPointsHome],Table2[GameDate], "&lt;=" &amp; $A166, Table2[HomeTeam], O$1)</f>
        <v>0</v>
      </c>
      <c r="P166" s="145">
        <f>SUMIFS(Table2[NewPointsAway],Table2[GameDate], "&lt;=" &amp; $A166, Table2[AwayTeam], P$1)+SUMIFS(Table2[NewPointsHome],Table2[GameDate], "&lt;=" &amp; $A166, Table2[HomeTeam], P$1)</f>
        <v>0</v>
      </c>
      <c r="Q166" s="145">
        <f>SUMIFS(Table2[NewPointsAway],Table2[GameDate], "&lt;=" &amp; $A166, Table2[AwayTeam], Q$1)+SUMIFS(Table2[NewPointsHome],Table2[GameDate], "&lt;=" &amp; $A166, Table2[HomeTeam], Q$1)</f>
        <v>0</v>
      </c>
      <c r="R166" s="145">
        <f>SUMIFS(Table2[NewPointsAway],Table2[GameDate], "&lt;=" &amp; $A166, Table2[AwayTeam], R$1)+SUMIFS(Table2[NewPointsHome],Table2[GameDate], "&lt;=" &amp; $A166, Table2[HomeTeam], R$1)</f>
        <v>0</v>
      </c>
      <c r="S166" s="145">
        <f>SUMIFS(Table2[NewPointsAway],Table2[GameDate], "&lt;=" &amp; $A166, Table2[AwayTeam], S$1)+SUMIFS(Table2[NewPointsHome],Table2[GameDate], "&lt;=" &amp; $A166, Table2[HomeTeam], S$1)</f>
        <v>0</v>
      </c>
      <c r="T166" s="145">
        <f>SUMIFS(Table2[NewPointsAway],Table2[GameDate], "&lt;=" &amp; $A166, Table2[AwayTeam], T$1)+SUMIFS(Table2[NewPointsHome],Table2[GameDate], "&lt;=" &amp; $A166, Table2[HomeTeam], T$1)</f>
        <v>0</v>
      </c>
      <c r="U166" s="145">
        <f>SUMIFS(Table2[NewPointsAway],Table2[GameDate], "&lt;=" &amp; $A166, Table2[AwayTeam], U$1)+SUMIFS(Table2[NewPointsHome],Table2[GameDate], "&lt;=" &amp; $A166, Table2[HomeTeam], U$1)</f>
        <v>0</v>
      </c>
      <c r="V166" s="145">
        <f>SUMIFS(Table2[NewPointsAway],Table2[GameDate], "&lt;=" &amp; $A166, Table2[AwayTeam], V$1)+SUMIFS(Table2[NewPointsHome],Table2[GameDate], "&lt;=" &amp; $A166, Table2[HomeTeam], V$1)</f>
        <v>0</v>
      </c>
      <c r="W166" s="145">
        <f>SUMIFS(Table2[NewPointsAway],Table2[GameDate], "&lt;=" &amp; $A166, Table2[AwayTeam], W$1)+SUMIFS(Table2[NewPointsHome],Table2[GameDate], "&lt;=" &amp; $A166, Table2[HomeTeam], W$1)</f>
        <v>2</v>
      </c>
      <c r="X166" s="145">
        <f>SUMIFS(Table2[NewPointsAway],Table2[GameDate], "&lt;=" &amp; $A166, Table2[AwayTeam], X$1)+SUMIFS(Table2[NewPointsHome],Table2[GameDate], "&lt;=" &amp; $A166, Table2[HomeTeam], X$1)</f>
        <v>0</v>
      </c>
      <c r="Y166" s="145">
        <f>SUMIFS(Table2[NewPointsAway],Table2[GameDate], "&lt;=" &amp; $A166, Table2[AwayTeam], Y$1)+SUMIFS(Table2[NewPointsHome],Table2[GameDate], "&lt;=" &amp; $A166, Table2[HomeTeam], Y$1)</f>
        <v>0</v>
      </c>
      <c r="Z166" s="145">
        <f>SUMIFS(Table2[NewPointsAway],Table2[GameDate], "&lt;=" &amp; $A166, Table2[AwayTeam], Z$1)+SUMIFS(Table2[NewPointsHome],Table2[GameDate], "&lt;=" &amp; $A166, Table2[HomeTeam], Z$1)</f>
        <v>0</v>
      </c>
      <c r="AA166" s="145">
        <f>SUMIFS(Table2[NewPointsAway],Table2[GameDate], "&lt;=" &amp; $A166, Table2[AwayTeam], AA$1)+SUMIFS(Table2[NewPointsHome],Table2[GameDate], "&lt;=" &amp; $A166, Table2[HomeTeam], AA$1)</f>
        <v>0</v>
      </c>
      <c r="AB166" s="145">
        <f>SUMIFS(Table2[NewPointsAway],Table2[GameDate], "&lt;=" &amp; $A166, Table2[AwayTeam], AB$1)+SUMIFS(Table2[NewPointsHome],Table2[GameDate], "&lt;=" &amp; $A166, Table2[HomeTeam], AB$1)</f>
        <v>2</v>
      </c>
      <c r="AC166" s="145">
        <f>SUMIFS(Table2[NewPointsAway],Table2[GameDate], "&lt;=" &amp; $A166, Table2[AwayTeam], AC$1)+SUMIFS(Table2[NewPointsHome],Table2[GameDate], "&lt;=" &amp; $A166, Table2[HomeTeam], AC$1)</f>
        <v>0</v>
      </c>
      <c r="AD166" s="145">
        <f>SUMIFS(Table2[NewPointsAway],Table2[GameDate], "&lt;=" &amp; $A166, Table2[AwayTeam], AD$1)+SUMIFS(Table2[NewPointsHome],Table2[GameDate], "&lt;=" &amp; $A166, Table2[HomeTeam], AD$1)</f>
        <v>0</v>
      </c>
      <c r="AE166" s="145">
        <f>SUMIFS(Table2[NewPointsAway],Table2[GameDate], "&lt;=" &amp; $A166, Table2[AwayTeam], AE$1)+SUMIFS(Table2[NewPointsHome],Table2[GameDate], "&lt;=" &amp; $A166, Table2[HomeTeam], AE$1)</f>
        <v>1</v>
      </c>
      <c r="AF166" s="145">
        <f>SUMIFS(Table2[NewPointsAway],Table2[GameDate], "&lt;=" &amp; $A166, Table2[AwayTeam], AF$1)+SUMIFS(Table2[NewPointsHome],Table2[GameDate], "&lt;=" &amp; $A166, Table2[HomeTeam], AF$1)</f>
        <v>0</v>
      </c>
      <c r="AG166" s="145">
        <f>SUMIFS(Table2[NewPointsAway],Table2[GameDate], "&lt;=" &amp; $A166, Table2[AwayTeam], AG$1)+SUMIFS(Table2[NewPointsHome],Table2[GameDate], "&lt;=" &amp; $A166, Table2[HomeTeam], AG$1)</f>
        <v>0</v>
      </c>
    </row>
    <row r="167" spans="1:33" x14ac:dyDescent="0.25">
      <c r="A167" s="3">
        <v>46098</v>
      </c>
      <c r="B167" s="145">
        <f>SUMIFS(Table2[NewPointsAway],Table2[GameDate], "&lt;=" &amp; $A167, Table2[AwayTeam], B$1)+SUMIFS(Table2[NewPointsHome],Table2[GameDate], "&lt;=" &amp; $A167, Table2[HomeTeam], B$1)</f>
        <v>0</v>
      </c>
      <c r="C167" s="145">
        <f>SUMIFS(Table2[NewPointsAway],Table2[GameDate], "&lt;=" &amp; $A167, Table2[AwayTeam], C$1)+SUMIFS(Table2[NewPointsHome],Table2[GameDate], "&lt;=" &amp; $A167, Table2[HomeTeam], C$1)</f>
        <v>2</v>
      </c>
      <c r="D167" s="145">
        <f>SUMIFS(Table2[NewPointsAway],Table2[GameDate], "&lt;=" &amp; $A167, Table2[AwayTeam], D$1)+SUMIFS(Table2[NewPointsHome],Table2[GameDate], "&lt;=" &amp; $A167, Table2[HomeTeam], D$1)</f>
        <v>0</v>
      </c>
      <c r="E167" s="145">
        <f>SUMIFS(Table2[NewPointsAway],Table2[GameDate], "&lt;=" &amp; $A167, Table2[AwayTeam], E$1)+SUMIFS(Table2[NewPointsHome],Table2[GameDate], "&lt;=" &amp; $A167, Table2[HomeTeam], E$1)</f>
        <v>0</v>
      </c>
      <c r="F167" s="145">
        <f>SUMIFS(Table2[NewPointsAway],Table2[GameDate], "&lt;=" &amp; $A167, Table2[AwayTeam], F$1)+SUMIFS(Table2[NewPointsHome],Table2[GameDate], "&lt;=" &amp; $A167, Table2[HomeTeam], F$1)</f>
        <v>0</v>
      </c>
      <c r="G167" s="145">
        <f>SUMIFS(Table2[NewPointsAway],Table2[GameDate], "&lt;=" &amp; $A167, Table2[AwayTeam], G$1)+SUMIFS(Table2[NewPointsHome],Table2[GameDate], "&lt;=" &amp; $A167, Table2[HomeTeam], G$1)</f>
        <v>2</v>
      </c>
      <c r="H167" s="145">
        <f>SUMIFS(Table2[NewPointsAway],Table2[GameDate], "&lt;=" &amp; $A167, Table2[AwayTeam], H$1)+SUMIFS(Table2[NewPointsHome],Table2[GameDate], "&lt;=" &amp; $A167, Table2[HomeTeam], H$1)</f>
        <v>0</v>
      </c>
      <c r="I167" s="145">
        <f>SUMIFS(Table2[NewPointsAway],Table2[GameDate], "&lt;=" &amp; $A167, Table2[AwayTeam], I$1)+SUMIFS(Table2[NewPointsHome],Table2[GameDate], "&lt;=" &amp; $A167, Table2[HomeTeam], I$1)</f>
        <v>2</v>
      </c>
      <c r="J167" s="145">
        <f>SUMIFS(Table2[NewPointsAway],Table2[GameDate], "&lt;=" &amp; $A167, Table2[AwayTeam], J$1)+SUMIFS(Table2[NewPointsHome],Table2[GameDate], "&lt;=" &amp; $A167, Table2[HomeTeam], J$1)</f>
        <v>0</v>
      </c>
      <c r="K167" s="145">
        <f>SUMIFS(Table2[NewPointsAway],Table2[GameDate], "&lt;=" &amp; $A167, Table2[AwayTeam], K$1)+SUMIFS(Table2[NewPointsHome],Table2[GameDate], "&lt;=" &amp; $A167, Table2[HomeTeam], K$1)</f>
        <v>0</v>
      </c>
      <c r="L167" s="145">
        <f>SUMIFS(Table2[NewPointsAway],Table2[GameDate], "&lt;=" &amp; $A167, Table2[AwayTeam], L$1)+SUMIFS(Table2[NewPointsHome],Table2[GameDate], "&lt;=" &amp; $A167, Table2[HomeTeam], L$1)</f>
        <v>1</v>
      </c>
      <c r="M167" s="145">
        <f>SUMIFS(Table2[NewPointsAway],Table2[GameDate], "&lt;=" &amp; $A167, Table2[AwayTeam], M$1)+SUMIFS(Table2[NewPointsHome],Table2[GameDate], "&lt;=" &amp; $A167, Table2[HomeTeam], M$1)</f>
        <v>2</v>
      </c>
      <c r="N167" s="145">
        <f>SUMIFS(Table2[NewPointsAway],Table2[GameDate], "&lt;=" &amp; $A167, Table2[AwayTeam], N$1)+SUMIFS(Table2[NewPointsHome],Table2[GameDate], "&lt;=" &amp; $A167, Table2[HomeTeam], N$1)</f>
        <v>2</v>
      </c>
      <c r="O167" s="145">
        <f>SUMIFS(Table2[NewPointsAway],Table2[GameDate], "&lt;=" &amp; $A167, Table2[AwayTeam], O$1)+SUMIFS(Table2[NewPointsHome],Table2[GameDate], "&lt;=" &amp; $A167, Table2[HomeTeam], O$1)</f>
        <v>0</v>
      </c>
      <c r="P167" s="145">
        <f>SUMIFS(Table2[NewPointsAway],Table2[GameDate], "&lt;=" &amp; $A167, Table2[AwayTeam], P$1)+SUMIFS(Table2[NewPointsHome],Table2[GameDate], "&lt;=" &amp; $A167, Table2[HomeTeam], P$1)</f>
        <v>0</v>
      </c>
      <c r="Q167" s="145">
        <f>SUMIFS(Table2[NewPointsAway],Table2[GameDate], "&lt;=" &amp; $A167, Table2[AwayTeam], Q$1)+SUMIFS(Table2[NewPointsHome],Table2[GameDate], "&lt;=" &amp; $A167, Table2[HomeTeam], Q$1)</f>
        <v>0</v>
      </c>
      <c r="R167" s="145">
        <f>SUMIFS(Table2[NewPointsAway],Table2[GameDate], "&lt;=" &amp; $A167, Table2[AwayTeam], R$1)+SUMIFS(Table2[NewPointsHome],Table2[GameDate], "&lt;=" &amp; $A167, Table2[HomeTeam], R$1)</f>
        <v>0</v>
      </c>
      <c r="S167" s="145">
        <f>SUMIFS(Table2[NewPointsAway],Table2[GameDate], "&lt;=" &amp; $A167, Table2[AwayTeam], S$1)+SUMIFS(Table2[NewPointsHome],Table2[GameDate], "&lt;=" &amp; $A167, Table2[HomeTeam], S$1)</f>
        <v>0</v>
      </c>
      <c r="T167" s="145">
        <f>SUMIFS(Table2[NewPointsAway],Table2[GameDate], "&lt;=" &amp; $A167, Table2[AwayTeam], T$1)+SUMIFS(Table2[NewPointsHome],Table2[GameDate], "&lt;=" &amp; $A167, Table2[HomeTeam], T$1)</f>
        <v>0</v>
      </c>
      <c r="U167" s="145">
        <f>SUMIFS(Table2[NewPointsAway],Table2[GameDate], "&lt;=" &amp; $A167, Table2[AwayTeam], U$1)+SUMIFS(Table2[NewPointsHome],Table2[GameDate], "&lt;=" &amp; $A167, Table2[HomeTeam], U$1)</f>
        <v>0</v>
      </c>
      <c r="V167" s="145">
        <f>SUMIFS(Table2[NewPointsAway],Table2[GameDate], "&lt;=" &amp; $A167, Table2[AwayTeam], V$1)+SUMIFS(Table2[NewPointsHome],Table2[GameDate], "&lt;=" &amp; $A167, Table2[HomeTeam], V$1)</f>
        <v>0</v>
      </c>
      <c r="W167" s="145">
        <f>SUMIFS(Table2[NewPointsAway],Table2[GameDate], "&lt;=" &amp; $A167, Table2[AwayTeam], W$1)+SUMIFS(Table2[NewPointsHome],Table2[GameDate], "&lt;=" &amp; $A167, Table2[HomeTeam], W$1)</f>
        <v>2</v>
      </c>
      <c r="X167" s="145">
        <f>SUMIFS(Table2[NewPointsAway],Table2[GameDate], "&lt;=" &amp; $A167, Table2[AwayTeam], X$1)+SUMIFS(Table2[NewPointsHome],Table2[GameDate], "&lt;=" &amp; $A167, Table2[HomeTeam], X$1)</f>
        <v>0</v>
      </c>
      <c r="Y167" s="145">
        <f>SUMIFS(Table2[NewPointsAway],Table2[GameDate], "&lt;=" &amp; $A167, Table2[AwayTeam], Y$1)+SUMIFS(Table2[NewPointsHome],Table2[GameDate], "&lt;=" &amp; $A167, Table2[HomeTeam], Y$1)</f>
        <v>0</v>
      </c>
      <c r="Z167" s="145">
        <f>SUMIFS(Table2[NewPointsAway],Table2[GameDate], "&lt;=" &amp; $A167, Table2[AwayTeam], Z$1)+SUMIFS(Table2[NewPointsHome],Table2[GameDate], "&lt;=" &amp; $A167, Table2[HomeTeam], Z$1)</f>
        <v>0</v>
      </c>
      <c r="AA167" s="145">
        <f>SUMIFS(Table2[NewPointsAway],Table2[GameDate], "&lt;=" &amp; $A167, Table2[AwayTeam], AA$1)+SUMIFS(Table2[NewPointsHome],Table2[GameDate], "&lt;=" &amp; $A167, Table2[HomeTeam], AA$1)</f>
        <v>0</v>
      </c>
      <c r="AB167" s="145">
        <f>SUMIFS(Table2[NewPointsAway],Table2[GameDate], "&lt;=" &amp; $A167, Table2[AwayTeam], AB$1)+SUMIFS(Table2[NewPointsHome],Table2[GameDate], "&lt;=" &amp; $A167, Table2[HomeTeam], AB$1)</f>
        <v>2</v>
      </c>
      <c r="AC167" s="145">
        <f>SUMIFS(Table2[NewPointsAway],Table2[GameDate], "&lt;=" &amp; $A167, Table2[AwayTeam], AC$1)+SUMIFS(Table2[NewPointsHome],Table2[GameDate], "&lt;=" &amp; $A167, Table2[HomeTeam], AC$1)</f>
        <v>0</v>
      </c>
      <c r="AD167" s="145">
        <f>SUMIFS(Table2[NewPointsAway],Table2[GameDate], "&lt;=" &amp; $A167, Table2[AwayTeam], AD$1)+SUMIFS(Table2[NewPointsHome],Table2[GameDate], "&lt;=" &amp; $A167, Table2[HomeTeam], AD$1)</f>
        <v>0</v>
      </c>
      <c r="AE167" s="145">
        <f>SUMIFS(Table2[NewPointsAway],Table2[GameDate], "&lt;=" &amp; $A167, Table2[AwayTeam], AE$1)+SUMIFS(Table2[NewPointsHome],Table2[GameDate], "&lt;=" &amp; $A167, Table2[HomeTeam], AE$1)</f>
        <v>1</v>
      </c>
      <c r="AF167" s="145">
        <f>SUMIFS(Table2[NewPointsAway],Table2[GameDate], "&lt;=" &amp; $A167, Table2[AwayTeam], AF$1)+SUMIFS(Table2[NewPointsHome],Table2[GameDate], "&lt;=" &amp; $A167, Table2[HomeTeam], AF$1)</f>
        <v>0</v>
      </c>
      <c r="AG167" s="145">
        <f>SUMIFS(Table2[NewPointsAway],Table2[GameDate], "&lt;=" &amp; $A167, Table2[AwayTeam], AG$1)+SUMIFS(Table2[NewPointsHome],Table2[GameDate], "&lt;=" &amp; $A167, Table2[HomeTeam], AG$1)</f>
        <v>0</v>
      </c>
    </row>
    <row r="168" spans="1:33" x14ac:dyDescent="0.25">
      <c r="A168" s="3">
        <v>46099</v>
      </c>
      <c r="B168" s="145">
        <f>SUMIFS(Table2[NewPointsAway],Table2[GameDate], "&lt;=" &amp; $A168, Table2[AwayTeam], B$1)+SUMIFS(Table2[NewPointsHome],Table2[GameDate], "&lt;=" &amp; $A168, Table2[HomeTeam], B$1)</f>
        <v>0</v>
      </c>
      <c r="C168" s="145">
        <f>SUMIFS(Table2[NewPointsAway],Table2[GameDate], "&lt;=" &amp; $A168, Table2[AwayTeam], C$1)+SUMIFS(Table2[NewPointsHome],Table2[GameDate], "&lt;=" &amp; $A168, Table2[HomeTeam], C$1)</f>
        <v>2</v>
      </c>
      <c r="D168" s="145">
        <f>SUMIFS(Table2[NewPointsAway],Table2[GameDate], "&lt;=" &amp; $A168, Table2[AwayTeam], D$1)+SUMIFS(Table2[NewPointsHome],Table2[GameDate], "&lt;=" &amp; $A168, Table2[HomeTeam], D$1)</f>
        <v>0</v>
      </c>
      <c r="E168" s="145">
        <f>SUMIFS(Table2[NewPointsAway],Table2[GameDate], "&lt;=" &amp; $A168, Table2[AwayTeam], E$1)+SUMIFS(Table2[NewPointsHome],Table2[GameDate], "&lt;=" &amp; $A168, Table2[HomeTeam], E$1)</f>
        <v>0</v>
      </c>
      <c r="F168" s="145">
        <f>SUMIFS(Table2[NewPointsAway],Table2[GameDate], "&lt;=" &amp; $A168, Table2[AwayTeam], F$1)+SUMIFS(Table2[NewPointsHome],Table2[GameDate], "&lt;=" &amp; $A168, Table2[HomeTeam], F$1)</f>
        <v>0</v>
      </c>
      <c r="G168" s="145">
        <f>SUMIFS(Table2[NewPointsAway],Table2[GameDate], "&lt;=" &amp; $A168, Table2[AwayTeam], G$1)+SUMIFS(Table2[NewPointsHome],Table2[GameDate], "&lt;=" &amp; $A168, Table2[HomeTeam], G$1)</f>
        <v>2</v>
      </c>
      <c r="H168" s="145">
        <f>SUMIFS(Table2[NewPointsAway],Table2[GameDate], "&lt;=" &amp; $A168, Table2[AwayTeam], H$1)+SUMIFS(Table2[NewPointsHome],Table2[GameDate], "&lt;=" &amp; $A168, Table2[HomeTeam], H$1)</f>
        <v>0</v>
      </c>
      <c r="I168" s="145">
        <f>SUMIFS(Table2[NewPointsAway],Table2[GameDate], "&lt;=" &amp; $A168, Table2[AwayTeam], I$1)+SUMIFS(Table2[NewPointsHome],Table2[GameDate], "&lt;=" &amp; $A168, Table2[HomeTeam], I$1)</f>
        <v>2</v>
      </c>
      <c r="J168" s="145">
        <f>SUMIFS(Table2[NewPointsAway],Table2[GameDate], "&lt;=" &amp; $A168, Table2[AwayTeam], J$1)+SUMIFS(Table2[NewPointsHome],Table2[GameDate], "&lt;=" &amp; $A168, Table2[HomeTeam], J$1)</f>
        <v>0</v>
      </c>
      <c r="K168" s="145">
        <f>SUMIFS(Table2[NewPointsAway],Table2[GameDate], "&lt;=" &amp; $A168, Table2[AwayTeam], K$1)+SUMIFS(Table2[NewPointsHome],Table2[GameDate], "&lt;=" &amp; $A168, Table2[HomeTeam], K$1)</f>
        <v>0</v>
      </c>
      <c r="L168" s="145">
        <f>SUMIFS(Table2[NewPointsAway],Table2[GameDate], "&lt;=" &amp; $A168, Table2[AwayTeam], L$1)+SUMIFS(Table2[NewPointsHome],Table2[GameDate], "&lt;=" &amp; $A168, Table2[HomeTeam], L$1)</f>
        <v>1</v>
      </c>
      <c r="M168" s="145">
        <f>SUMIFS(Table2[NewPointsAway],Table2[GameDate], "&lt;=" &amp; $A168, Table2[AwayTeam], M$1)+SUMIFS(Table2[NewPointsHome],Table2[GameDate], "&lt;=" &amp; $A168, Table2[HomeTeam], M$1)</f>
        <v>2</v>
      </c>
      <c r="N168" s="145">
        <f>SUMIFS(Table2[NewPointsAway],Table2[GameDate], "&lt;=" &amp; $A168, Table2[AwayTeam], N$1)+SUMIFS(Table2[NewPointsHome],Table2[GameDate], "&lt;=" &amp; $A168, Table2[HomeTeam], N$1)</f>
        <v>2</v>
      </c>
      <c r="O168" s="145">
        <f>SUMIFS(Table2[NewPointsAway],Table2[GameDate], "&lt;=" &amp; $A168, Table2[AwayTeam], O$1)+SUMIFS(Table2[NewPointsHome],Table2[GameDate], "&lt;=" &amp; $A168, Table2[HomeTeam], O$1)</f>
        <v>0</v>
      </c>
      <c r="P168" s="145">
        <f>SUMIFS(Table2[NewPointsAway],Table2[GameDate], "&lt;=" &amp; $A168, Table2[AwayTeam], P$1)+SUMIFS(Table2[NewPointsHome],Table2[GameDate], "&lt;=" &amp; $A168, Table2[HomeTeam], P$1)</f>
        <v>0</v>
      </c>
      <c r="Q168" s="145">
        <f>SUMIFS(Table2[NewPointsAway],Table2[GameDate], "&lt;=" &amp; $A168, Table2[AwayTeam], Q$1)+SUMIFS(Table2[NewPointsHome],Table2[GameDate], "&lt;=" &amp; $A168, Table2[HomeTeam], Q$1)</f>
        <v>0</v>
      </c>
      <c r="R168" s="145">
        <f>SUMIFS(Table2[NewPointsAway],Table2[GameDate], "&lt;=" &amp; $A168, Table2[AwayTeam], R$1)+SUMIFS(Table2[NewPointsHome],Table2[GameDate], "&lt;=" &amp; $A168, Table2[HomeTeam], R$1)</f>
        <v>0</v>
      </c>
      <c r="S168" s="145">
        <f>SUMIFS(Table2[NewPointsAway],Table2[GameDate], "&lt;=" &amp; $A168, Table2[AwayTeam], S$1)+SUMIFS(Table2[NewPointsHome],Table2[GameDate], "&lt;=" &amp; $A168, Table2[HomeTeam], S$1)</f>
        <v>0</v>
      </c>
      <c r="T168" s="145">
        <f>SUMIFS(Table2[NewPointsAway],Table2[GameDate], "&lt;=" &amp; $A168, Table2[AwayTeam], T$1)+SUMIFS(Table2[NewPointsHome],Table2[GameDate], "&lt;=" &amp; $A168, Table2[HomeTeam], T$1)</f>
        <v>0</v>
      </c>
      <c r="U168" s="145">
        <f>SUMIFS(Table2[NewPointsAway],Table2[GameDate], "&lt;=" &amp; $A168, Table2[AwayTeam], U$1)+SUMIFS(Table2[NewPointsHome],Table2[GameDate], "&lt;=" &amp; $A168, Table2[HomeTeam], U$1)</f>
        <v>0</v>
      </c>
      <c r="V168" s="145">
        <f>SUMIFS(Table2[NewPointsAway],Table2[GameDate], "&lt;=" &amp; $A168, Table2[AwayTeam], V$1)+SUMIFS(Table2[NewPointsHome],Table2[GameDate], "&lt;=" &amp; $A168, Table2[HomeTeam], V$1)</f>
        <v>0</v>
      </c>
      <c r="W168" s="145">
        <f>SUMIFS(Table2[NewPointsAway],Table2[GameDate], "&lt;=" &amp; $A168, Table2[AwayTeam], W$1)+SUMIFS(Table2[NewPointsHome],Table2[GameDate], "&lt;=" &amp; $A168, Table2[HomeTeam], W$1)</f>
        <v>2</v>
      </c>
      <c r="X168" s="145">
        <f>SUMIFS(Table2[NewPointsAway],Table2[GameDate], "&lt;=" &amp; $A168, Table2[AwayTeam], X$1)+SUMIFS(Table2[NewPointsHome],Table2[GameDate], "&lt;=" &amp; $A168, Table2[HomeTeam], X$1)</f>
        <v>0</v>
      </c>
      <c r="Y168" s="145">
        <f>SUMIFS(Table2[NewPointsAway],Table2[GameDate], "&lt;=" &amp; $A168, Table2[AwayTeam], Y$1)+SUMIFS(Table2[NewPointsHome],Table2[GameDate], "&lt;=" &amp; $A168, Table2[HomeTeam], Y$1)</f>
        <v>0</v>
      </c>
      <c r="Z168" s="145">
        <f>SUMIFS(Table2[NewPointsAway],Table2[GameDate], "&lt;=" &amp; $A168, Table2[AwayTeam], Z$1)+SUMIFS(Table2[NewPointsHome],Table2[GameDate], "&lt;=" &amp; $A168, Table2[HomeTeam], Z$1)</f>
        <v>0</v>
      </c>
      <c r="AA168" s="145">
        <f>SUMIFS(Table2[NewPointsAway],Table2[GameDate], "&lt;=" &amp; $A168, Table2[AwayTeam], AA$1)+SUMIFS(Table2[NewPointsHome],Table2[GameDate], "&lt;=" &amp; $A168, Table2[HomeTeam], AA$1)</f>
        <v>0</v>
      </c>
      <c r="AB168" s="145">
        <f>SUMIFS(Table2[NewPointsAway],Table2[GameDate], "&lt;=" &amp; $A168, Table2[AwayTeam], AB$1)+SUMIFS(Table2[NewPointsHome],Table2[GameDate], "&lt;=" &amp; $A168, Table2[HomeTeam], AB$1)</f>
        <v>2</v>
      </c>
      <c r="AC168" s="145">
        <f>SUMIFS(Table2[NewPointsAway],Table2[GameDate], "&lt;=" &amp; $A168, Table2[AwayTeam], AC$1)+SUMIFS(Table2[NewPointsHome],Table2[GameDate], "&lt;=" &amp; $A168, Table2[HomeTeam], AC$1)</f>
        <v>0</v>
      </c>
      <c r="AD168" s="145">
        <f>SUMIFS(Table2[NewPointsAway],Table2[GameDate], "&lt;=" &amp; $A168, Table2[AwayTeam], AD$1)+SUMIFS(Table2[NewPointsHome],Table2[GameDate], "&lt;=" &amp; $A168, Table2[HomeTeam], AD$1)</f>
        <v>0</v>
      </c>
      <c r="AE168" s="145">
        <f>SUMIFS(Table2[NewPointsAway],Table2[GameDate], "&lt;=" &amp; $A168, Table2[AwayTeam], AE$1)+SUMIFS(Table2[NewPointsHome],Table2[GameDate], "&lt;=" &amp; $A168, Table2[HomeTeam], AE$1)</f>
        <v>1</v>
      </c>
      <c r="AF168" s="145">
        <f>SUMIFS(Table2[NewPointsAway],Table2[GameDate], "&lt;=" &amp; $A168, Table2[AwayTeam], AF$1)+SUMIFS(Table2[NewPointsHome],Table2[GameDate], "&lt;=" &amp; $A168, Table2[HomeTeam], AF$1)</f>
        <v>0</v>
      </c>
      <c r="AG168" s="145">
        <f>SUMIFS(Table2[NewPointsAway],Table2[GameDate], "&lt;=" &amp; $A168, Table2[AwayTeam], AG$1)+SUMIFS(Table2[NewPointsHome],Table2[GameDate], "&lt;=" &amp; $A168, Table2[HomeTeam], AG$1)</f>
        <v>0</v>
      </c>
    </row>
    <row r="169" spans="1:33" x14ac:dyDescent="0.25">
      <c r="A169" s="3">
        <v>46100</v>
      </c>
      <c r="B169" s="145">
        <f>SUMIFS(Table2[NewPointsAway],Table2[GameDate], "&lt;=" &amp; $A169, Table2[AwayTeam], B$1)+SUMIFS(Table2[NewPointsHome],Table2[GameDate], "&lt;=" &amp; $A169, Table2[HomeTeam], B$1)</f>
        <v>0</v>
      </c>
      <c r="C169" s="145">
        <f>SUMIFS(Table2[NewPointsAway],Table2[GameDate], "&lt;=" &amp; $A169, Table2[AwayTeam], C$1)+SUMIFS(Table2[NewPointsHome],Table2[GameDate], "&lt;=" &amp; $A169, Table2[HomeTeam], C$1)</f>
        <v>2</v>
      </c>
      <c r="D169" s="145">
        <f>SUMIFS(Table2[NewPointsAway],Table2[GameDate], "&lt;=" &amp; $A169, Table2[AwayTeam], D$1)+SUMIFS(Table2[NewPointsHome],Table2[GameDate], "&lt;=" &amp; $A169, Table2[HomeTeam], D$1)</f>
        <v>0</v>
      </c>
      <c r="E169" s="145">
        <f>SUMIFS(Table2[NewPointsAway],Table2[GameDate], "&lt;=" &amp; $A169, Table2[AwayTeam], E$1)+SUMIFS(Table2[NewPointsHome],Table2[GameDate], "&lt;=" &amp; $A169, Table2[HomeTeam], E$1)</f>
        <v>0</v>
      </c>
      <c r="F169" s="145">
        <f>SUMIFS(Table2[NewPointsAway],Table2[GameDate], "&lt;=" &amp; $A169, Table2[AwayTeam], F$1)+SUMIFS(Table2[NewPointsHome],Table2[GameDate], "&lt;=" &amp; $A169, Table2[HomeTeam], F$1)</f>
        <v>0</v>
      </c>
      <c r="G169" s="145">
        <f>SUMIFS(Table2[NewPointsAway],Table2[GameDate], "&lt;=" &amp; $A169, Table2[AwayTeam], G$1)+SUMIFS(Table2[NewPointsHome],Table2[GameDate], "&lt;=" &amp; $A169, Table2[HomeTeam], G$1)</f>
        <v>2</v>
      </c>
      <c r="H169" s="145">
        <f>SUMIFS(Table2[NewPointsAway],Table2[GameDate], "&lt;=" &amp; $A169, Table2[AwayTeam], H$1)+SUMIFS(Table2[NewPointsHome],Table2[GameDate], "&lt;=" &amp; $A169, Table2[HomeTeam], H$1)</f>
        <v>0</v>
      </c>
      <c r="I169" s="145">
        <f>SUMIFS(Table2[NewPointsAway],Table2[GameDate], "&lt;=" &amp; $A169, Table2[AwayTeam], I$1)+SUMIFS(Table2[NewPointsHome],Table2[GameDate], "&lt;=" &amp; $A169, Table2[HomeTeam], I$1)</f>
        <v>2</v>
      </c>
      <c r="J169" s="145">
        <f>SUMIFS(Table2[NewPointsAway],Table2[GameDate], "&lt;=" &amp; $A169, Table2[AwayTeam], J$1)+SUMIFS(Table2[NewPointsHome],Table2[GameDate], "&lt;=" &amp; $A169, Table2[HomeTeam], J$1)</f>
        <v>0</v>
      </c>
      <c r="K169" s="145">
        <f>SUMIFS(Table2[NewPointsAway],Table2[GameDate], "&lt;=" &amp; $A169, Table2[AwayTeam], K$1)+SUMIFS(Table2[NewPointsHome],Table2[GameDate], "&lt;=" &amp; $A169, Table2[HomeTeam], K$1)</f>
        <v>0</v>
      </c>
      <c r="L169" s="145">
        <f>SUMIFS(Table2[NewPointsAway],Table2[GameDate], "&lt;=" &amp; $A169, Table2[AwayTeam], L$1)+SUMIFS(Table2[NewPointsHome],Table2[GameDate], "&lt;=" &amp; $A169, Table2[HomeTeam], L$1)</f>
        <v>1</v>
      </c>
      <c r="M169" s="145">
        <f>SUMIFS(Table2[NewPointsAway],Table2[GameDate], "&lt;=" &amp; $A169, Table2[AwayTeam], M$1)+SUMIFS(Table2[NewPointsHome],Table2[GameDate], "&lt;=" &amp; $A169, Table2[HomeTeam], M$1)</f>
        <v>2</v>
      </c>
      <c r="N169" s="145">
        <f>SUMIFS(Table2[NewPointsAway],Table2[GameDate], "&lt;=" &amp; $A169, Table2[AwayTeam], N$1)+SUMIFS(Table2[NewPointsHome],Table2[GameDate], "&lt;=" &amp; $A169, Table2[HomeTeam], N$1)</f>
        <v>2</v>
      </c>
      <c r="O169" s="145">
        <f>SUMIFS(Table2[NewPointsAway],Table2[GameDate], "&lt;=" &amp; $A169, Table2[AwayTeam], O$1)+SUMIFS(Table2[NewPointsHome],Table2[GameDate], "&lt;=" &amp; $A169, Table2[HomeTeam], O$1)</f>
        <v>0</v>
      </c>
      <c r="P169" s="145">
        <f>SUMIFS(Table2[NewPointsAway],Table2[GameDate], "&lt;=" &amp; $A169, Table2[AwayTeam], P$1)+SUMIFS(Table2[NewPointsHome],Table2[GameDate], "&lt;=" &amp; $A169, Table2[HomeTeam], P$1)</f>
        <v>0</v>
      </c>
      <c r="Q169" s="145">
        <f>SUMIFS(Table2[NewPointsAway],Table2[GameDate], "&lt;=" &amp; $A169, Table2[AwayTeam], Q$1)+SUMIFS(Table2[NewPointsHome],Table2[GameDate], "&lt;=" &amp; $A169, Table2[HomeTeam], Q$1)</f>
        <v>0</v>
      </c>
      <c r="R169" s="145">
        <f>SUMIFS(Table2[NewPointsAway],Table2[GameDate], "&lt;=" &amp; $A169, Table2[AwayTeam], R$1)+SUMIFS(Table2[NewPointsHome],Table2[GameDate], "&lt;=" &amp; $A169, Table2[HomeTeam], R$1)</f>
        <v>0</v>
      </c>
      <c r="S169" s="145">
        <f>SUMIFS(Table2[NewPointsAway],Table2[GameDate], "&lt;=" &amp; $A169, Table2[AwayTeam], S$1)+SUMIFS(Table2[NewPointsHome],Table2[GameDate], "&lt;=" &amp; $A169, Table2[HomeTeam], S$1)</f>
        <v>0</v>
      </c>
      <c r="T169" s="145">
        <f>SUMIFS(Table2[NewPointsAway],Table2[GameDate], "&lt;=" &amp; $A169, Table2[AwayTeam], T$1)+SUMIFS(Table2[NewPointsHome],Table2[GameDate], "&lt;=" &amp; $A169, Table2[HomeTeam], T$1)</f>
        <v>0</v>
      </c>
      <c r="U169" s="145">
        <f>SUMIFS(Table2[NewPointsAway],Table2[GameDate], "&lt;=" &amp; $A169, Table2[AwayTeam], U$1)+SUMIFS(Table2[NewPointsHome],Table2[GameDate], "&lt;=" &amp; $A169, Table2[HomeTeam], U$1)</f>
        <v>0</v>
      </c>
      <c r="V169" s="145">
        <f>SUMIFS(Table2[NewPointsAway],Table2[GameDate], "&lt;=" &amp; $A169, Table2[AwayTeam], V$1)+SUMIFS(Table2[NewPointsHome],Table2[GameDate], "&lt;=" &amp; $A169, Table2[HomeTeam], V$1)</f>
        <v>0</v>
      </c>
      <c r="W169" s="145">
        <f>SUMIFS(Table2[NewPointsAway],Table2[GameDate], "&lt;=" &amp; $A169, Table2[AwayTeam], W$1)+SUMIFS(Table2[NewPointsHome],Table2[GameDate], "&lt;=" &amp; $A169, Table2[HomeTeam], W$1)</f>
        <v>2</v>
      </c>
      <c r="X169" s="145">
        <f>SUMIFS(Table2[NewPointsAway],Table2[GameDate], "&lt;=" &amp; $A169, Table2[AwayTeam], X$1)+SUMIFS(Table2[NewPointsHome],Table2[GameDate], "&lt;=" &amp; $A169, Table2[HomeTeam], X$1)</f>
        <v>0</v>
      </c>
      <c r="Y169" s="145">
        <f>SUMIFS(Table2[NewPointsAway],Table2[GameDate], "&lt;=" &amp; $A169, Table2[AwayTeam], Y$1)+SUMIFS(Table2[NewPointsHome],Table2[GameDate], "&lt;=" &amp; $A169, Table2[HomeTeam], Y$1)</f>
        <v>0</v>
      </c>
      <c r="Z169" s="145">
        <f>SUMIFS(Table2[NewPointsAway],Table2[GameDate], "&lt;=" &amp; $A169, Table2[AwayTeam], Z$1)+SUMIFS(Table2[NewPointsHome],Table2[GameDate], "&lt;=" &amp; $A169, Table2[HomeTeam], Z$1)</f>
        <v>0</v>
      </c>
      <c r="AA169" s="145">
        <f>SUMIFS(Table2[NewPointsAway],Table2[GameDate], "&lt;=" &amp; $A169, Table2[AwayTeam], AA$1)+SUMIFS(Table2[NewPointsHome],Table2[GameDate], "&lt;=" &amp; $A169, Table2[HomeTeam], AA$1)</f>
        <v>0</v>
      </c>
      <c r="AB169" s="145">
        <f>SUMIFS(Table2[NewPointsAway],Table2[GameDate], "&lt;=" &amp; $A169, Table2[AwayTeam], AB$1)+SUMIFS(Table2[NewPointsHome],Table2[GameDate], "&lt;=" &amp; $A169, Table2[HomeTeam], AB$1)</f>
        <v>2</v>
      </c>
      <c r="AC169" s="145">
        <f>SUMIFS(Table2[NewPointsAway],Table2[GameDate], "&lt;=" &amp; $A169, Table2[AwayTeam], AC$1)+SUMIFS(Table2[NewPointsHome],Table2[GameDate], "&lt;=" &amp; $A169, Table2[HomeTeam], AC$1)</f>
        <v>0</v>
      </c>
      <c r="AD169" s="145">
        <f>SUMIFS(Table2[NewPointsAway],Table2[GameDate], "&lt;=" &amp; $A169, Table2[AwayTeam], AD$1)+SUMIFS(Table2[NewPointsHome],Table2[GameDate], "&lt;=" &amp; $A169, Table2[HomeTeam], AD$1)</f>
        <v>0</v>
      </c>
      <c r="AE169" s="145">
        <f>SUMIFS(Table2[NewPointsAway],Table2[GameDate], "&lt;=" &amp; $A169, Table2[AwayTeam], AE$1)+SUMIFS(Table2[NewPointsHome],Table2[GameDate], "&lt;=" &amp; $A169, Table2[HomeTeam], AE$1)</f>
        <v>1</v>
      </c>
      <c r="AF169" s="145">
        <f>SUMIFS(Table2[NewPointsAway],Table2[GameDate], "&lt;=" &amp; $A169, Table2[AwayTeam], AF$1)+SUMIFS(Table2[NewPointsHome],Table2[GameDate], "&lt;=" &amp; $A169, Table2[HomeTeam], AF$1)</f>
        <v>0</v>
      </c>
      <c r="AG169" s="145">
        <f>SUMIFS(Table2[NewPointsAway],Table2[GameDate], "&lt;=" &amp; $A169, Table2[AwayTeam], AG$1)+SUMIFS(Table2[NewPointsHome],Table2[GameDate], "&lt;=" &amp; $A169, Table2[HomeTeam], AG$1)</f>
        <v>0</v>
      </c>
    </row>
    <row r="170" spans="1:33" x14ac:dyDescent="0.25">
      <c r="A170" s="3">
        <v>46101</v>
      </c>
      <c r="B170" s="145">
        <f>SUMIFS(Table2[NewPointsAway],Table2[GameDate], "&lt;=" &amp; $A170, Table2[AwayTeam], B$1)+SUMIFS(Table2[NewPointsHome],Table2[GameDate], "&lt;=" &amp; $A170, Table2[HomeTeam], B$1)</f>
        <v>0</v>
      </c>
      <c r="C170" s="145">
        <f>SUMIFS(Table2[NewPointsAway],Table2[GameDate], "&lt;=" &amp; $A170, Table2[AwayTeam], C$1)+SUMIFS(Table2[NewPointsHome],Table2[GameDate], "&lt;=" &amp; $A170, Table2[HomeTeam], C$1)</f>
        <v>2</v>
      </c>
      <c r="D170" s="145">
        <f>SUMIFS(Table2[NewPointsAway],Table2[GameDate], "&lt;=" &amp; $A170, Table2[AwayTeam], D$1)+SUMIFS(Table2[NewPointsHome],Table2[GameDate], "&lt;=" &amp; $A170, Table2[HomeTeam], D$1)</f>
        <v>0</v>
      </c>
      <c r="E170" s="145">
        <f>SUMIFS(Table2[NewPointsAway],Table2[GameDate], "&lt;=" &amp; $A170, Table2[AwayTeam], E$1)+SUMIFS(Table2[NewPointsHome],Table2[GameDate], "&lt;=" &amp; $A170, Table2[HomeTeam], E$1)</f>
        <v>0</v>
      </c>
      <c r="F170" s="145">
        <f>SUMIFS(Table2[NewPointsAway],Table2[GameDate], "&lt;=" &amp; $A170, Table2[AwayTeam], F$1)+SUMIFS(Table2[NewPointsHome],Table2[GameDate], "&lt;=" &amp; $A170, Table2[HomeTeam], F$1)</f>
        <v>0</v>
      </c>
      <c r="G170" s="145">
        <f>SUMIFS(Table2[NewPointsAway],Table2[GameDate], "&lt;=" &amp; $A170, Table2[AwayTeam], G$1)+SUMIFS(Table2[NewPointsHome],Table2[GameDate], "&lt;=" &amp; $A170, Table2[HomeTeam], G$1)</f>
        <v>2</v>
      </c>
      <c r="H170" s="145">
        <f>SUMIFS(Table2[NewPointsAway],Table2[GameDate], "&lt;=" &amp; $A170, Table2[AwayTeam], H$1)+SUMIFS(Table2[NewPointsHome],Table2[GameDate], "&lt;=" &amp; $A170, Table2[HomeTeam], H$1)</f>
        <v>0</v>
      </c>
      <c r="I170" s="145">
        <f>SUMIFS(Table2[NewPointsAway],Table2[GameDate], "&lt;=" &amp; $A170, Table2[AwayTeam], I$1)+SUMIFS(Table2[NewPointsHome],Table2[GameDate], "&lt;=" &amp; $A170, Table2[HomeTeam], I$1)</f>
        <v>2</v>
      </c>
      <c r="J170" s="145">
        <f>SUMIFS(Table2[NewPointsAway],Table2[GameDate], "&lt;=" &amp; $A170, Table2[AwayTeam], J$1)+SUMIFS(Table2[NewPointsHome],Table2[GameDate], "&lt;=" &amp; $A170, Table2[HomeTeam], J$1)</f>
        <v>0</v>
      </c>
      <c r="K170" s="145">
        <f>SUMIFS(Table2[NewPointsAway],Table2[GameDate], "&lt;=" &amp; $A170, Table2[AwayTeam], K$1)+SUMIFS(Table2[NewPointsHome],Table2[GameDate], "&lt;=" &amp; $A170, Table2[HomeTeam], K$1)</f>
        <v>0</v>
      </c>
      <c r="L170" s="145">
        <f>SUMIFS(Table2[NewPointsAway],Table2[GameDate], "&lt;=" &amp; $A170, Table2[AwayTeam], L$1)+SUMIFS(Table2[NewPointsHome],Table2[GameDate], "&lt;=" &amp; $A170, Table2[HomeTeam], L$1)</f>
        <v>1</v>
      </c>
      <c r="M170" s="145">
        <f>SUMIFS(Table2[NewPointsAway],Table2[GameDate], "&lt;=" &amp; $A170, Table2[AwayTeam], M$1)+SUMIFS(Table2[NewPointsHome],Table2[GameDate], "&lt;=" &amp; $A170, Table2[HomeTeam], M$1)</f>
        <v>2</v>
      </c>
      <c r="N170" s="145">
        <f>SUMIFS(Table2[NewPointsAway],Table2[GameDate], "&lt;=" &amp; $A170, Table2[AwayTeam], N$1)+SUMIFS(Table2[NewPointsHome],Table2[GameDate], "&lt;=" &amp; $A170, Table2[HomeTeam], N$1)</f>
        <v>2</v>
      </c>
      <c r="O170" s="145">
        <f>SUMIFS(Table2[NewPointsAway],Table2[GameDate], "&lt;=" &amp; $A170, Table2[AwayTeam], O$1)+SUMIFS(Table2[NewPointsHome],Table2[GameDate], "&lt;=" &amp; $A170, Table2[HomeTeam], O$1)</f>
        <v>0</v>
      </c>
      <c r="P170" s="145">
        <f>SUMIFS(Table2[NewPointsAway],Table2[GameDate], "&lt;=" &amp; $A170, Table2[AwayTeam], P$1)+SUMIFS(Table2[NewPointsHome],Table2[GameDate], "&lt;=" &amp; $A170, Table2[HomeTeam], P$1)</f>
        <v>0</v>
      </c>
      <c r="Q170" s="145">
        <f>SUMIFS(Table2[NewPointsAway],Table2[GameDate], "&lt;=" &amp; $A170, Table2[AwayTeam], Q$1)+SUMIFS(Table2[NewPointsHome],Table2[GameDate], "&lt;=" &amp; $A170, Table2[HomeTeam], Q$1)</f>
        <v>0</v>
      </c>
      <c r="R170" s="145">
        <f>SUMIFS(Table2[NewPointsAway],Table2[GameDate], "&lt;=" &amp; $A170, Table2[AwayTeam], R$1)+SUMIFS(Table2[NewPointsHome],Table2[GameDate], "&lt;=" &amp; $A170, Table2[HomeTeam], R$1)</f>
        <v>0</v>
      </c>
      <c r="S170" s="145">
        <f>SUMIFS(Table2[NewPointsAway],Table2[GameDate], "&lt;=" &amp; $A170, Table2[AwayTeam], S$1)+SUMIFS(Table2[NewPointsHome],Table2[GameDate], "&lt;=" &amp; $A170, Table2[HomeTeam], S$1)</f>
        <v>0</v>
      </c>
      <c r="T170" s="145">
        <f>SUMIFS(Table2[NewPointsAway],Table2[GameDate], "&lt;=" &amp; $A170, Table2[AwayTeam], T$1)+SUMIFS(Table2[NewPointsHome],Table2[GameDate], "&lt;=" &amp; $A170, Table2[HomeTeam], T$1)</f>
        <v>0</v>
      </c>
      <c r="U170" s="145">
        <f>SUMIFS(Table2[NewPointsAway],Table2[GameDate], "&lt;=" &amp; $A170, Table2[AwayTeam], U$1)+SUMIFS(Table2[NewPointsHome],Table2[GameDate], "&lt;=" &amp; $A170, Table2[HomeTeam], U$1)</f>
        <v>0</v>
      </c>
      <c r="V170" s="145">
        <f>SUMIFS(Table2[NewPointsAway],Table2[GameDate], "&lt;=" &amp; $A170, Table2[AwayTeam], V$1)+SUMIFS(Table2[NewPointsHome],Table2[GameDate], "&lt;=" &amp; $A170, Table2[HomeTeam], V$1)</f>
        <v>0</v>
      </c>
      <c r="W170" s="145">
        <f>SUMIFS(Table2[NewPointsAway],Table2[GameDate], "&lt;=" &amp; $A170, Table2[AwayTeam], W$1)+SUMIFS(Table2[NewPointsHome],Table2[GameDate], "&lt;=" &amp; $A170, Table2[HomeTeam], W$1)</f>
        <v>2</v>
      </c>
      <c r="X170" s="145">
        <f>SUMIFS(Table2[NewPointsAway],Table2[GameDate], "&lt;=" &amp; $A170, Table2[AwayTeam], X$1)+SUMIFS(Table2[NewPointsHome],Table2[GameDate], "&lt;=" &amp; $A170, Table2[HomeTeam], X$1)</f>
        <v>0</v>
      </c>
      <c r="Y170" s="145">
        <f>SUMIFS(Table2[NewPointsAway],Table2[GameDate], "&lt;=" &amp; $A170, Table2[AwayTeam], Y$1)+SUMIFS(Table2[NewPointsHome],Table2[GameDate], "&lt;=" &amp; $A170, Table2[HomeTeam], Y$1)</f>
        <v>0</v>
      </c>
      <c r="Z170" s="145">
        <f>SUMIFS(Table2[NewPointsAway],Table2[GameDate], "&lt;=" &amp; $A170, Table2[AwayTeam], Z$1)+SUMIFS(Table2[NewPointsHome],Table2[GameDate], "&lt;=" &amp; $A170, Table2[HomeTeam], Z$1)</f>
        <v>0</v>
      </c>
      <c r="AA170" s="145">
        <f>SUMIFS(Table2[NewPointsAway],Table2[GameDate], "&lt;=" &amp; $A170, Table2[AwayTeam], AA$1)+SUMIFS(Table2[NewPointsHome],Table2[GameDate], "&lt;=" &amp; $A170, Table2[HomeTeam], AA$1)</f>
        <v>0</v>
      </c>
      <c r="AB170" s="145">
        <f>SUMIFS(Table2[NewPointsAway],Table2[GameDate], "&lt;=" &amp; $A170, Table2[AwayTeam], AB$1)+SUMIFS(Table2[NewPointsHome],Table2[GameDate], "&lt;=" &amp; $A170, Table2[HomeTeam], AB$1)</f>
        <v>2</v>
      </c>
      <c r="AC170" s="145">
        <f>SUMIFS(Table2[NewPointsAway],Table2[GameDate], "&lt;=" &amp; $A170, Table2[AwayTeam], AC$1)+SUMIFS(Table2[NewPointsHome],Table2[GameDate], "&lt;=" &amp; $A170, Table2[HomeTeam], AC$1)</f>
        <v>0</v>
      </c>
      <c r="AD170" s="145">
        <f>SUMIFS(Table2[NewPointsAway],Table2[GameDate], "&lt;=" &amp; $A170, Table2[AwayTeam], AD$1)+SUMIFS(Table2[NewPointsHome],Table2[GameDate], "&lt;=" &amp; $A170, Table2[HomeTeam], AD$1)</f>
        <v>0</v>
      </c>
      <c r="AE170" s="145">
        <f>SUMIFS(Table2[NewPointsAway],Table2[GameDate], "&lt;=" &amp; $A170, Table2[AwayTeam], AE$1)+SUMIFS(Table2[NewPointsHome],Table2[GameDate], "&lt;=" &amp; $A170, Table2[HomeTeam], AE$1)</f>
        <v>1</v>
      </c>
      <c r="AF170" s="145">
        <f>SUMIFS(Table2[NewPointsAway],Table2[GameDate], "&lt;=" &amp; $A170, Table2[AwayTeam], AF$1)+SUMIFS(Table2[NewPointsHome],Table2[GameDate], "&lt;=" &amp; $A170, Table2[HomeTeam], AF$1)</f>
        <v>0</v>
      </c>
      <c r="AG170" s="145">
        <f>SUMIFS(Table2[NewPointsAway],Table2[GameDate], "&lt;=" &amp; $A170, Table2[AwayTeam], AG$1)+SUMIFS(Table2[NewPointsHome],Table2[GameDate], "&lt;=" &amp; $A170, Table2[HomeTeam], AG$1)</f>
        <v>0</v>
      </c>
    </row>
    <row r="171" spans="1:33" x14ac:dyDescent="0.25">
      <c r="A171" s="3">
        <v>46102</v>
      </c>
      <c r="B171" s="145">
        <f>SUMIFS(Table2[NewPointsAway],Table2[GameDate], "&lt;=" &amp; $A171, Table2[AwayTeam], B$1)+SUMIFS(Table2[NewPointsHome],Table2[GameDate], "&lt;=" &amp; $A171, Table2[HomeTeam], B$1)</f>
        <v>0</v>
      </c>
      <c r="C171" s="145">
        <f>SUMIFS(Table2[NewPointsAway],Table2[GameDate], "&lt;=" &amp; $A171, Table2[AwayTeam], C$1)+SUMIFS(Table2[NewPointsHome],Table2[GameDate], "&lt;=" &amp; $A171, Table2[HomeTeam], C$1)</f>
        <v>2</v>
      </c>
      <c r="D171" s="145">
        <f>SUMIFS(Table2[NewPointsAway],Table2[GameDate], "&lt;=" &amp; $A171, Table2[AwayTeam], D$1)+SUMIFS(Table2[NewPointsHome],Table2[GameDate], "&lt;=" &amp; $A171, Table2[HomeTeam], D$1)</f>
        <v>0</v>
      </c>
      <c r="E171" s="145">
        <f>SUMIFS(Table2[NewPointsAway],Table2[GameDate], "&lt;=" &amp; $A171, Table2[AwayTeam], E$1)+SUMIFS(Table2[NewPointsHome],Table2[GameDate], "&lt;=" &amp; $A171, Table2[HomeTeam], E$1)</f>
        <v>0</v>
      </c>
      <c r="F171" s="145">
        <f>SUMIFS(Table2[NewPointsAway],Table2[GameDate], "&lt;=" &amp; $A171, Table2[AwayTeam], F$1)+SUMIFS(Table2[NewPointsHome],Table2[GameDate], "&lt;=" &amp; $A171, Table2[HomeTeam], F$1)</f>
        <v>0</v>
      </c>
      <c r="G171" s="145">
        <f>SUMIFS(Table2[NewPointsAway],Table2[GameDate], "&lt;=" &amp; $A171, Table2[AwayTeam], G$1)+SUMIFS(Table2[NewPointsHome],Table2[GameDate], "&lt;=" &amp; $A171, Table2[HomeTeam], G$1)</f>
        <v>2</v>
      </c>
      <c r="H171" s="145">
        <f>SUMIFS(Table2[NewPointsAway],Table2[GameDate], "&lt;=" &amp; $A171, Table2[AwayTeam], H$1)+SUMIFS(Table2[NewPointsHome],Table2[GameDate], "&lt;=" &amp; $A171, Table2[HomeTeam], H$1)</f>
        <v>0</v>
      </c>
      <c r="I171" s="145">
        <f>SUMIFS(Table2[NewPointsAway],Table2[GameDate], "&lt;=" &amp; $A171, Table2[AwayTeam], I$1)+SUMIFS(Table2[NewPointsHome],Table2[GameDate], "&lt;=" &amp; $A171, Table2[HomeTeam], I$1)</f>
        <v>2</v>
      </c>
      <c r="J171" s="145">
        <f>SUMIFS(Table2[NewPointsAway],Table2[GameDate], "&lt;=" &amp; $A171, Table2[AwayTeam], J$1)+SUMIFS(Table2[NewPointsHome],Table2[GameDate], "&lt;=" &amp; $A171, Table2[HomeTeam], J$1)</f>
        <v>0</v>
      </c>
      <c r="K171" s="145">
        <f>SUMIFS(Table2[NewPointsAway],Table2[GameDate], "&lt;=" &amp; $A171, Table2[AwayTeam], K$1)+SUMIFS(Table2[NewPointsHome],Table2[GameDate], "&lt;=" &amp; $A171, Table2[HomeTeam], K$1)</f>
        <v>0</v>
      </c>
      <c r="L171" s="145">
        <f>SUMIFS(Table2[NewPointsAway],Table2[GameDate], "&lt;=" &amp; $A171, Table2[AwayTeam], L$1)+SUMIFS(Table2[NewPointsHome],Table2[GameDate], "&lt;=" &amp; $A171, Table2[HomeTeam], L$1)</f>
        <v>1</v>
      </c>
      <c r="M171" s="145">
        <f>SUMIFS(Table2[NewPointsAway],Table2[GameDate], "&lt;=" &amp; $A171, Table2[AwayTeam], M$1)+SUMIFS(Table2[NewPointsHome],Table2[GameDate], "&lt;=" &amp; $A171, Table2[HomeTeam], M$1)</f>
        <v>2</v>
      </c>
      <c r="N171" s="145">
        <f>SUMIFS(Table2[NewPointsAway],Table2[GameDate], "&lt;=" &amp; $A171, Table2[AwayTeam], N$1)+SUMIFS(Table2[NewPointsHome],Table2[GameDate], "&lt;=" &amp; $A171, Table2[HomeTeam], N$1)</f>
        <v>2</v>
      </c>
      <c r="O171" s="145">
        <f>SUMIFS(Table2[NewPointsAway],Table2[GameDate], "&lt;=" &amp; $A171, Table2[AwayTeam], O$1)+SUMIFS(Table2[NewPointsHome],Table2[GameDate], "&lt;=" &amp; $A171, Table2[HomeTeam], O$1)</f>
        <v>0</v>
      </c>
      <c r="P171" s="145">
        <f>SUMIFS(Table2[NewPointsAway],Table2[GameDate], "&lt;=" &amp; $A171, Table2[AwayTeam], P$1)+SUMIFS(Table2[NewPointsHome],Table2[GameDate], "&lt;=" &amp; $A171, Table2[HomeTeam], P$1)</f>
        <v>0</v>
      </c>
      <c r="Q171" s="145">
        <f>SUMIFS(Table2[NewPointsAway],Table2[GameDate], "&lt;=" &amp; $A171, Table2[AwayTeam], Q$1)+SUMIFS(Table2[NewPointsHome],Table2[GameDate], "&lt;=" &amp; $A171, Table2[HomeTeam], Q$1)</f>
        <v>0</v>
      </c>
      <c r="R171" s="145">
        <f>SUMIFS(Table2[NewPointsAway],Table2[GameDate], "&lt;=" &amp; $A171, Table2[AwayTeam], R$1)+SUMIFS(Table2[NewPointsHome],Table2[GameDate], "&lt;=" &amp; $A171, Table2[HomeTeam], R$1)</f>
        <v>0</v>
      </c>
      <c r="S171" s="145">
        <f>SUMIFS(Table2[NewPointsAway],Table2[GameDate], "&lt;=" &amp; $A171, Table2[AwayTeam], S$1)+SUMIFS(Table2[NewPointsHome],Table2[GameDate], "&lt;=" &amp; $A171, Table2[HomeTeam], S$1)</f>
        <v>0</v>
      </c>
      <c r="T171" s="145">
        <f>SUMIFS(Table2[NewPointsAway],Table2[GameDate], "&lt;=" &amp; $A171, Table2[AwayTeam], T$1)+SUMIFS(Table2[NewPointsHome],Table2[GameDate], "&lt;=" &amp; $A171, Table2[HomeTeam], T$1)</f>
        <v>0</v>
      </c>
      <c r="U171" s="145">
        <f>SUMIFS(Table2[NewPointsAway],Table2[GameDate], "&lt;=" &amp; $A171, Table2[AwayTeam], U$1)+SUMIFS(Table2[NewPointsHome],Table2[GameDate], "&lt;=" &amp; $A171, Table2[HomeTeam], U$1)</f>
        <v>0</v>
      </c>
      <c r="V171" s="145">
        <f>SUMIFS(Table2[NewPointsAway],Table2[GameDate], "&lt;=" &amp; $A171, Table2[AwayTeam], V$1)+SUMIFS(Table2[NewPointsHome],Table2[GameDate], "&lt;=" &amp; $A171, Table2[HomeTeam], V$1)</f>
        <v>0</v>
      </c>
      <c r="W171" s="145">
        <f>SUMIFS(Table2[NewPointsAway],Table2[GameDate], "&lt;=" &amp; $A171, Table2[AwayTeam], W$1)+SUMIFS(Table2[NewPointsHome],Table2[GameDate], "&lt;=" &amp; $A171, Table2[HomeTeam], W$1)</f>
        <v>2</v>
      </c>
      <c r="X171" s="145">
        <f>SUMIFS(Table2[NewPointsAway],Table2[GameDate], "&lt;=" &amp; $A171, Table2[AwayTeam], X$1)+SUMIFS(Table2[NewPointsHome],Table2[GameDate], "&lt;=" &amp; $A171, Table2[HomeTeam], X$1)</f>
        <v>0</v>
      </c>
      <c r="Y171" s="145">
        <f>SUMIFS(Table2[NewPointsAway],Table2[GameDate], "&lt;=" &amp; $A171, Table2[AwayTeam], Y$1)+SUMIFS(Table2[NewPointsHome],Table2[GameDate], "&lt;=" &amp; $A171, Table2[HomeTeam], Y$1)</f>
        <v>0</v>
      </c>
      <c r="Z171" s="145">
        <f>SUMIFS(Table2[NewPointsAway],Table2[GameDate], "&lt;=" &amp; $A171, Table2[AwayTeam], Z$1)+SUMIFS(Table2[NewPointsHome],Table2[GameDate], "&lt;=" &amp; $A171, Table2[HomeTeam], Z$1)</f>
        <v>0</v>
      </c>
      <c r="AA171" s="145">
        <f>SUMIFS(Table2[NewPointsAway],Table2[GameDate], "&lt;=" &amp; $A171, Table2[AwayTeam], AA$1)+SUMIFS(Table2[NewPointsHome],Table2[GameDate], "&lt;=" &amp; $A171, Table2[HomeTeam], AA$1)</f>
        <v>0</v>
      </c>
      <c r="AB171" s="145">
        <f>SUMIFS(Table2[NewPointsAway],Table2[GameDate], "&lt;=" &amp; $A171, Table2[AwayTeam], AB$1)+SUMIFS(Table2[NewPointsHome],Table2[GameDate], "&lt;=" &amp; $A171, Table2[HomeTeam], AB$1)</f>
        <v>2</v>
      </c>
      <c r="AC171" s="145">
        <f>SUMIFS(Table2[NewPointsAway],Table2[GameDate], "&lt;=" &amp; $A171, Table2[AwayTeam], AC$1)+SUMIFS(Table2[NewPointsHome],Table2[GameDate], "&lt;=" &amp; $A171, Table2[HomeTeam], AC$1)</f>
        <v>0</v>
      </c>
      <c r="AD171" s="145">
        <f>SUMIFS(Table2[NewPointsAway],Table2[GameDate], "&lt;=" &amp; $A171, Table2[AwayTeam], AD$1)+SUMIFS(Table2[NewPointsHome],Table2[GameDate], "&lt;=" &amp; $A171, Table2[HomeTeam], AD$1)</f>
        <v>0</v>
      </c>
      <c r="AE171" s="145">
        <f>SUMIFS(Table2[NewPointsAway],Table2[GameDate], "&lt;=" &amp; $A171, Table2[AwayTeam], AE$1)+SUMIFS(Table2[NewPointsHome],Table2[GameDate], "&lt;=" &amp; $A171, Table2[HomeTeam], AE$1)</f>
        <v>1</v>
      </c>
      <c r="AF171" s="145">
        <f>SUMIFS(Table2[NewPointsAway],Table2[GameDate], "&lt;=" &amp; $A171, Table2[AwayTeam], AF$1)+SUMIFS(Table2[NewPointsHome],Table2[GameDate], "&lt;=" &amp; $A171, Table2[HomeTeam], AF$1)</f>
        <v>0</v>
      </c>
      <c r="AG171" s="145">
        <f>SUMIFS(Table2[NewPointsAway],Table2[GameDate], "&lt;=" &amp; $A171, Table2[AwayTeam], AG$1)+SUMIFS(Table2[NewPointsHome],Table2[GameDate], "&lt;=" &amp; $A171, Table2[HomeTeam], AG$1)</f>
        <v>0</v>
      </c>
    </row>
    <row r="172" spans="1:33" x14ac:dyDescent="0.25">
      <c r="A172" s="3">
        <v>46103</v>
      </c>
      <c r="B172" s="145">
        <f>SUMIFS(Table2[NewPointsAway],Table2[GameDate], "&lt;=" &amp; $A172, Table2[AwayTeam], B$1)+SUMIFS(Table2[NewPointsHome],Table2[GameDate], "&lt;=" &amp; $A172, Table2[HomeTeam], B$1)</f>
        <v>0</v>
      </c>
      <c r="C172" s="145">
        <f>SUMIFS(Table2[NewPointsAway],Table2[GameDate], "&lt;=" &amp; $A172, Table2[AwayTeam], C$1)+SUMIFS(Table2[NewPointsHome],Table2[GameDate], "&lt;=" &amp; $A172, Table2[HomeTeam], C$1)</f>
        <v>2</v>
      </c>
      <c r="D172" s="145">
        <f>SUMIFS(Table2[NewPointsAway],Table2[GameDate], "&lt;=" &amp; $A172, Table2[AwayTeam], D$1)+SUMIFS(Table2[NewPointsHome],Table2[GameDate], "&lt;=" &amp; $A172, Table2[HomeTeam], D$1)</f>
        <v>0</v>
      </c>
      <c r="E172" s="145">
        <f>SUMIFS(Table2[NewPointsAway],Table2[GameDate], "&lt;=" &amp; $A172, Table2[AwayTeam], E$1)+SUMIFS(Table2[NewPointsHome],Table2[GameDate], "&lt;=" &amp; $A172, Table2[HomeTeam], E$1)</f>
        <v>0</v>
      </c>
      <c r="F172" s="145">
        <f>SUMIFS(Table2[NewPointsAway],Table2[GameDate], "&lt;=" &amp; $A172, Table2[AwayTeam], F$1)+SUMIFS(Table2[NewPointsHome],Table2[GameDate], "&lt;=" &amp; $A172, Table2[HomeTeam], F$1)</f>
        <v>0</v>
      </c>
      <c r="G172" s="145">
        <f>SUMIFS(Table2[NewPointsAway],Table2[GameDate], "&lt;=" &amp; $A172, Table2[AwayTeam], G$1)+SUMIFS(Table2[NewPointsHome],Table2[GameDate], "&lt;=" &amp; $A172, Table2[HomeTeam], G$1)</f>
        <v>2</v>
      </c>
      <c r="H172" s="145">
        <f>SUMIFS(Table2[NewPointsAway],Table2[GameDate], "&lt;=" &amp; $A172, Table2[AwayTeam], H$1)+SUMIFS(Table2[NewPointsHome],Table2[GameDate], "&lt;=" &amp; $A172, Table2[HomeTeam], H$1)</f>
        <v>0</v>
      </c>
      <c r="I172" s="145">
        <f>SUMIFS(Table2[NewPointsAway],Table2[GameDate], "&lt;=" &amp; $A172, Table2[AwayTeam], I$1)+SUMIFS(Table2[NewPointsHome],Table2[GameDate], "&lt;=" &amp; $A172, Table2[HomeTeam], I$1)</f>
        <v>2</v>
      </c>
      <c r="J172" s="145">
        <f>SUMIFS(Table2[NewPointsAway],Table2[GameDate], "&lt;=" &amp; $A172, Table2[AwayTeam], J$1)+SUMIFS(Table2[NewPointsHome],Table2[GameDate], "&lt;=" &amp; $A172, Table2[HomeTeam], J$1)</f>
        <v>0</v>
      </c>
      <c r="K172" s="145">
        <f>SUMIFS(Table2[NewPointsAway],Table2[GameDate], "&lt;=" &amp; $A172, Table2[AwayTeam], K$1)+SUMIFS(Table2[NewPointsHome],Table2[GameDate], "&lt;=" &amp; $A172, Table2[HomeTeam], K$1)</f>
        <v>0</v>
      </c>
      <c r="L172" s="145">
        <f>SUMIFS(Table2[NewPointsAway],Table2[GameDate], "&lt;=" &amp; $A172, Table2[AwayTeam], L$1)+SUMIFS(Table2[NewPointsHome],Table2[GameDate], "&lt;=" &amp; $A172, Table2[HomeTeam], L$1)</f>
        <v>1</v>
      </c>
      <c r="M172" s="145">
        <f>SUMIFS(Table2[NewPointsAway],Table2[GameDate], "&lt;=" &amp; $A172, Table2[AwayTeam], M$1)+SUMIFS(Table2[NewPointsHome],Table2[GameDate], "&lt;=" &amp; $A172, Table2[HomeTeam], M$1)</f>
        <v>2</v>
      </c>
      <c r="N172" s="145">
        <f>SUMIFS(Table2[NewPointsAway],Table2[GameDate], "&lt;=" &amp; $A172, Table2[AwayTeam], N$1)+SUMIFS(Table2[NewPointsHome],Table2[GameDate], "&lt;=" &amp; $A172, Table2[HomeTeam], N$1)</f>
        <v>2</v>
      </c>
      <c r="O172" s="145">
        <f>SUMIFS(Table2[NewPointsAway],Table2[GameDate], "&lt;=" &amp; $A172, Table2[AwayTeam], O$1)+SUMIFS(Table2[NewPointsHome],Table2[GameDate], "&lt;=" &amp; $A172, Table2[HomeTeam], O$1)</f>
        <v>0</v>
      </c>
      <c r="P172" s="145">
        <f>SUMIFS(Table2[NewPointsAway],Table2[GameDate], "&lt;=" &amp; $A172, Table2[AwayTeam], P$1)+SUMIFS(Table2[NewPointsHome],Table2[GameDate], "&lt;=" &amp; $A172, Table2[HomeTeam], P$1)</f>
        <v>0</v>
      </c>
      <c r="Q172" s="145">
        <f>SUMIFS(Table2[NewPointsAway],Table2[GameDate], "&lt;=" &amp; $A172, Table2[AwayTeam], Q$1)+SUMIFS(Table2[NewPointsHome],Table2[GameDate], "&lt;=" &amp; $A172, Table2[HomeTeam], Q$1)</f>
        <v>0</v>
      </c>
      <c r="R172" s="145">
        <f>SUMIFS(Table2[NewPointsAway],Table2[GameDate], "&lt;=" &amp; $A172, Table2[AwayTeam], R$1)+SUMIFS(Table2[NewPointsHome],Table2[GameDate], "&lt;=" &amp; $A172, Table2[HomeTeam], R$1)</f>
        <v>0</v>
      </c>
      <c r="S172" s="145">
        <f>SUMIFS(Table2[NewPointsAway],Table2[GameDate], "&lt;=" &amp; $A172, Table2[AwayTeam], S$1)+SUMIFS(Table2[NewPointsHome],Table2[GameDate], "&lt;=" &amp; $A172, Table2[HomeTeam], S$1)</f>
        <v>0</v>
      </c>
      <c r="T172" s="145">
        <f>SUMIFS(Table2[NewPointsAway],Table2[GameDate], "&lt;=" &amp; $A172, Table2[AwayTeam], T$1)+SUMIFS(Table2[NewPointsHome],Table2[GameDate], "&lt;=" &amp; $A172, Table2[HomeTeam], T$1)</f>
        <v>0</v>
      </c>
      <c r="U172" s="145">
        <f>SUMIFS(Table2[NewPointsAway],Table2[GameDate], "&lt;=" &amp; $A172, Table2[AwayTeam], U$1)+SUMIFS(Table2[NewPointsHome],Table2[GameDate], "&lt;=" &amp; $A172, Table2[HomeTeam], U$1)</f>
        <v>0</v>
      </c>
      <c r="V172" s="145">
        <f>SUMIFS(Table2[NewPointsAway],Table2[GameDate], "&lt;=" &amp; $A172, Table2[AwayTeam], V$1)+SUMIFS(Table2[NewPointsHome],Table2[GameDate], "&lt;=" &amp; $A172, Table2[HomeTeam], V$1)</f>
        <v>0</v>
      </c>
      <c r="W172" s="145">
        <f>SUMIFS(Table2[NewPointsAway],Table2[GameDate], "&lt;=" &amp; $A172, Table2[AwayTeam], W$1)+SUMIFS(Table2[NewPointsHome],Table2[GameDate], "&lt;=" &amp; $A172, Table2[HomeTeam], W$1)</f>
        <v>2</v>
      </c>
      <c r="X172" s="145">
        <f>SUMIFS(Table2[NewPointsAway],Table2[GameDate], "&lt;=" &amp; $A172, Table2[AwayTeam], X$1)+SUMIFS(Table2[NewPointsHome],Table2[GameDate], "&lt;=" &amp; $A172, Table2[HomeTeam], X$1)</f>
        <v>0</v>
      </c>
      <c r="Y172" s="145">
        <f>SUMIFS(Table2[NewPointsAway],Table2[GameDate], "&lt;=" &amp; $A172, Table2[AwayTeam], Y$1)+SUMIFS(Table2[NewPointsHome],Table2[GameDate], "&lt;=" &amp; $A172, Table2[HomeTeam], Y$1)</f>
        <v>0</v>
      </c>
      <c r="Z172" s="145">
        <f>SUMIFS(Table2[NewPointsAway],Table2[GameDate], "&lt;=" &amp; $A172, Table2[AwayTeam], Z$1)+SUMIFS(Table2[NewPointsHome],Table2[GameDate], "&lt;=" &amp; $A172, Table2[HomeTeam], Z$1)</f>
        <v>0</v>
      </c>
      <c r="AA172" s="145">
        <f>SUMIFS(Table2[NewPointsAway],Table2[GameDate], "&lt;=" &amp; $A172, Table2[AwayTeam], AA$1)+SUMIFS(Table2[NewPointsHome],Table2[GameDate], "&lt;=" &amp; $A172, Table2[HomeTeam], AA$1)</f>
        <v>0</v>
      </c>
      <c r="AB172" s="145">
        <f>SUMIFS(Table2[NewPointsAway],Table2[GameDate], "&lt;=" &amp; $A172, Table2[AwayTeam], AB$1)+SUMIFS(Table2[NewPointsHome],Table2[GameDate], "&lt;=" &amp; $A172, Table2[HomeTeam], AB$1)</f>
        <v>2</v>
      </c>
      <c r="AC172" s="145">
        <f>SUMIFS(Table2[NewPointsAway],Table2[GameDate], "&lt;=" &amp; $A172, Table2[AwayTeam], AC$1)+SUMIFS(Table2[NewPointsHome],Table2[GameDate], "&lt;=" &amp; $A172, Table2[HomeTeam], AC$1)</f>
        <v>0</v>
      </c>
      <c r="AD172" s="145">
        <f>SUMIFS(Table2[NewPointsAway],Table2[GameDate], "&lt;=" &amp; $A172, Table2[AwayTeam], AD$1)+SUMIFS(Table2[NewPointsHome],Table2[GameDate], "&lt;=" &amp; $A172, Table2[HomeTeam], AD$1)</f>
        <v>0</v>
      </c>
      <c r="AE172" s="145">
        <f>SUMIFS(Table2[NewPointsAway],Table2[GameDate], "&lt;=" &amp; $A172, Table2[AwayTeam], AE$1)+SUMIFS(Table2[NewPointsHome],Table2[GameDate], "&lt;=" &amp; $A172, Table2[HomeTeam], AE$1)</f>
        <v>1</v>
      </c>
      <c r="AF172" s="145">
        <f>SUMIFS(Table2[NewPointsAway],Table2[GameDate], "&lt;=" &amp; $A172, Table2[AwayTeam], AF$1)+SUMIFS(Table2[NewPointsHome],Table2[GameDate], "&lt;=" &amp; $A172, Table2[HomeTeam], AF$1)</f>
        <v>0</v>
      </c>
      <c r="AG172" s="145">
        <f>SUMIFS(Table2[NewPointsAway],Table2[GameDate], "&lt;=" &amp; $A172, Table2[AwayTeam], AG$1)+SUMIFS(Table2[NewPointsHome],Table2[GameDate], "&lt;=" &amp; $A172, Table2[HomeTeam], AG$1)</f>
        <v>0</v>
      </c>
    </row>
    <row r="173" spans="1:33" x14ac:dyDescent="0.25">
      <c r="A173" s="3">
        <v>46104</v>
      </c>
      <c r="B173" s="145">
        <f>SUMIFS(Table2[NewPointsAway],Table2[GameDate], "&lt;=" &amp; $A173, Table2[AwayTeam], B$1)+SUMIFS(Table2[NewPointsHome],Table2[GameDate], "&lt;=" &amp; $A173, Table2[HomeTeam], B$1)</f>
        <v>0</v>
      </c>
      <c r="C173" s="145">
        <f>SUMIFS(Table2[NewPointsAway],Table2[GameDate], "&lt;=" &amp; $A173, Table2[AwayTeam], C$1)+SUMIFS(Table2[NewPointsHome],Table2[GameDate], "&lt;=" &amp; $A173, Table2[HomeTeam], C$1)</f>
        <v>2</v>
      </c>
      <c r="D173" s="145">
        <f>SUMIFS(Table2[NewPointsAway],Table2[GameDate], "&lt;=" &amp; $A173, Table2[AwayTeam], D$1)+SUMIFS(Table2[NewPointsHome],Table2[GameDate], "&lt;=" &amp; $A173, Table2[HomeTeam], D$1)</f>
        <v>0</v>
      </c>
      <c r="E173" s="145">
        <f>SUMIFS(Table2[NewPointsAway],Table2[GameDate], "&lt;=" &amp; $A173, Table2[AwayTeam], E$1)+SUMIFS(Table2[NewPointsHome],Table2[GameDate], "&lt;=" &amp; $A173, Table2[HomeTeam], E$1)</f>
        <v>0</v>
      </c>
      <c r="F173" s="145">
        <f>SUMIFS(Table2[NewPointsAway],Table2[GameDate], "&lt;=" &amp; $A173, Table2[AwayTeam], F$1)+SUMIFS(Table2[NewPointsHome],Table2[GameDate], "&lt;=" &amp; $A173, Table2[HomeTeam], F$1)</f>
        <v>0</v>
      </c>
      <c r="G173" s="145">
        <f>SUMIFS(Table2[NewPointsAway],Table2[GameDate], "&lt;=" &amp; $A173, Table2[AwayTeam], G$1)+SUMIFS(Table2[NewPointsHome],Table2[GameDate], "&lt;=" &amp; $A173, Table2[HomeTeam], G$1)</f>
        <v>2</v>
      </c>
      <c r="H173" s="145">
        <f>SUMIFS(Table2[NewPointsAway],Table2[GameDate], "&lt;=" &amp; $A173, Table2[AwayTeam], H$1)+SUMIFS(Table2[NewPointsHome],Table2[GameDate], "&lt;=" &amp; $A173, Table2[HomeTeam], H$1)</f>
        <v>0</v>
      </c>
      <c r="I173" s="145">
        <f>SUMIFS(Table2[NewPointsAway],Table2[GameDate], "&lt;=" &amp; $A173, Table2[AwayTeam], I$1)+SUMIFS(Table2[NewPointsHome],Table2[GameDate], "&lt;=" &amp; $A173, Table2[HomeTeam], I$1)</f>
        <v>2</v>
      </c>
      <c r="J173" s="145">
        <f>SUMIFS(Table2[NewPointsAway],Table2[GameDate], "&lt;=" &amp; $A173, Table2[AwayTeam], J$1)+SUMIFS(Table2[NewPointsHome],Table2[GameDate], "&lt;=" &amp; $A173, Table2[HomeTeam], J$1)</f>
        <v>0</v>
      </c>
      <c r="K173" s="145">
        <f>SUMIFS(Table2[NewPointsAway],Table2[GameDate], "&lt;=" &amp; $A173, Table2[AwayTeam], K$1)+SUMIFS(Table2[NewPointsHome],Table2[GameDate], "&lt;=" &amp; $A173, Table2[HomeTeam], K$1)</f>
        <v>0</v>
      </c>
      <c r="L173" s="145">
        <f>SUMIFS(Table2[NewPointsAway],Table2[GameDate], "&lt;=" &amp; $A173, Table2[AwayTeam], L$1)+SUMIFS(Table2[NewPointsHome],Table2[GameDate], "&lt;=" &amp; $A173, Table2[HomeTeam], L$1)</f>
        <v>1</v>
      </c>
      <c r="M173" s="145">
        <f>SUMIFS(Table2[NewPointsAway],Table2[GameDate], "&lt;=" &amp; $A173, Table2[AwayTeam], M$1)+SUMIFS(Table2[NewPointsHome],Table2[GameDate], "&lt;=" &amp; $A173, Table2[HomeTeam], M$1)</f>
        <v>2</v>
      </c>
      <c r="N173" s="145">
        <f>SUMIFS(Table2[NewPointsAway],Table2[GameDate], "&lt;=" &amp; $A173, Table2[AwayTeam], N$1)+SUMIFS(Table2[NewPointsHome],Table2[GameDate], "&lt;=" &amp; $A173, Table2[HomeTeam], N$1)</f>
        <v>2</v>
      </c>
      <c r="O173" s="145">
        <f>SUMIFS(Table2[NewPointsAway],Table2[GameDate], "&lt;=" &amp; $A173, Table2[AwayTeam], O$1)+SUMIFS(Table2[NewPointsHome],Table2[GameDate], "&lt;=" &amp; $A173, Table2[HomeTeam], O$1)</f>
        <v>0</v>
      </c>
      <c r="P173" s="145">
        <f>SUMIFS(Table2[NewPointsAway],Table2[GameDate], "&lt;=" &amp; $A173, Table2[AwayTeam], P$1)+SUMIFS(Table2[NewPointsHome],Table2[GameDate], "&lt;=" &amp; $A173, Table2[HomeTeam], P$1)</f>
        <v>0</v>
      </c>
      <c r="Q173" s="145">
        <f>SUMIFS(Table2[NewPointsAway],Table2[GameDate], "&lt;=" &amp; $A173, Table2[AwayTeam], Q$1)+SUMIFS(Table2[NewPointsHome],Table2[GameDate], "&lt;=" &amp; $A173, Table2[HomeTeam], Q$1)</f>
        <v>0</v>
      </c>
      <c r="R173" s="145">
        <f>SUMIFS(Table2[NewPointsAway],Table2[GameDate], "&lt;=" &amp; $A173, Table2[AwayTeam], R$1)+SUMIFS(Table2[NewPointsHome],Table2[GameDate], "&lt;=" &amp; $A173, Table2[HomeTeam], R$1)</f>
        <v>0</v>
      </c>
      <c r="S173" s="145">
        <f>SUMIFS(Table2[NewPointsAway],Table2[GameDate], "&lt;=" &amp; $A173, Table2[AwayTeam], S$1)+SUMIFS(Table2[NewPointsHome],Table2[GameDate], "&lt;=" &amp; $A173, Table2[HomeTeam], S$1)</f>
        <v>0</v>
      </c>
      <c r="T173" s="145">
        <f>SUMIFS(Table2[NewPointsAway],Table2[GameDate], "&lt;=" &amp; $A173, Table2[AwayTeam], T$1)+SUMIFS(Table2[NewPointsHome],Table2[GameDate], "&lt;=" &amp; $A173, Table2[HomeTeam], T$1)</f>
        <v>0</v>
      </c>
      <c r="U173" s="145">
        <f>SUMIFS(Table2[NewPointsAway],Table2[GameDate], "&lt;=" &amp; $A173, Table2[AwayTeam], U$1)+SUMIFS(Table2[NewPointsHome],Table2[GameDate], "&lt;=" &amp; $A173, Table2[HomeTeam], U$1)</f>
        <v>0</v>
      </c>
      <c r="V173" s="145">
        <f>SUMIFS(Table2[NewPointsAway],Table2[GameDate], "&lt;=" &amp; $A173, Table2[AwayTeam], V$1)+SUMIFS(Table2[NewPointsHome],Table2[GameDate], "&lt;=" &amp; $A173, Table2[HomeTeam], V$1)</f>
        <v>0</v>
      </c>
      <c r="W173" s="145">
        <f>SUMIFS(Table2[NewPointsAway],Table2[GameDate], "&lt;=" &amp; $A173, Table2[AwayTeam], W$1)+SUMIFS(Table2[NewPointsHome],Table2[GameDate], "&lt;=" &amp; $A173, Table2[HomeTeam], W$1)</f>
        <v>2</v>
      </c>
      <c r="X173" s="145">
        <f>SUMIFS(Table2[NewPointsAway],Table2[GameDate], "&lt;=" &amp; $A173, Table2[AwayTeam], X$1)+SUMIFS(Table2[NewPointsHome],Table2[GameDate], "&lt;=" &amp; $A173, Table2[HomeTeam], X$1)</f>
        <v>0</v>
      </c>
      <c r="Y173" s="145">
        <f>SUMIFS(Table2[NewPointsAway],Table2[GameDate], "&lt;=" &amp; $A173, Table2[AwayTeam], Y$1)+SUMIFS(Table2[NewPointsHome],Table2[GameDate], "&lt;=" &amp; $A173, Table2[HomeTeam], Y$1)</f>
        <v>0</v>
      </c>
      <c r="Z173" s="145">
        <f>SUMIFS(Table2[NewPointsAway],Table2[GameDate], "&lt;=" &amp; $A173, Table2[AwayTeam], Z$1)+SUMIFS(Table2[NewPointsHome],Table2[GameDate], "&lt;=" &amp; $A173, Table2[HomeTeam], Z$1)</f>
        <v>0</v>
      </c>
      <c r="AA173" s="145">
        <f>SUMIFS(Table2[NewPointsAway],Table2[GameDate], "&lt;=" &amp; $A173, Table2[AwayTeam], AA$1)+SUMIFS(Table2[NewPointsHome],Table2[GameDate], "&lt;=" &amp; $A173, Table2[HomeTeam], AA$1)</f>
        <v>0</v>
      </c>
      <c r="AB173" s="145">
        <f>SUMIFS(Table2[NewPointsAway],Table2[GameDate], "&lt;=" &amp; $A173, Table2[AwayTeam], AB$1)+SUMIFS(Table2[NewPointsHome],Table2[GameDate], "&lt;=" &amp; $A173, Table2[HomeTeam], AB$1)</f>
        <v>2</v>
      </c>
      <c r="AC173" s="145">
        <f>SUMIFS(Table2[NewPointsAway],Table2[GameDate], "&lt;=" &amp; $A173, Table2[AwayTeam], AC$1)+SUMIFS(Table2[NewPointsHome],Table2[GameDate], "&lt;=" &amp; $A173, Table2[HomeTeam], AC$1)</f>
        <v>0</v>
      </c>
      <c r="AD173" s="145">
        <f>SUMIFS(Table2[NewPointsAway],Table2[GameDate], "&lt;=" &amp; $A173, Table2[AwayTeam], AD$1)+SUMIFS(Table2[NewPointsHome],Table2[GameDate], "&lt;=" &amp; $A173, Table2[HomeTeam], AD$1)</f>
        <v>0</v>
      </c>
      <c r="AE173" s="145">
        <f>SUMIFS(Table2[NewPointsAway],Table2[GameDate], "&lt;=" &amp; $A173, Table2[AwayTeam], AE$1)+SUMIFS(Table2[NewPointsHome],Table2[GameDate], "&lt;=" &amp; $A173, Table2[HomeTeam], AE$1)</f>
        <v>1</v>
      </c>
      <c r="AF173" s="145">
        <f>SUMIFS(Table2[NewPointsAway],Table2[GameDate], "&lt;=" &amp; $A173, Table2[AwayTeam], AF$1)+SUMIFS(Table2[NewPointsHome],Table2[GameDate], "&lt;=" &amp; $A173, Table2[HomeTeam], AF$1)</f>
        <v>0</v>
      </c>
      <c r="AG173" s="145">
        <f>SUMIFS(Table2[NewPointsAway],Table2[GameDate], "&lt;=" &amp; $A173, Table2[AwayTeam], AG$1)+SUMIFS(Table2[NewPointsHome],Table2[GameDate], "&lt;=" &amp; $A173, Table2[HomeTeam], AG$1)</f>
        <v>0</v>
      </c>
    </row>
    <row r="174" spans="1:33" x14ac:dyDescent="0.25">
      <c r="A174" s="3">
        <v>46105</v>
      </c>
      <c r="B174" s="145">
        <f>SUMIFS(Table2[NewPointsAway],Table2[GameDate], "&lt;=" &amp; $A174, Table2[AwayTeam], B$1)+SUMIFS(Table2[NewPointsHome],Table2[GameDate], "&lt;=" &amp; $A174, Table2[HomeTeam], B$1)</f>
        <v>0</v>
      </c>
      <c r="C174" s="145">
        <f>SUMIFS(Table2[NewPointsAway],Table2[GameDate], "&lt;=" &amp; $A174, Table2[AwayTeam], C$1)+SUMIFS(Table2[NewPointsHome],Table2[GameDate], "&lt;=" &amp; $A174, Table2[HomeTeam], C$1)</f>
        <v>2</v>
      </c>
      <c r="D174" s="145">
        <f>SUMIFS(Table2[NewPointsAway],Table2[GameDate], "&lt;=" &amp; $A174, Table2[AwayTeam], D$1)+SUMIFS(Table2[NewPointsHome],Table2[GameDate], "&lt;=" &amp; $A174, Table2[HomeTeam], D$1)</f>
        <v>0</v>
      </c>
      <c r="E174" s="145">
        <f>SUMIFS(Table2[NewPointsAway],Table2[GameDate], "&lt;=" &amp; $A174, Table2[AwayTeam], E$1)+SUMIFS(Table2[NewPointsHome],Table2[GameDate], "&lt;=" &amp; $A174, Table2[HomeTeam], E$1)</f>
        <v>0</v>
      </c>
      <c r="F174" s="145">
        <f>SUMIFS(Table2[NewPointsAway],Table2[GameDate], "&lt;=" &amp; $A174, Table2[AwayTeam], F$1)+SUMIFS(Table2[NewPointsHome],Table2[GameDate], "&lt;=" &amp; $A174, Table2[HomeTeam], F$1)</f>
        <v>0</v>
      </c>
      <c r="G174" s="145">
        <f>SUMIFS(Table2[NewPointsAway],Table2[GameDate], "&lt;=" &amp; $A174, Table2[AwayTeam], G$1)+SUMIFS(Table2[NewPointsHome],Table2[GameDate], "&lt;=" &amp; $A174, Table2[HomeTeam], G$1)</f>
        <v>2</v>
      </c>
      <c r="H174" s="145">
        <f>SUMIFS(Table2[NewPointsAway],Table2[GameDate], "&lt;=" &amp; $A174, Table2[AwayTeam], H$1)+SUMIFS(Table2[NewPointsHome],Table2[GameDate], "&lt;=" &amp; $A174, Table2[HomeTeam], H$1)</f>
        <v>0</v>
      </c>
      <c r="I174" s="145">
        <f>SUMIFS(Table2[NewPointsAway],Table2[GameDate], "&lt;=" &amp; $A174, Table2[AwayTeam], I$1)+SUMIFS(Table2[NewPointsHome],Table2[GameDate], "&lt;=" &amp; $A174, Table2[HomeTeam], I$1)</f>
        <v>2</v>
      </c>
      <c r="J174" s="145">
        <f>SUMIFS(Table2[NewPointsAway],Table2[GameDate], "&lt;=" &amp; $A174, Table2[AwayTeam], J$1)+SUMIFS(Table2[NewPointsHome],Table2[GameDate], "&lt;=" &amp; $A174, Table2[HomeTeam], J$1)</f>
        <v>0</v>
      </c>
      <c r="K174" s="145">
        <f>SUMIFS(Table2[NewPointsAway],Table2[GameDate], "&lt;=" &amp; $A174, Table2[AwayTeam], K$1)+SUMIFS(Table2[NewPointsHome],Table2[GameDate], "&lt;=" &amp; $A174, Table2[HomeTeam], K$1)</f>
        <v>0</v>
      </c>
      <c r="L174" s="145">
        <f>SUMIFS(Table2[NewPointsAway],Table2[GameDate], "&lt;=" &amp; $A174, Table2[AwayTeam], L$1)+SUMIFS(Table2[NewPointsHome],Table2[GameDate], "&lt;=" &amp; $A174, Table2[HomeTeam], L$1)</f>
        <v>1</v>
      </c>
      <c r="M174" s="145">
        <f>SUMIFS(Table2[NewPointsAway],Table2[GameDate], "&lt;=" &amp; $A174, Table2[AwayTeam], M$1)+SUMIFS(Table2[NewPointsHome],Table2[GameDate], "&lt;=" &amp; $A174, Table2[HomeTeam], M$1)</f>
        <v>2</v>
      </c>
      <c r="N174" s="145">
        <f>SUMIFS(Table2[NewPointsAway],Table2[GameDate], "&lt;=" &amp; $A174, Table2[AwayTeam], N$1)+SUMIFS(Table2[NewPointsHome],Table2[GameDate], "&lt;=" &amp; $A174, Table2[HomeTeam], N$1)</f>
        <v>2</v>
      </c>
      <c r="O174" s="145">
        <f>SUMIFS(Table2[NewPointsAway],Table2[GameDate], "&lt;=" &amp; $A174, Table2[AwayTeam], O$1)+SUMIFS(Table2[NewPointsHome],Table2[GameDate], "&lt;=" &amp; $A174, Table2[HomeTeam], O$1)</f>
        <v>0</v>
      </c>
      <c r="P174" s="145">
        <f>SUMIFS(Table2[NewPointsAway],Table2[GameDate], "&lt;=" &amp; $A174, Table2[AwayTeam], P$1)+SUMIFS(Table2[NewPointsHome],Table2[GameDate], "&lt;=" &amp; $A174, Table2[HomeTeam], P$1)</f>
        <v>0</v>
      </c>
      <c r="Q174" s="145">
        <f>SUMIFS(Table2[NewPointsAway],Table2[GameDate], "&lt;=" &amp; $A174, Table2[AwayTeam], Q$1)+SUMIFS(Table2[NewPointsHome],Table2[GameDate], "&lt;=" &amp; $A174, Table2[HomeTeam], Q$1)</f>
        <v>0</v>
      </c>
      <c r="R174" s="145">
        <f>SUMIFS(Table2[NewPointsAway],Table2[GameDate], "&lt;=" &amp; $A174, Table2[AwayTeam], R$1)+SUMIFS(Table2[NewPointsHome],Table2[GameDate], "&lt;=" &amp; $A174, Table2[HomeTeam], R$1)</f>
        <v>0</v>
      </c>
      <c r="S174" s="145">
        <f>SUMIFS(Table2[NewPointsAway],Table2[GameDate], "&lt;=" &amp; $A174, Table2[AwayTeam], S$1)+SUMIFS(Table2[NewPointsHome],Table2[GameDate], "&lt;=" &amp; $A174, Table2[HomeTeam], S$1)</f>
        <v>0</v>
      </c>
      <c r="T174" s="145">
        <f>SUMIFS(Table2[NewPointsAway],Table2[GameDate], "&lt;=" &amp; $A174, Table2[AwayTeam], T$1)+SUMIFS(Table2[NewPointsHome],Table2[GameDate], "&lt;=" &amp; $A174, Table2[HomeTeam], T$1)</f>
        <v>0</v>
      </c>
      <c r="U174" s="145">
        <f>SUMIFS(Table2[NewPointsAway],Table2[GameDate], "&lt;=" &amp; $A174, Table2[AwayTeam], U$1)+SUMIFS(Table2[NewPointsHome],Table2[GameDate], "&lt;=" &amp; $A174, Table2[HomeTeam], U$1)</f>
        <v>0</v>
      </c>
      <c r="V174" s="145">
        <f>SUMIFS(Table2[NewPointsAway],Table2[GameDate], "&lt;=" &amp; $A174, Table2[AwayTeam], V$1)+SUMIFS(Table2[NewPointsHome],Table2[GameDate], "&lt;=" &amp; $A174, Table2[HomeTeam], V$1)</f>
        <v>0</v>
      </c>
      <c r="W174" s="145">
        <f>SUMIFS(Table2[NewPointsAway],Table2[GameDate], "&lt;=" &amp; $A174, Table2[AwayTeam], W$1)+SUMIFS(Table2[NewPointsHome],Table2[GameDate], "&lt;=" &amp; $A174, Table2[HomeTeam], W$1)</f>
        <v>2</v>
      </c>
      <c r="X174" s="145">
        <f>SUMIFS(Table2[NewPointsAway],Table2[GameDate], "&lt;=" &amp; $A174, Table2[AwayTeam], X$1)+SUMIFS(Table2[NewPointsHome],Table2[GameDate], "&lt;=" &amp; $A174, Table2[HomeTeam], X$1)</f>
        <v>0</v>
      </c>
      <c r="Y174" s="145">
        <f>SUMIFS(Table2[NewPointsAway],Table2[GameDate], "&lt;=" &amp; $A174, Table2[AwayTeam], Y$1)+SUMIFS(Table2[NewPointsHome],Table2[GameDate], "&lt;=" &amp; $A174, Table2[HomeTeam], Y$1)</f>
        <v>0</v>
      </c>
      <c r="Z174" s="145">
        <f>SUMIFS(Table2[NewPointsAway],Table2[GameDate], "&lt;=" &amp; $A174, Table2[AwayTeam], Z$1)+SUMIFS(Table2[NewPointsHome],Table2[GameDate], "&lt;=" &amp; $A174, Table2[HomeTeam], Z$1)</f>
        <v>0</v>
      </c>
      <c r="AA174" s="145">
        <f>SUMIFS(Table2[NewPointsAway],Table2[GameDate], "&lt;=" &amp; $A174, Table2[AwayTeam], AA$1)+SUMIFS(Table2[NewPointsHome],Table2[GameDate], "&lt;=" &amp; $A174, Table2[HomeTeam], AA$1)</f>
        <v>0</v>
      </c>
      <c r="AB174" s="145">
        <f>SUMIFS(Table2[NewPointsAway],Table2[GameDate], "&lt;=" &amp; $A174, Table2[AwayTeam], AB$1)+SUMIFS(Table2[NewPointsHome],Table2[GameDate], "&lt;=" &amp; $A174, Table2[HomeTeam], AB$1)</f>
        <v>2</v>
      </c>
      <c r="AC174" s="145">
        <f>SUMIFS(Table2[NewPointsAway],Table2[GameDate], "&lt;=" &amp; $A174, Table2[AwayTeam], AC$1)+SUMIFS(Table2[NewPointsHome],Table2[GameDate], "&lt;=" &amp; $A174, Table2[HomeTeam], AC$1)</f>
        <v>0</v>
      </c>
      <c r="AD174" s="145">
        <f>SUMIFS(Table2[NewPointsAway],Table2[GameDate], "&lt;=" &amp; $A174, Table2[AwayTeam], AD$1)+SUMIFS(Table2[NewPointsHome],Table2[GameDate], "&lt;=" &amp; $A174, Table2[HomeTeam], AD$1)</f>
        <v>0</v>
      </c>
      <c r="AE174" s="145">
        <f>SUMIFS(Table2[NewPointsAway],Table2[GameDate], "&lt;=" &amp; $A174, Table2[AwayTeam], AE$1)+SUMIFS(Table2[NewPointsHome],Table2[GameDate], "&lt;=" &amp; $A174, Table2[HomeTeam], AE$1)</f>
        <v>1</v>
      </c>
      <c r="AF174" s="145">
        <f>SUMIFS(Table2[NewPointsAway],Table2[GameDate], "&lt;=" &amp; $A174, Table2[AwayTeam], AF$1)+SUMIFS(Table2[NewPointsHome],Table2[GameDate], "&lt;=" &amp; $A174, Table2[HomeTeam], AF$1)</f>
        <v>0</v>
      </c>
      <c r="AG174" s="145">
        <f>SUMIFS(Table2[NewPointsAway],Table2[GameDate], "&lt;=" &amp; $A174, Table2[AwayTeam], AG$1)+SUMIFS(Table2[NewPointsHome],Table2[GameDate], "&lt;=" &amp; $A174, Table2[HomeTeam], AG$1)</f>
        <v>0</v>
      </c>
    </row>
    <row r="175" spans="1:33" x14ac:dyDescent="0.25">
      <c r="A175" s="3">
        <v>46106</v>
      </c>
      <c r="B175" s="145">
        <f>SUMIFS(Table2[NewPointsAway],Table2[GameDate], "&lt;=" &amp; $A175, Table2[AwayTeam], B$1)+SUMIFS(Table2[NewPointsHome],Table2[GameDate], "&lt;=" &amp; $A175, Table2[HomeTeam], B$1)</f>
        <v>0</v>
      </c>
      <c r="C175" s="145">
        <f>SUMIFS(Table2[NewPointsAway],Table2[GameDate], "&lt;=" &amp; $A175, Table2[AwayTeam], C$1)+SUMIFS(Table2[NewPointsHome],Table2[GameDate], "&lt;=" &amp; $A175, Table2[HomeTeam], C$1)</f>
        <v>2</v>
      </c>
      <c r="D175" s="145">
        <f>SUMIFS(Table2[NewPointsAway],Table2[GameDate], "&lt;=" &amp; $A175, Table2[AwayTeam], D$1)+SUMIFS(Table2[NewPointsHome],Table2[GameDate], "&lt;=" &amp; $A175, Table2[HomeTeam], D$1)</f>
        <v>0</v>
      </c>
      <c r="E175" s="145">
        <f>SUMIFS(Table2[NewPointsAway],Table2[GameDate], "&lt;=" &amp; $A175, Table2[AwayTeam], E$1)+SUMIFS(Table2[NewPointsHome],Table2[GameDate], "&lt;=" &amp; $A175, Table2[HomeTeam], E$1)</f>
        <v>0</v>
      </c>
      <c r="F175" s="145">
        <f>SUMIFS(Table2[NewPointsAway],Table2[GameDate], "&lt;=" &amp; $A175, Table2[AwayTeam], F$1)+SUMIFS(Table2[NewPointsHome],Table2[GameDate], "&lt;=" &amp; $A175, Table2[HomeTeam], F$1)</f>
        <v>0</v>
      </c>
      <c r="G175" s="145">
        <f>SUMIFS(Table2[NewPointsAway],Table2[GameDate], "&lt;=" &amp; $A175, Table2[AwayTeam], G$1)+SUMIFS(Table2[NewPointsHome],Table2[GameDate], "&lt;=" &amp; $A175, Table2[HomeTeam], G$1)</f>
        <v>2</v>
      </c>
      <c r="H175" s="145">
        <f>SUMIFS(Table2[NewPointsAway],Table2[GameDate], "&lt;=" &amp; $A175, Table2[AwayTeam], H$1)+SUMIFS(Table2[NewPointsHome],Table2[GameDate], "&lt;=" &amp; $A175, Table2[HomeTeam], H$1)</f>
        <v>0</v>
      </c>
      <c r="I175" s="145">
        <f>SUMIFS(Table2[NewPointsAway],Table2[GameDate], "&lt;=" &amp; $A175, Table2[AwayTeam], I$1)+SUMIFS(Table2[NewPointsHome],Table2[GameDate], "&lt;=" &amp; $A175, Table2[HomeTeam], I$1)</f>
        <v>2</v>
      </c>
      <c r="J175" s="145">
        <f>SUMIFS(Table2[NewPointsAway],Table2[GameDate], "&lt;=" &amp; $A175, Table2[AwayTeam], J$1)+SUMIFS(Table2[NewPointsHome],Table2[GameDate], "&lt;=" &amp; $A175, Table2[HomeTeam], J$1)</f>
        <v>0</v>
      </c>
      <c r="K175" s="145">
        <f>SUMIFS(Table2[NewPointsAway],Table2[GameDate], "&lt;=" &amp; $A175, Table2[AwayTeam], K$1)+SUMIFS(Table2[NewPointsHome],Table2[GameDate], "&lt;=" &amp; $A175, Table2[HomeTeam], K$1)</f>
        <v>0</v>
      </c>
      <c r="L175" s="145">
        <f>SUMIFS(Table2[NewPointsAway],Table2[GameDate], "&lt;=" &amp; $A175, Table2[AwayTeam], L$1)+SUMIFS(Table2[NewPointsHome],Table2[GameDate], "&lt;=" &amp; $A175, Table2[HomeTeam], L$1)</f>
        <v>1</v>
      </c>
      <c r="M175" s="145">
        <f>SUMIFS(Table2[NewPointsAway],Table2[GameDate], "&lt;=" &amp; $A175, Table2[AwayTeam], M$1)+SUMIFS(Table2[NewPointsHome],Table2[GameDate], "&lt;=" &amp; $A175, Table2[HomeTeam], M$1)</f>
        <v>2</v>
      </c>
      <c r="N175" s="145">
        <f>SUMIFS(Table2[NewPointsAway],Table2[GameDate], "&lt;=" &amp; $A175, Table2[AwayTeam], N$1)+SUMIFS(Table2[NewPointsHome],Table2[GameDate], "&lt;=" &amp; $A175, Table2[HomeTeam], N$1)</f>
        <v>2</v>
      </c>
      <c r="O175" s="145">
        <f>SUMIFS(Table2[NewPointsAway],Table2[GameDate], "&lt;=" &amp; $A175, Table2[AwayTeam], O$1)+SUMIFS(Table2[NewPointsHome],Table2[GameDate], "&lt;=" &amp; $A175, Table2[HomeTeam], O$1)</f>
        <v>0</v>
      </c>
      <c r="P175" s="145">
        <f>SUMIFS(Table2[NewPointsAway],Table2[GameDate], "&lt;=" &amp; $A175, Table2[AwayTeam], P$1)+SUMIFS(Table2[NewPointsHome],Table2[GameDate], "&lt;=" &amp; $A175, Table2[HomeTeam], P$1)</f>
        <v>0</v>
      </c>
      <c r="Q175" s="145">
        <f>SUMIFS(Table2[NewPointsAway],Table2[GameDate], "&lt;=" &amp; $A175, Table2[AwayTeam], Q$1)+SUMIFS(Table2[NewPointsHome],Table2[GameDate], "&lt;=" &amp; $A175, Table2[HomeTeam], Q$1)</f>
        <v>0</v>
      </c>
      <c r="R175" s="145">
        <f>SUMIFS(Table2[NewPointsAway],Table2[GameDate], "&lt;=" &amp; $A175, Table2[AwayTeam], R$1)+SUMIFS(Table2[NewPointsHome],Table2[GameDate], "&lt;=" &amp; $A175, Table2[HomeTeam], R$1)</f>
        <v>0</v>
      </c>
      <c r="S175" s="145">
        <f>SUMIFS(Table2[NewPointsAway],Table2[GameDate], "&lt;=" &amp; $A175, Table2[AwayTeam], S$1)+SUMIFS(Table2[NewPointsHome],Table2[GameDate], "&lt;=" &amp; $A175, Table2[HomeTeam], S$1)</f>
        <v>0</v>
      </c>
      <c r="T175" s="145">
        <f>SUMIFS(Table2[NewPointsAway],Table2[GameDate], "&lt;=" &amp; $A175, Table2[AwayTeam], T$1)+SUMIFS(Table2[NewPointsHome],Table2[GameDate], "&lt;=" &amp; $A175, Table2[HomeTeam], T$1)</f>
        <v>0</v>
      </c>
      <c r="U175" s="145">
        <f>SUMIFS(Table2[NewPointsAway],Table2[GameDate], "&lt;=" &amp; $A175, Table2[AwayTeam], U$1)+SUMIFS(Table2[NewPointsHome],Table2[GameDate], "&lt;=" &amp; $A175, Table2[HomeTeam], U$1)</f>
        <v>0</v>
      </c>
      <c r="V175" s="145">
        <f>SUMIFS(Table2[NewPointsAway],Table2[GameDate], "&lt;=" &amp; $A175, Table2[AwayTeam], V$1)+SUMIFS(Table2[NewPointsHome],Table2[GameDate], "&lt;=" &amp; $A175, Table2[HomeTeam], V$1)</f>
        <v>0</v>
      </c>
      <c r="W175" s="145">
        <f>SUMIFS(Table2[NewPointsAway],Table2[GameDate], "&lt;=" &amp; $A175, Table2[AwayTeam], W$1)+SUMIFS(Table2[NewPointsHome],Table2[GameDate], "&lt;=" &amp; $A175, Table2[HomeTeam], W$1)</f>
        <v>2</v>
      </c>
      <c r="X175" s="145">
        <f>SUMIFS(Table2[NewPointsAway],Table2[GameDate], "&lt;=" &amp; $A175, Table2[AwayTeam], X$1)+SUMIFS(Table2[NewPointsHome],Table2[GameDate], "&lt;=" &amp; $A175, Table2[HomeTeam], X$1)</f>
        <v>0</v>
      </c>
      <c r="Y175" s="145">
        <f>SUMIFS(Table2[NewPointsAway],Table2[GameDate], "&lt;=" &amp; $A175, Table2[AwayTeam], Y$1)+SUMIFS(Table2[NewPointsHome],Table2[GameDate], "&lt;=" &amp; $A175, Table2[HomeTeam], Y$1)</f>
        <v>0</v>
      </c>
      <c r="Z175" s="145">
        <f>SUMIFS(Table2[NewPointsAway],Table2[GameDate], "&lt;=" &amp; $A175, Table2[AwayTeam], Z$1)+SUMIFS(Table2[NewPointsHome],Table2[GameDate], "&lt;=" &amp; $A175, Table2[HomeTeam], Z$1)</f>
        <v>0</v>
      </c>
      <c r="AA175" s="145">
        <f>SUMIFS(Table2[NewPointsAway],Table2[GameDate], "&lt;=" &amp; $A175, Table2[AwayTeam], AA$1)+SUMIFS(Table2[NewPointsHome],Table2[GameDate], "&lt;=" &amp; $A175, Table2[HomeTeam], AA$1)</f>
        <v>0</v>
      </c>
      <c r="AB175" s="145">
        <f>SUMIFS(Table2[NewPointsAway],Table2[GameDate], "&lt;=" &amp; $A175, Table2[AwayTeam], AB$1)+SUMIFS(Table2[NewPointsHome],Table2[GameDate], "&lt;=" &amp; $A175, Table2[HomeTeam], AB$1)</f>
        <v>2</v>
      </c>
      <c r="AC175" s="145">
        <f>SUMIFS(Table2[NewPointsAway],Table2[GameDate], "&lt;=" &amp; $A175, Table2[AwayTeam], AC$1)+SUMIFS(Table2[NewPointsHome],Table2[GameDate], "&lt;=" &amp; $A175, Table2[HomeTeam], AC$1)</f>
        <v>0</v>
      </c>
      <c r="AD175" s="145">
        <f>SUMIFS(Table2[NewPointsAway],Table2[GameDate], "&lt;=" &amp; $A175, Table2[AwayTeam], AD$1)+SUMIFS(Table2[NewPointsHome],Table2[GameDate], "&lt;=" &amp; $A175, Table2[HomeTeam], AD$1)</f>
        <v>0</v>
      </c>
      <c r="AE175" s="145">
        <f>SUMIFS(Table2[NewPointsAway],Table2[GameDate], "&lt;=" &amp; $A175, Table2[AwayTeam], AE$1)+SUMIFS(Table2[NewPointsHome],Table2[GameDate], "&lt;=" &amp; $A175, Table2[HomeTeam], AE$1)</f>
        <v>1</v>
      </c>
      <c r="AF175" s="145">
        <f>SUMIFS(Table2[NewPointsAway],Table2[GameDate], "&lt;=" &amp; $A175, Table2[AwayTeam], AF$1)+SUMIFS(Table2[NewPointsHome],Table2[GameDate], "&lt;=" &amp; $A175, Table2[HomeTeam], AF$1)</f>
        <v>0</v>
      </c>
      <c r="AG175" s="145">
        <f>SUMIFS(Table2[NewPointsAway],Table2[GameDate], "&lt;=" &amp; $A175, Table2[AwayTeam], AG$1)+SUMIFS(Table2[NewPointsHome],Table2[GameDate], "&lt;=" &amp; $A175, Table2[HomeTeam], AG$1)</f>
        <v>0</v>
      </c>
    </row>
    <row r="176" spans="1:33" x14ac:dyDescent="0.25">
      <c r="A176" s="3">
        <v>46107</v>
      </c>
      <c r="B176" s="145">
        <f>SUMIFS(Table2[NewPointsAway],Table2[GameDate], "&lt;=" &amp; $A176, Table2[AwayTeam], B$1)+SUMIFS(Table2[NewPointsHome],Table2[GameDate], "&lt;=" &amp; $A176, Table2[HomeTeam], B$1)</f>
        <v>0</v>
      </c>
      <c r="C176" s="145">
        <f>SUMIFS(Table2[NewPointsAway],Table2[GameDate], "&lt;=" &amp; $A176, Table2[AwayTeam], C$1)+SUMIFS(Table2[NewPointsHome],Table2[GameDate], "&lt;=" &amp; $A176, Table2[HomeTeam], C$1)</f>
        <v>2</v>
      </c>
      <c r="D176" s="145">
        <f>SUMIFS(Table2[NewPointsAway],Table2[GameDate], "&lt;=" &amp; $A176, Table2[AwayTeam], D$1)+SUMIFS(Table2[NewPointsHome],Table2[GameDate], "&lt;=" &amp; $A176, Table2[HomeTeam], D$1)</f>
        <v>0</v>
      </c>
      <c r="E176" s="145">
        <f>SUMIFS(Table2[NewPointsAway],Table2[GameDate], "&lt;=" &amp; $A176, Table2[AwayTeam], E$1)+SUMIFS(Table2[NewPointsHome],Table2[GameDate], "&lt;=" &amp; $A176, Table2[HomeTeam], E$1)</f>
        <v>0</v>
      </c>
      <c r="F176" s="145">
        <f>SUMIFS(Table2[NewPointsAway],Table2[GameDate], "&lt;=" &amp; $A176, Table2[AwayTeam], F$1)+SUMIFS(Table2[NewPointsHome],Table2[GameDate], "&lt;=" &amp; $A176, Table2[HomeTeam], F$1)</f>
        <v>0</v>
      </c>
      <c r="G176" s="145">
        <f>SUMIFS(Table2[NewPointsAway],Table2[GameDate], "&lt;=" &amp; $A176, Table2[AwayTeam], G$1)+SUMIFS(Table2[NewPointsHome],Table2[GameDate], "&lt;=" &amp; $A176, Table2[HomeTeam], G$1)</f>
        <v>2</v>
      </c>
      <c r="H176" s="145">
        <f>SUMIFS(Table2[NewPointsAway],Table2[GameDate], "&lt;=" &amp; $A176, Table2[AwayTeam], H$1)+SUMIFS(Table2[NewPointsHome],Table2[GameDate], "&lt;=" &amp; $A176, Table2[HomeTeam], H$1)</f>
        <v>0</v>
      </c>
      <c r="I176" s="145">
        <f>SUMIFS(Table2[NewPointsAway],Table2[GameDate], "&lt;=" &amp; $A176, Table2[AwayTeam], I$1)+SUMIFS(Table2[NewPointsHome],Table2[GameDate], "&lt;=" &amp; $A176, Table2[HomeTeam], I$1)</f>
        <v>2</v>
      </c>
      <c r="J176" s="145">
        <f>SUMIFS(Table2[NewPointsAway],Table2[GameDate], "&lt;=" &amp; $A176, Table2[AwayTeam], J$1)+SUMIFS(Table2[NewPointsHome],Table2[GameDate], "&lt;=" &amp; $A176, Table2[HomeTeam], J$1)</f>
        <v>0</v>
      </c>
      <c r="K176" s="145">
        <f>SUMIFS(Table2[NewPointsAway],Table2[GameDate], "&lt;=" &amp; $A176, Table2[AwayTeam], K$1)+SUMIFS(Table2[NewPointsHome],Table2[GameDate], "&lt;=" &amp; $A176, Table2[HomeTeam], K$1)</f>
        <v>0</v>
      </c>
      <c r="L176" s="145">
        <f>SUMIFS(Table2[NewPointsAway],Table2[GameDate], "&lt;=" &amp; $A176, Table2[AwayTeam], L$1)+SUMIFS(Table2[NewPointsHome],Table2[GameDate], "&lt;=" &amp; $A176, Table2[HomeTeam], L$1)</f>
        <v>1</v>
      </c>
      <c r="M176" s="145">
        <f>SUMIFS(Table2[NewPointsAway],Table2[GameDate], "&lt;=" &amp; $A176, Table2[AwayTeam], M$1)+SUMIFS(Table2[NewPointsHome],Table2[GameDate], "&lt;=" &amp; $A176, Table2[HomeTeam], M$1)</f>
        <v>2</v>
      </c>
      <c r="N176" s="145">
        <f>SUMIFS(Table2[NewPointsAway],Table2[GameDate], "&lt;=" &amp; $A176, Table2[AwayTeam], N$1)+SUMIFS(Table2[NewPointsHome],Table2[GameDate], "&lt;=" &amp; $A176, Table2[HomeTeam], N$1)</f>
        <v>2</v>
      </c>
      <c r="O176" s="145">
        <f>SUMIFS(Table2[NewPointsAway],Table2[GameDate], "&lt;=" &amp; $A176, Table2[AwayTeam], O$1)+SUMIFS(Table2[NewPointsHome],Table2[GameDate], "&lt;=" &amp; $A176, Table2[HomeTeam], O$1)</f>
        <v>0</v>
      </c>
      <c r="P176" s="145">
        <f>SUMIFS(Table2[NewPointsAway],Table2[GameDate], "&lt;=" &amp; $A176, Table2[AwayTeam], P$1)+SUMIFS(Table2[NewPointsHome],Table2[GameDate], "&lt;=" &amp; $A176, Table2[HomeTeam], P$1)</f>
        <v>0</v>
      </c>
      <c r="Q176" s="145">
        <f>SUMIFS(Table2[NewPointsAway],Table2[GameDate], "&lt;=" &amp; $A176, Table2[AwayTeam], Q$1)+SUMIFS(Table2[NewPointsHome],Table2[GameDate], "&lt;=" &amp; $A176, Table2[HomeTeam], Q$1)</f>
        <v>0</v>
      </c>
      <c r="R176" s="145">
        <f>SUMIFS(Table2[NewPointsAway],Table2[GameDate], "&lt;=" &amp; $A176, Table2[AwayTeam], R$1)+SUMIFS(Table2[NewPointsHome],Table2[GameDate], "&lt;=" &amp; $A176, Table2[HomeTeam], R$1)</f>
        <v>0</v>
      </c>
      <c r="S176" s="145">
        <f>SUMIFS(Table2[NewPointsAway],Table2[GameDate], "&lt;=" &amp; $A176, Table2[AwayTeam], S$1)+SUMIFS(Table2[NewPointsHome],Table2[GameDate], "&lt;=" &amp; $A176, Table2[HomeTeam], S$1)</f>
        <v>0</v>
      </c>
      <c r="T176" s="145">
        <f>SUMIFS(Table2[NewPointsAway],Table2[GameDate], "&lt;=" &amp; $A176, Table2[AwayTeam], T$1)+SUMIFS(Table2[NewPointsHome],Table2[GameDate], "&lt;=" &amp; $A176, Table2[HomeTeam], T$1)</f>
        <v>0</v>
      </c>
      <c r="U176" s="145">
        <f>SUMIFS(Table2[NewPointsAway],Table2[GameDate], "&lt;=" &amp; $A176, Table2[AwayTeam], U$1)+SUMIFS(Table2[NewPointsHome],Table2[GameDate], "&lt;=" &amp; $A176, Table2[HomeTeam], U$1)</f>
        <v>0</v>
      </c>
      <c r="V176" s="145">
        <f>SUMIFS(Table2[NewPointsAway],Table2[GameDate], "&lt;=" &amp; $A176, Table2[AwayTeam], V$1)+SUMIFS(Table2[NewPointsHome],Table2[GameDate], "&lt;=" &amp; $A176, Table2[HomeTeam], V$1)</f>
        <v>0</v>
      </c>
      <c r="W176" s="145">
        <f>SUMIFS(Table2[NewPointsAway],Table2[GameDate], "&lt;=" &amp; $A176, Table2[AwayTeam], W$1)+SUMIFS(Table2[NewPointsHome],Table2[GameDate], "&lt;=" &amp; $A176, Table2[HomeTeam], W$1)</f>
        <v>2</v>
      </c>
      <c r="X176" s="145">
        <f>SUMIFS(Table2[NewPointsAway],Table2[GameDate], "&lt;=" &amp; $A176, Table2[AwayTeam], X$1)+SUMIFS(Table2[NewPointsHome],Table2[GameDate], "&lt;=" &amp; $A176, Table2[HomeTeam], X$1)</f>
        <v>0</v>
      </c>
      <c r="Y176" s="145">
        <f>SUMIFS(Table2[NewPointsAway],Table2[GameDate], "&lt;=" &amp; $A176, Table2[AwayTeam], Y$1)+SUMIFS(Table2[NewPointsHome],Table2[GameDate], "&lt;=" &amp; $A176, Table2[HomeTeam], Y$1)</f>
        <v>0</v>
      </c>
      <c r="Z176" s="145">
        <f>SUMIFS(Table2[NewPointsAway],Table2[GameDate], "&lt;=" &amp; $A176, Table2[AwayTeam], Z$1)+SUMIFS(Table2[NewPointsHome],Table2[GameDate], "&lt;=" &amp; $A176, Table2[HomeTeam], Z$1)</f>
        <v>0</v>
      </c>
      <c r="AA176" s="145">
        <f>SUMIFS(Table2[NewPointsAway],Table2[GameDate], "&lt;=" &amp; $A176, Table2[AwayTeam], AA$1)+SUMIFS(Table2[NewPointsHome],Table2[GameDate], "&lt;=" &amp; $A176, Table2[HomeTeam], AA$1)</f>
        <v>0</v>
      </c>
      <c r="AB176" s="145">
        <f>SUMIFS(Table2[NewPointsAway],Table2[GameDate], "&lt;=" &amp; $A176, Table2[AwayTeam], AB$1)+SUMIFS(Table2[NewPointsHome],Table2[GameDate], "&lt;=" &amp; $A176, Table2[HomeTeam], AB$1)</f>
        <v>2</v>
      </c>
      <c r="AC176" s="145">
        <f>SUMIFS(Table2[NewPointsAway],Table2[GameDate], "&lt;=" &amp; $A176, Table2[AwayTeam], AC$1)+SUMIFS(Table2[NewPointsHome],Table2[GameDate], "&lt;=" &amp; $A176, Table2[HomeTeam], AC$1)</f>
        <v>0</v>
      </c>
      <c r="AD176" s="145">
        <f>SUMIFS(Table2[NewPointsAway],Table2[GameDate], "&lt;=" &amp; $A176, Table2[AwayTeam], AD$1)+SUMIFS(Table2[NewPointsHome],Table2[GameDate], "&lt;=" &amp; $A176, Table2[HomeTeam], AD$1)</f>
        <v>0</v>
      </c>
      <c r="AE176" s="145">
        <f>SUMIFS(Table2[NewPointsAway],Table2[GameDate], "&lt;=" &amp; $A176, Table2[AwayTeam], AE$1)+SUMIFS(Table2[NewPointsHome],Table2[GameDate], "&lt;=" &amp; $A176, Table2[HomeTeam], AE$1)</f>
        <v>1</v>
      </c>
      <c r="AF176" s="145">
        <f>SUMIFS(Table2[NewPointsAway],Table2[GameDate], "&lt;=" &amp; $A176, Table2[AwayTeam], AF$1)+SUMIFS(Table2[NewPointsHome],Table2[GameDate], "&lt;=" &amp; $A176, Table2[HomeTeam], AF$1)</f>
        <v>0</v>
      </c>
      <c r="AG176" s="145">
        <f>SUMIFS(Table2[NewPointsAway],Table2[GameDate], "&lt;=" &amp; $A176, Table2[AwayTeam], AG$1)+SUMIFS(Table2[NewPointsHome],Table2[GameDate], "&lt;=" &amp; $A176, Table2[HomeTeam], AG$1)</f>
        <v>0</v>
      </c>
    </row>
    <row r="177" spans="1:33" x14ac:dyDescent="0.25">
      <c r="A177" s="3">
        <v>46108</v>
      </c>
      <c r="B177" s="145">
        <f>SUMIFS(Table2[NewPointsAway],Table2[GameDate], "&lt;=" &amp; $A177, Table2[AwayTeam], B$1)+SUMIFS(Table2[NewPointsHome],Table2[GameDate], "&lt;=" &amp; $A177, Table2[HomeTeam], B$1)</f>
        <v>0</v>
      </c>
      <c r="C177" s="145">
        <f>SUMIFS(Table2[NewPointsAway],Table2[GameDate], "&lt;=" &amp; $A177, Table2[AwayTeam], C$1)+SUMIFS(Table2[NewPointsHome],Table2[GameDate], "&lt;=" &amp; $A177, Table2[HomeTeam], C$1)</f>
        <v>2</v>
      </c>
      <c r="D177" s="145">
        <f>SUMIFS(Table2[NewPointsAway],Table2[GameDate], "&lt;=" &amp; $A177, Table2[AwayTeam], D$1)+SUMIFS(Table2[NewPointsHome],Table2[GameDate], "&lt;=" &amp; $A177, Table2[HomeTeam], D$1)</f>
        <v>0</v>
      </c>
      <c r="E177" s="145">
        <f>SUMIFS(Table2[NewPointsAway],Table2[GameDate], "&lt;=" &amp; $A177, Table2[AwayTeam], E$1)+SUMIFS(Table2[NewPointsHome],Table2[GameDate], "&lt;=" &amp; $A177, Table2[HomeTeam], E$1)</f>
        <v>0</v>
      </c>
      <c r="F177" s="145">
        <f>SUMIFS(Table2[NewPointsAway],Table2[GameDate], "&lt;=" &amp; $A177, Table2[AwayTeam], F$1)+SUMIFS(Table2[NewPointsHome],Table2[GameDate], "&lt;=" &amp; $A177, Table2[HomeTeam], F$1)</f>
        <v>0</v>
      </c>
      <c r="G177" s="145">
        <f>SUMIFS(Table2[NewPointsAway],Table2[GameDate], "&lt;=" &amp; $A177, Table2[AwayTeam], G$1)+SUMIFS(Table2[NewPointsHome],Table2[GameDate], "&lt;=" &amp; $A177, Table2[HomeTeam], G$1)</f>
        <v>2</v>
      </c>
      <c r="H177" s="145">
        <f>SUMIFS(Table2[NewPointsAway],Table2[GameDate], "&lt;=" &amp; $A177, Table2[AwayTeam], H$1)+SUMIFS(Table2[NewPointsHome],Table2[GameDate], "&lt;=" &amp; $A177, Table2[HomeTeam], H$1)</f>
        <v>0</v>
      </c>
      <c r="I177" s="145">
        <f>SUMIFS(Table2[NewPointsAway],Table2[GameDate], "&lt;=" &amp; $A177, Table2[AwayTeam], I$1)+SUMIFS(Table2[NewPointsHome],Table2[GameDate], "&lt;=" &amp; $A177, Table2[HomeTeam], I$1)</f>
        <v>2</v>
      </c>
      <c r="J177" s="145">
        <f>SUMIFS(Table2[NewPointsAway],Table2[GameDate], "&lt;=" &amp; $A177, Table2[AwayTeam], J$1)+SUMIFS(Table2[NewPointsHome],Table2[GameDate], "&lt;=" &amp; $A177, Table2[HomeTeam], J$1)</f>
        <v>0</v>
      </c>
      <c r="K177" s="145">
        <f>SUMIFS(Table2[NewPointsAway],Table2[GameDate], "&lt;=" &amp; $A177, Table2[AwayTeam], K$1)+SUMIFS(Table2[NewPointsHome],Table2[GameDate], "&lt;=" &amp; $A177, Table2[HomeTeam], K$1)</f>
        <v>0</v>
      </c>
      <c r="L177" s="145">
        <f>SUMIFS(Table2[NewPointsAway],Table2[GameDate], "&lt;=" &amp; $A177, Table2[AwayTeam], L$1)+SUMIFS(Table2[NewPointsHome],Table2[GameDate], "&lt;=" &amp; $A177, Table2[HomeTeam], L$1)</f>
        <v>1</v>
      </c>
      <c r="M177" s="145">
        <f>SUMIFS(Table2[NewPointsAway],Table2[GameDate], "&lt;=" &amp; $A177, Table2[AwayTeam], M$1)+SUMIFS(Table2[NewPointsHome],Table2[GameDate], "&lt;=" &amp; $A177, Table2[HomeTeam], M$1)</f>
        <v>2</v>
      </c>
      <c r="N177" s="145">
        <f>SUMIFS(Table2[NewPointsAway],Table2[GameDate], "&lt;=" &amp; $A177, Table2[AwayTeam], N$1)+SUMIFS(Table2[NewPointsHome],Table2[GameDate], "&lt;=" &amp; $A177, Table2[HomeTeam], N$1)</f>
        <v>2</v>
      </c>
      <c r="O177" s="145">
        <f>SUMIFS(Table2[NewPointsAway],Table2[GameDate], "&lt;=" &amp; $A177, Table2[AwayTeam], O$1)+SUMIFS(Table2[NewPointsHome],Table2[GameDate], "&lt;=" &amp; $A177, Table2[HomeTeam], O$1)</f>
        <v>0</v>
      </c>
      <c r="P177" s="145">
        <f>SUMIFS(Table2[NewPointsAway],Table2[GameDate], "&lt;=" &amp; $A177, Table2[AwayTeam], P$1)+SUMIFS(Table2[NewPointsHome],Table2[GameDate], "&lt;=" &amp; $A177, Table2[HomeTeam], P$1)</f>
        <v>0</v>
      </c>
      <c r="Q177" s="145">
        <f>SUMIFS(Table2[NewPointsAway],Table2[GameDate], "&lt;=" &amp; $A177, Table2[AwayTeam], Q$1)+SUMIFS(Table2[NewPointsHome],Table2[GameDate], "&lt;=" &amp; $A177, Table2[HomeTeam], Q$1)</f>
        <v>0</v>
      </c>
      <c r="R177" s="145">
        <f>SUMIFS(Table2[NewPointsAway],Table2[GameDate], "&lt;=" &amp; $A177, Table2[AwayTeam], R$1)+SUMIFS(Table2[NewPointsHome],Table2[GameDate], "&lt;=" &amp; $A177, Table2[HomeTeam], R$1)</f>
        <v>0</v>
      </c>
      <c r="S177" s="145">
        <f>SUMIFS(Table2[NewPointsAway],Table2[GameDate], "&lt;=" &amp; $A177, Table2[AwayTeam], S$1)+SUMIFS(Table2[NewPointsHome],Table2[GameDate], "&lt;=" &amp; $A177, Table2[HomeTeam], S$1)</f>
        <v>0</v>
      </c>
      <c r="T177" s="145">
        <f>SUMIFS(Table2[NewPointsAway],Table2[GameDate], "&lt;=" &amp; $A177, Table2[AwayTeam], T$1)+SUMIFS(Table2[NewPointsHome],Table2[GameDate], "&lt;=" &amp; $A177, Table2[HomeTeam], T$1)</f>
        <v>0</v>
      </c>
      <c r="U177" s="145">
        <f>SUMIFS(Table2[NewPointsAway],Table2[GameDate], "&lt;=" &amp; $A177, Table2[AwayTeam], U$1)+SUMIFS(Table2[NewPointsHome],Table2[GameDate], "&lt;=" &amp; $A177, Table2[HomeTeam], U$1)</f>
        <v>0</v>
      </c>
      <c r="V177" s="145">
        <f>SUMIFS(Table2[NewPointsAway],Table2[GameDate], "&lt;=" &amp; $A177, Table2[AwayTeam], V$1)+SUMIFS(Table2[NewPointsHome],Table2[GameDate], "&lt;=" &amp; $A177, Table2[HomeTeam], V$1)</f>
        <v>0</v>
      </c>
      <c r="W177" s="145">
        <f>SUMIFS(Table2[NewPointsAway],Table2[GameDate], "&lt;=" &amp; $A177, Table2[AwayTeam], W$1)+SUMIFS(Table2[NewPointsHome],Table2[GameDate], "&lt;=" &amp; $A177, Table2[HomeTeam], W$1)</f>
        <v>2</v>
      </c>
      <c r="X177" s="145">
        <f>SUMIFS(Table2[NewPointsAway],Table2[GameDate], "&lt;=" &amp; $A177, Table2[AwayTeam], X$1)+SUMIFS(Table2[NewPointsHome],Table2[GameDate], "&lt;=" &amp; $A177, Table2[HomeTeam], X$1)</f>
        <v>0</v>
      </c>
      <c r="Y177" s="145">
        <f>SUMIFS(Table2[NewPointsAway],Table2[GameDate], "&lt;=" &amp; $A177, Table2[AwayTeam], Y$1)+SUMIFS(Table2[NewPointsHome],Table2[GameDate], "&lt;=" &amp; $A177, Table2[HomeTeam], Y$1)</f>
        <v>0</v>
      </c>
      <c r="Z177" s="145">
        <f>SUMIFS(Table2[NewPointsAway],Table2[GameDate], "&lt;=" &amp; $A177, Table2[AwayTeam], Z$1)+SUMIFS(Table2[NewPointsHome],Table2[GameDate], "&lt;=" &amp; $A177, Table2[HomeTeam], Z$1)</f>
        <v>0</v>
      </c>
      <c r="AA177" s="145">
        <f>SUMIFS(Table2[NewPointsAway],Table2[GameDate], "&lt;=" &amp; $A177, Table2[AwayTeam], AA$1)+SUMIFS(Table2[NewPointsHome],Table2[GameDate], "&lt;=" &amp; $A177, Table2[HomeTeam], AA$1)</f>
        <v>0</v>
      </c>
      <c r="AB177" s="145">
        <f>SUMIFS(Table2[NewPointsAway],Table2[GameDate], "&lt;=" &amp; $A177, Table2[AwayTeam], AB$1)+SUMIFS(Table2[NewPointsHome],Table2[GameDate], "&lt;=" &amp; $A177, Table2[HomeTeam], AB$1)</f>
        <v>2</v>
      </c>
      <c r="AC177" s="145">
        <f>SUMIFS(Table2[NewPointsAway],Table2[GameDate], "&lt;=" &amp; $A177, Table2[AwayTeam], AC$1)+SUMIFS(Table2[NewPointsHome],Table2[GameDate], "&lt;=" &amp; $A177, Table2[HomeTeam], AC$1)</f>
        <v>0</v>
      </c>
      <c r="AD177" s="145">
        <f>SUMIFS(Table2[NewPointsAway],Table2[GameDate], "&lt;=" &amp; $A177, Table2[AwayTeam], AD$1)+SUMIFS(Table2[NewPointsHome],Table2[GameDate], "&lt;=" &amp; $A177, Table2[HomeTeam], AD$1)</f>
        <v>0</v>
      </c>
      <c r="AE177" s="145">
        <f>SUMIFS(Table2[NewPointsAway],Table2[GameDate], "&lt;=" &amp; $A177, Table2[AwayTeam], AE$1)+SUMIFS(Table2[NewPointsHome],Table2[GameDate], "&lt;=" &amp; $A177, Table2[HomeTeam], AE$1)</f>
        <v>1</v>
      </c>
      <c r="AF177" s="145">
        <f>SUMIFS(Table2[NewPointsAway],Table2[GameDate], "&lt;=" &amp; $A177, Table2[AwayTeam], AF$1)+SUMIFS(Table2[NewPointsHome],Table2[GameDate], "&lt;=" &amp; $A177, Table2[HomeTeam], AF$1)</f>
        <v>0</v>
      </c>
      <c r="AG177" s="145">
        <f>SUMIFS(Table2[NewPointsAway],Table2[GameDate], "&lt;=" &amp; $A177, Table2[AwayTeam], AG$1)+SUMIFS(Table2[NewPointsHome],Table2[GameDate], "&lt;=" &amp; $A177, Table2[HomeTeam], AG$1)</f>
        <v>0</v>
      </c>
    </row>
    <row r="178" spans="1:33" x14ac:dyDescent="0.25">
      <c r="A178" s="3">
        <v>46109</v>
      </c>
      <c r="B178" s="145">
        <f>SUMIFS(Table2[NewPointsAway],Table2[GameDate], "&lt;=" &amp; $A178, Table2[AwayTeam], B$1)+SUMIFS(Table2[NewPointsHome],Table2[GameDate], "&lt;=" &amp; $A178, Table2[HomeTeam], B$1)</f>
        <v>0</v>
      </c>
      <c r="C178" s="145">
        <f>SUMIFS(Table2[NewPointsAway],Table2[GameDate], "&lt;=" &amp; $A178, Table2[AwayTeam], C$1)+SUMIFS(Table2[NewPointsHome],Table2[GameDate], "&lt;=" &amp; $A178, Table2[HomeTeam], C$1)</f>
        <v>2</v>
      </c>
      <c r="D178" s="145">
        <f>SUMIFS(Table2[NewPointsAway],Table2[GameDate], "&lt;=" &amp; $A178, Table2[AwayTeam], D$1)+SUMIFS(Table2[NewPointsHome],Table2[GameDate], "&lt;=" &amp; $A178, Table2[HomeTeam], D$1)</f>
        <v>0</v>
      </c>
      <c r="E178" s="145">
        <f>SUMIFS(Table2[NewPointsAway],Table2[GameDate], "&lt;=" &amp; $A178, Table2[AwayTeam], E$1)+SUMIFS(Table2[NewPointsHome],Table2[GameDate], "&lt;=" &amp; $A178, Table2[HomeTeam], E$1)</f>
        <v>0</v>
      </c>
      <c r="F178" s="145">
        <f>SUMIFS(Table2[NewPointsAway],Table2[GameDate], "&lt;=" &amp; $A178, Table2[AwayTeam], F$1)+SUMIFS(Table2[NewPointsHome],Table2[GameDate], "&lt;=" &amp; $A178, Table2[HomeTeam], F$1)</f>
        <v>0</v>
      </c>
      <c r="G178" s="145">
        <f>SUMIFS(Table2[NewPointsAway],Table2[GameDate], "&lt;=" &amp; $A178, Table2[AwayTeam], G$1)+SUMIFS(Table2[NewPointsHome],Table2[GameDate], "&lt;=" &amp; $A178, Table2[HomeTeam], G$1)</f>
        <v>2</v>
      </c>
      <c r="H178" s="145">
        <f>SUMIFS(Table2[NewPointsAway],Table2[GameDate], "&lt;=" &amp; $A178, Table2[AwayTeam], H$1)+SUMIFS(Table2[NewPointsHome],Table2[GameDate], "&lt;=" &amp; $A178, Table2[HomeTeam], H$1)</f>
        <v>0</v>
      </c>
      <c r="I178" s="145">
        <f>SUMIFS(Table2[NewPointsAway],Table2[GameDate], "&lt;=" &amp; $A178, Table2[AwayTeam], I$1)+SUMIFS(Table2[NewPointsHome],Table2[GameDate], "&lt;=" &amp; $A178, Table2[HomeTeam], I$1)</f>
        <v>2</v>
      </c>
      <c r="J178" s="145">
        <f>SUMIFS(Table2[NewPointsAway],Table2[GameDate], "&lt;=" &amp; $A178, Table2[AwayTeam], J$1)+SUMIFS(Table2[NewPointsHome],Table2[GameDate], "&lt;=" &amp; $A178, Table2[HomeTeam], J$1)</f>
        <v>0</v>
      </c>
      <c r="K178" s="145">
        <f>SUMIFS(Table2[NewPointsAway],Table2[GameDate], "&lt;=" &amp; $A178, Table2[AwayTeam], K$1)+SUMIFS(Table2[NewPointsHome],Table2[GameDate], "&lt;=" &amp; $A178, Table2[HomeTeam], K$1)</f>
        <v>0</v>
      </c>
      <c r="L178" s="145">
        <f>SUMIFS(Table2[NewPointsAway],Table2[GameDate], "&lt;=" &amp; $A178, Table2[AwayTeam], L$1)+SUMIFS(Table2[NewPointsHome],Table2[GameDate], "&lt;=" &amp; $A178, Table2[HomeTeam], L$1)</f>
        <v>1</v>
      </c>
      <c r="M178" s="145">
        <f>SUMIFS(Table2[NewPointsAway],Table2[GameDate], "&lt;=" &amp; $A178, Table2[AwayTeam], M$1)+SUMIFS(Table2[NewPointsHome],Table2[GameDate], "&lt;=" &amp; $A178, Table2[HomeTeam], M$1)</f>
        <v>2</v>
      </c>
      <c r="N178" s="145">
        <f>SUMIFS(Table2[NewPointsAway],Table2[GameDate], "&lt;=" &amp; $A178, Table2[AwayTeam], N$1)+SUMIFS(Table2[NewPointsHome],Table2[GameDate], "&lt;=" &amp; $A178, Table2[HomeTeam], N$1)</f>
        <v>2</v>
      </c>
      <c r="O178" s="145">
        <f>SUMIFS(Table2[NewPointsAway],Table2[GameDate], "&lt;=" &amp; $A178, Table2[AwayTeam], O$1)+SUMIFS(Table2[NewPointsHome],Table2[GameDate], "&lt;=" &amp; $A178, Table2[HomeTeam], O$1)</f>
        <v>0</v>
      </c>
      <c r="P178" s="145">
        <f>SUMIFS(Table2[NewPointsAway],Table2[GameDate], "&lt;=" &amp; $A178, Table2[AwayTeam], P$1)+SUMIFS(Table2[NewPointsHome],Table2[GameDate], "&lt;=" &amp; $A178, Table2[HomeTeam], P$1)</f>
        <v>0</v>
      </c>
      <c r="Q178" s="145">
        <f>SUMIFS(Table2[NewPointsAway],Table2[GameDate], "&lt;=" &amp; $A178, Table2[AwayTeam], Q$1)+SUMIFS(Table2[NewPointsHome],Table2[GameDate], "&lt;=" &amp; $A178, Table2[HomeTeam], Q$1)</f>
        <v>0</v>
      </c>
      <c r="R178" s="145">
        <f>SUMIFS(Table2[NewPointsAway],Table2[GameDate], "&lt;=" &amp; $A178, Table2[AwayTeam], R$1)+SUMIFS(Table2[NewPointsHome],Table2[GameDate], "&lt;=" &amp; $A178, Table2[HomeTeam], R$1)</f>
        <v>0</v>
      </c>
      <c r="S178" s="145">
        <f>SUMIFS(Table2[NewPointsAway],Table2[GameDate], "&lt;=" &amp; $A178, Table2[AwayTeam], S$1)+SUMIFS(Table2[NewPointsHome],Table2[GameDate], "&lt;=" &amp; $A178, Table2[HomeTeam], S$1)</f>
        <v>0</v>
      </c>
      <c r="T178" s="145">
        <f>SUMIFS(Table2[NewPointsAway],Table2[GameDate], "&lt;=" &amp; $A178, Table2[AwayTeam], T$1)+SUMIFS(Table2[NewPointsHome],Table2[GameDate], "&lt;=" &amp; $A178, Table2[HomeTeam], T$1)</f>
        <v>0</v>
      </c>
      <c r="U178" s="145">
        <f>SUMIFS(Table2[NewPointsAway],Table2[GameDate], "&lt;=" &amp; $A178, Table2[AwayTeam], U$1)+SUMIFS(Table2[NewPointsHome],Table2[GameDate], "&lt;=" &amp; $A178, Table2[HomeTeam], U$1)</f>
        <v>0</v>
      </c>
      <c r="V178" s="145">
        <f>SUMIFS(Table2[NewPointsAway],Table2[GameDate], "&lt;=" &amp; $A178, Table2[AwayTeam], V$1)+SUMIFS(Table2[NewPointsHome],Table2[GameDate], "&lt;=" &amp; $A178, Table2[HomeTeam], V$1)</f>
        <v>0</v>
      </c>
      <c r="W178" s="145">
        <f>SUMIFS(Table2[NewPointsAway],Table2[GameDate], "&lt;=" &amp; $A178, Table2[AwayTeam], W$1)+SUMIFS(Table2[NewPointsHome],Table2[GameDate], "&lt;=" &amp; $A178, Table2[HomeTeam], W$1)</f>
        <v>2</v>
      </c>
      <c r="X178" s="145">
        <f>SUMIFS(Table2[NewPointsAway],Table2[GameDate], "&lt;=" &amp; $A178, Table2[AwayTeam], X$1)+SUMIFS(Table2[NewPointsHome],Table2[GameDate], "&lt;=" &amp; $A178, Table2[HomeTeam], X$1)</f>
        <v>0</v>
      </c>
      <c r="Y178" s="145">
        <f>SUMIFS(Table2[NewPointsAway],Table2[GameDate], "&lt;=" &amp; $A178, Table2[AwayTeam], Y$1)+SUMIFS(Table2[NewPointsHome],Table2[GameDate], "&lt;=" &amp; $A178, Table2[HomeTeam], Y$1)</f>
        <v>0</v>
      </c>
      <c r="Z178" s="145">
        <f>SUMIFS(Table2[NewPointsAway],Table2[GameDate], "&lt;=" &amp; $A178, Table2[AwayTeam], Z$1)+SUMIFS(Table2[NewPointsHome],Table2[GameDate], "&lt;=" &amp; $A178, Table2[HomeTeam], Z$1)</f>
        <v>0</v>
      </c>
      <c r="AA178" s="145">
        <f>SUMIFS(Table2[NewPointsAway],Table2[GameDate], "&lt;=" &amp; $A178, Table2[AwayTeam], AA$1)+SUMIFS(Table2[NewPointsHome],Table2[GameDate], "&lt;=" &amp; $A178, Table2[HomeTeam], AA$1)</f>
        <v>0</v>
      </c>
      <c r="AB178" s="145">
        <f>SUMIFS(Table2[NewPointsAway],Table2[GameDate], "&lt;=" &amp; $A178, Table2[AwayTeam], AB$1)+SUMIFS(Table2[NewPointsHome],Table2[GameDate], "&lt;=" &amp; $A178, Table2[HomeTeam], AB$1)</f>
        <v>2</v>
      </c>
      <c r="AC178" s="145">
        <f>SUMIFS(Table2[NewPointsAway],Table2[GameDate], "&lt;=" &amp; $A178, Table2[AwayTeam], AC$1)+SUMIFS(Table2[NewPointsHome],Table2[GameDate], "&lt;=" &amp; $A178, Table2[HomeTeam], AC$1)</f>
        <v>0</v>
      </c>
      <c r="AD178" s="145">
        <f>SUMIFS(Table2[NewPointsAway],Table2[GameDate], "&lt;=" &amp; $A178, Table2[AwayTeam], AD$1)+SUMIFS(Table2[NewPointsHome],Table2[GameDate], "&lt;=" &amp; $A178, Table2[HomeTeam], AD$1)</f>
        <v>0</v>
      </c>
      <c r="AE178" s="145">
        <f>SUMIFS(Table2[NewPointsAway],Table2[GameDate], "&lt;=" &amp; $A178, Table2[AwayTeam], AE$1)+SUMIFS(Table2[NewPointsHome],Table2[GameDate], "&lt;=" &amp; $A178, Table2[HomeTeam], AE$1)</f>
        <v>1</v>
      </c>
      <c r="AF178" s="145">
        <f>SUMIFS(Table2[NewPointsAway],Table2[GameDate], "&lt;=" &amp; $A178, Table2[AwayTeam], AF$1)+SUMIFS(Table2[NewPointsHome],Table2[GameDate], "&lt;=" &amp; $A178, Table2[HomeTeam], AF$1)</f>
        <v>0</v>
      </c>
      <c r="AG178" s="145">
        <f>SUMIFS(Table2[NewPointsAway],Table2[GameDate], "&lt;=" &amp; $A178, Table2[AwayTeam], AG$1)+SUMIFS(Table2[NewPointsHome],Table2[GameDate], "&lt;=" &amp; $A178, Table2[HomeTeam], AG$1)</f>
        <v>0</v>
      </c>
    </row>
    <row r="179" spans="1:33" x14ac:dyDescent="0.25">
      <c r="A179" s="3">
        <v>46110</v>
      </c>
      <c r="B179" s="145">
        <f>SUMIFS(Table2[NewPointsAway],Table2[GameDate], "&lt;=" &amp; $A179, Table2[AwayTeam], B$1)+SUMIFS(Table2[NewPointsHome],Table2[GameDate], "&lt;=" &amp; $A179, Table2[HomeTeam], B$1)</f>
        <v>0</v>
      </c>
      <c r="C179" s="145">
        <f>SUMIFS(Table2[NewPointsAway],Table2[GameDate], "&lt;=" &amp; $A179, Table2[AwayTeam], C$1)+SUMIFS(Table2[NewPointsHome],Table2[GameDate], "&lt;=" &amp; $A179, Table2[HomeTeam], C$1)</f>
        <v>2</v>
      </c>
      <c r="D179" s="145">
        <f>SUMIFS(Table2[NewPointsAway],Table2[GameDate], "&lt;=" &amp; $A179, Table2[AwayTeam], D$1)+SUMIFS(Table2[NewPointsHome],Table2[GameDate], "&lt;=" &amp; $A179, Table2[HomeTeam], D$1)</f>
        <v>0</v>
      </c>
      <c r="E179" s="145">
        <f>SUMIFS(Table2[NewPointsAway],Table2[GameDate], "&lt;=" &amp; $A179, Table2[AwayTeam], E$1)+SUMIFS(Table2[NewPointsHome],Table2[GameDate], "&lt;=" &amp; $A179, Table2[HomeTeam], E$1)</f>
        <v>0</v>
      </c>
      <c r="F179" s="145">
        <f>SUMIFS(Table2[NewPointsAway],Table2[GameDate], "&lt;=" &amp; $A179, Table2[AwayTeam], F$1)+SUMIFS(Table2[NewPointsHome],Table2[GameDate], "&lt;=" &amp; $A179, Table2[HomeTeam], F$1)</f>
        <v>0</v>
      </c>
      <c r="G179" s="145">
        <f>SUMIFS(Table2[NewPointsAway],Table2[GameDate], "&lt;=" &amp; $A179, Table2[AwayTeam], G$1)+SUMIFS(Table2[NewPointsHome],Table2[GameDate], "&lt;=" &amp; $A179, Table2[HomeTeam], G$1)</f>
        <v>2</v>
      </c>
      <c r="H179" s="145">
        <f>SUMIFS(Table2[NewPointsAway],Table2[GameDate], "&lt;=" &amp; $A179, Table2[AwayTeam], H$1)+SUMIFS(Table2[NewPointsHome],Table2[GameDate], "&lt;=" &amp; $A179, Table2[HomeTeam], H$1)</f>
        <v>0</v>
      </c>
      <c r="I179" s="145">
        <f>SUMIFS(Table2[NewPointsAway],Table2[GameDate], "&lt;=" &amp; $A179, Table2[AwayTeam], I$1)+SUMIFS(Table2[NewPointsHome],Table2[GameDate], "&lt;=" &amp; $A179, Table2[HomeTeam], I$1)</f>
        <v>2</v>
      </c>
      <c r="J179" s="145">
        <f>SUMIFS(Table2[NewPointsAway],Table2[GameDate], "&lt;=" &amp; $A179, Table2[AwayTeam], J$1)+SUMIFS(Table2[NewPointsHome],Table2[GameDate], "&lt;=" &amp; $A179, Table2[HomeTeam], J$1)</f>
        <v>0</v>
      </c>
      <c r="K179" s="145">
        <f>SUMIFS(Table2[NewPointsAway],Table2[GameDate], "&lt;=" &amp; $A179, Table2[AwayTeam], K$1)+SUMIFS(Table2[NewPointsHome],Table2[GameDate], "&lt;=" &amp; $A179, Table2[HomeTeam], K$1)</f>
        <v>0</v>
      </c>
      <c r="L179" s="145">
        <f>SUMIFS(Table2[NewPointsAway],Table2[GameDate], "&lt;=" &amp; $A179, Table2[AwayTeam], L$1)+SUMIFS(Table2[NewPointsHome],Table2[GameDate], "&lt;=" &amp; $A179, Table2[HomeTeam], L$1)</f>
        <v>1</v>
      </c>
      <c r="M179" s="145">
        <f>SUMIFS(Table2[NewPointsAway],Table2[GameDate], "&lt;=" &amp; $A179, Table2[AwayTeam], M$1)+SUMIFS(Table2[NewPointsHome],Table2[GameDate], "&lt;=" &amp; $A179, Table2[HomeTeam], M$1)</f>
        <v>2</v>
      </c>
      <c r="N179" s="145">
        <f>SUMIFS(Table2[NewPointsAway],Table2[GameDate], "&lt;=" &amp; $A179, Table2[AwayTeam], N$1)+SUMIFS(Table2[NewPointsHome],Table2[GameDate], "&lt;=" &amp; $A179, Table2[HomeTeam], N$1)</f>
        <v>2</v>
      </c>
      <c r="O179" s="145">
        <f>SUMIFS(Table2[NewPointsAway],Table2[GameDate], "&lt;=" &amp; $A179, Table2[AwayTeam], O$1)+SUMIFS(Table2[NewPointsHome],Table2[GameDate], "&lt;=" &amp; $A179, Table2[HomeTeam], O$1)</f>
        <v>0</v>
      </c>
      <c r="P179" s="145">
        <f>SUMIFS(Table2[NewPointsAway],Table2[GameDate], "&lt;=" &amp; $A179, Table2[AwayTeam], P$1)+SUMIFS(Table2[NewPointsHome],Table2[GameDate], "&lt;=" &amp; $A179, Table2[HomeTeam], P$1)</f>
        <v>0</v>
      </c>
      <c r="Q179" s="145">
        <f>SUMIFS(Table2[NewPointsAway],Table2[GameDate], "&lt;=" &amp; $A179, Table2[AwayTeam], Q$1)+SUMIFS(Table2[NewPointsHome],Table2[GameDate], "&lt;=" &amp; $A179, Table2[HomeTeam], Q$1)</f>
        <v>0</v>
      </c>
      <c r="R179" s="145">
        <f>SUMIFS(Table2[NewPointsAway],Table2[GameDate], "&lt;=" &amp; $A179, Table2[AwayTeam], R$1)+SUMIFS(Table2[NewPointsHome],Table2[GameDate], "&lt;=" &amp; $A179, Table2[HomeTeam], R$1)</f>
        <v>0</v>
      </c>
      <c r="S179" s="145">
        <f>SUMIFS(Table2[NewPointsAway],Table2[GameDate], "&lt;=" &amp; $A179, Table2[AwayTeam], S$1)+SUMIFS(Table2[NewPointsHome],Table2[GameDate], "&lt;=" &amp; $A179, Table2[HomeTeam], S$1)</f>
        <v>0</v>
      </c>
      <c r="T179" s="145">
        <f>SUMIFS(Table2[NewPointsAway],Table2[GameDate], "&lt;=" &amp; $A179, Table2[AwayTeam], T$1)+SUMIFS(Table2[NewPointsHome],Table2[GameDate], "&lt;=" &amp; $A179, Table2[HomeTeam], T$1)</f>
        <v>0</v>
      </c>
      <c r="U179" s="145">
        <f>SUMIFS(Table2[NewPointsAway],Table2[GameDate], "&lt;=" &amp; $A179, Table2[AwayTeam], U$1)+SUMIFS(Table2[NewPointsHome],Table2[GameDate], "&lt;=" &amp; $A179, Table2[HomeTeam], U$1)</f>
        <v>0</v>
      </c>
      <c r="V179" s="145">
        <f>SUMIFS(Table2[NewPointsAway],Table2[GameDate], "&lt;=" &amp; $A179, Table2[AwayTeam], V$1)+SUMIFS(Table2[NewPointsHome],Table2[GameDate], "&lt;=" &amp; $A179, Table2[HomeTeam], V$1)</f>
        <v>0</v>
      </c>
      <c r="W179" s="145">
        <f>SUMIFS(Table2[NewPointsAway],Table2[GameDate], "&lt;=" &amp; $A179, Table2[AwayTeam], W$1)+SUMIFS(Table2[NewPointsHome],Table2[GameDate], "&lt;=" &amp; $A179, Table2[HomeTeam], W$1)</f>
        <v>2</v>
      </c>
      <c r="X179" s="145">
        <f>SUMIFS(Table2[NewPointsAway],Table2[GameDate], "&lt;=" &amp; $A179, Table2[AwayTeam], X$1)+SUMIFS(Table2[NewPointsHome],Table2[GameDate], "&lt;=" &amp; $A179, Table2[HomeTeam], X$1)</f>
        <v>0</v>
      </c>
      <c r="Y179" s="145">
        <f>SUMIFS(Table2[NewPointsAway],Table2[GameDate], "&lt;=" &amp; $A179, Table2[AwayTeam], Y$1)+SUMIFS(Table2[NewPointsHome],Table2[GameDate], "&lt;=" &amp; $A179, Table2[HomeTeam], Y$1)</f>
        <v>0</v>
      </c>
      <c r="Z179" s="145">
        <f>SUMIFS(Table2[NewPointsAway],Table2[GameDate], "&lt;=" &amp; $A179, Table2[AwayTeam], Z$1)+SUMIFS(Table2[NewPointsHome],Table2[GameDate], "&lt;=" &amp; $A179, Table2[HomeTeam], Z$1)</f>
        <v>0</v>
      </c>
      <c r="AA179" s="145">
        <f>SUMIFS(Table2[NewPointsAway],Table2[GameDate], "&lt;=" &amp; $A179, Table2[AwayTeam], AA$1)+SUMIFS(Table2[NewPointsHome],Table2[GameDate], "&lt;=" &amp; $A179, Table2[HomeTeam], AA$1)</f>
        <v>0</v>
      </c>
      <c r="AB179" s="145">
        <f>SUMIFS(Table2[NewPointsAway],Table2[GameDate], "&lt;=" &amp; $A179, Table2[AwayTeam], AB$1)+SUMIFS(Table2[NewPointsHome],Table2[GameDate], "&lt;=" &amp; $A179, Table2[HomeTeam], AB$1)</f>
        <v>2</v>
      </c>
      <c r="AC179" s="145">
        <f>SUMIFS(Table2[NewPointsAway],Table2[GameDate], "&lt;=" &amp; $A179, Table2[AwayTeam], AC$1)+SUMIFS(Table2[NewPointsHome],Table2[GameDate], "&lt;=" &amp; $A179, Table2[HomeTeam], AC$1)</f>
        <v>0</v>
      </c>
      <c r="AD179" s="145">
        <f>SUMIFS(Table2[NewPointsAway],Table2[GameDate], "&lt;=" &amp; $A179, Table2[AwayTeam], AD$1)+SUMIFS(Table2[NewPointsHome],Table2[GameDate], "&lt;=" &amp; $A179, Table2[HomeTeam], AD$1)</f>
        <v>0</v>
      </c>
      <c r="AE179" s="145">
        <f>SUMIFS(Table2[NewPointsAway],Table2[GameDate], "&lt;=" &amp; $A179, Table2[AwayTeam], AE$1)+SUMIFS(Table2[NewPointsHome],Table2[GameDate], "&lt;=" &amp; $A179, Table2[HomeTeam], AE$1)</f>
        <v>1</v>
      </c>
      <c r="AF179" s="145">
        <f>SUMIFS(Table2[NewPointsAway],Table2[GameDate], "&lt;=" &amp; $A179, Table2[AwayTeam], AF$1)+SUMIFS(Table2[NewPointsHome],Table2[GameDate], "&lt;=" &amp; $A179, Table2[HomeTeam], AF$1)</f>
        <v>0</v>
      </c>
      <c r="AG179" s="145">
        <f>SUMIFS(Table2[NewPointsAway],Table2[GameDate], "&lt;=" &amp; $A179, Table2[AwayTeam], AG$1)+SUMIFS(Table2[NewPointsHome],Table2[GameDate], "&lt;=" &amp; $A179, Table2[HomeTeam], AG$1)</f>
        <v>0</v>
      </c>
    </row>
    <row r="180" spans="1:33" x14ac:dyDescent="0.25">
      <c r="A180" s="3">
        <v>46111</v>
      </c>
      <c r="B180" s="145">
        <f>SUMIFS(Table2[NewPointsAway],Table2[GameDate], "&lt;=" &amp; $A180, Table2[AwayTeam], B$1)+SUMIFS(Table2[NewPointsHome],Table2[GameDate], "&lt;=" &amp; $A180, Table2[HomeTeam], B$1)</f>
        <v>0</v>
      </c>
      <c r="C180" s="145">
        <f>SUMIFS(Table2[NewPointsAway],Table2[GameDate], "&lt;=" &amp; $A180, Table2[AwayTeam], C$1)+SUMIFS(Table2[NewPointsHome],Table2[GameDate], "&lt;=" &amp; $A180, Table2[HomeTeam], C$1)</f>
        <v>2</v>
      </c>
      <c r="D180" s="145">
        <f>SUMIFS(Table2[NewPointsAway],Table2[GameDate], "&lt;=" &amp; $A180, Table2[AwayTeam], D$1)+SUMIFS(Table2[NewPointsHome],Table2[GameDate], "&lt;=" &amp; $A180, Table2[HomeTeam], D$1)</f>
        <v>0</v>
      </c>
      <c r="E180" s="145">
        <f>SUMIFS(Table2[NewPointsAway],Table2[GameDate], "&lt;=" &amp; $A180, Table2[AwayTeam], E$1)+SUMIFS(Table2[NewPointsHome],Table2[GameDate], "&lt;=" &amp; $A180, Table2[HomeTeam], E$1)</f>
        <v>0</v>
      </c>
      <c r="F180" s="145">
        <f>SUMIFS(Table2[NewPointsAway],Table2[GameDate], "&lt;=" &amp; $A180, Table2[AwayTeam], F$1)+SUMIFS(Table2[NewPointsHome],Table2[GameDate], "&lt;=" &amp; $A180, Table2[HomeTeam], F$1)</f>
        <v>0</v>
      </c>
      <c r="G180" s="145">
        <f>SUMIFS(Table2[NewPointsAway],Table2[GameDate], "&lt;=" &amp; $A180, Table2[AwayTeam], G$1)+SUMIFS(Table2[NewPointsHome],Table2[GameDate], "&lt;=" &amp; $A180, Table2[HomeTeam], G$1)</f>
        <v>2</v>
      </c>
      <c r="H180" s="145">
        <f>SUMIFS(Table2[NewPointsAway],Table2[GameDate], "&lt;=" &amp; $A180, Table2[AwayTeam], H$1)+SUMIFS(Table2[NewPointsHome],Table2[GameDate], "&lt;=" &amp; $A180, Table2[HomeTeam], H$1)</f>
        <v>0</v>
      </c>
      <c r="I180" s="145">
        <f>SUMIFS(Table2[NewPointsAway],Table2[GameDate], "&lt;=" &amp; $A180, Table2[AwayTeam], I$1)+SUMIFS(Table2[NewPointsHome],Table2[GameDate], "&lt;=" &amp; $A180, Table2[HomeTeam], I$1)</f>
        <v>2</v>
      </c>
      <c r="J180" s="145">
        <f>SUMIFS(Table2[NewPointsAway],Table2[GameDate], "&lt;=" &amp; $A180, Table2[AwayTeam], J$1)+SUMIFS(Table2[NewPointsHome],Table2[GameDate], "&lt;=" &amp; $A180, Table2[HomeTeam], J$1)</f>
        <v>0</v>
      </c>
      <c r="K180" s="145">
        <f>SUMIFS(Table2[NewPointsAway],Table2[GameDate], "&lt;=" &amp; $A180, Table2[AwayTeam], K$1)+SUMIFS(Table2[NewPointsHome],Table2[GameDate], "&lt;=" &amp; $A180, Table2[HomeTeam], K$1)</f>
        <v>0</v>
      </c>
      <c r="L180" s="145">
        <f>SUMIFS(Table2[NewPointsAway],Table2[GameDate], "&lt;=" &amp; $A180, Table2[AwayTeam], L$1)+SUMIFS(Table2[NewPointsHome],Table2[GameDate], "&lt;=" &amp; $A180, Table2[HomeTeam], L$1)</f>
        <v>1</v>
      </c>
      <c r="M180" s="145">
        <f>SUMIFS(Table2[NewPointsAway],Table2[GameDate], "&lt;=" &amp; $A180, Table2[AwayTeam], M$1)+SUMIFS(Table2[NewPointsHome],Table2[GameDate], "&lt;=" &amp; $A180, Table2[HomeTeam], M$1)</f>
        <v>2</v>
      </c>
      <c r="N180" s="145">
        <f>SUMIFS(Table2[NewPointsAway],Table2[GameDate], "&lt;=" &amp; $A180, Table2[AwayTeam], N$1)+SUMIFS(Table2[NewPointsHome],Table2[GameDate], "&lt;=" &amp; $A180, Table2[HomeTeam], N$1)</f>
        <v>2</v>
      </c>
      <c r="O180" s="145">
        <f>SUMIFS(Table2[NewPointsAway],Table2[GameDate], "&lt;=" &amp; $A180, Table2[AwayTeam], O$1)+SUMIFS(Table2[NewPointsHome],Table2[GameDate], "&lt;=" &amp; $A180, Table2[HomeTeam], O$1)</f>
        <v>0</v>
      </c>
      <c r="P180" s="145">
        <f>SUMIFS(Table2[NewPointsAway],Table2[GameDate], "&lt;=" &amp; $A180, Table2[AwayTeam], P$1)+SUMIFS(Table2[NewPointsHome],Table2[GameDate], "&lt;=" &amp; $A180, Table2[HomeTeam], P$1)</f>
        <v>0</v>
      </c>
      <c r="Q180" s="145">
        <f>SUMIFS(Table2[NewPointsAway],Table2[GameDate], "&lt;=" &amp; $A180, Table2[AwayTeam], Q$1)+SUMIFS(Table2[NewPointsHome],Table2[GameDate], "&lt;=" &amp; $A180, Table2[HomeTeam], Q$1)</f>
        <v>0</v>
      </c>
      <c r="R180" s="145">
        <f>SUMIFS(Table2[NewPointsAway],Table2[GameDate], "&lt;=" &amp; $A180, Table2[AwayTeam], R$1)+SUMIFS(Table2[NewPointsHome],Table2[GameDate], "&lt;=" &amp; $A180, Table2[HomeTeam], R$1)</f>
        <v>0</v>
      </c>
      <c r="S180" s="145">
        <f>SUMIFS(Table2[NewPointsAway],Table2[GameDate], "&lt;=" &amp; $A180, Table2[AwayTeam], S$1)+SUMIFS(Table2[NewPointsHome],Table2[GameDate], "&lt;=" &amp; $A180, Table2[HomeTeam], S$1)</f>
        <v>0</v>
      </c>
      <c r="T180" s="145">
        <f>SUMIFS(Table2[NewPointsAway],Table2[GameDate], "&lt;=" &amp; $A180, Table2[AwayTeam], T$1)+SUMIFS(Table2[NewPointsHome],Table2[GameDate], "&lt;=" &amp; $A180, Table2[HomeTeam], T$1)</f>
        <v>0</v>
      </c>
      <c r="U180" s="145">
        <f>SUMIFS(Table2[NewPointsAway],Table2[GameDate], "&lt;=" &amp; $A180, Table2[AwayTeam], U$1)+SUMIFS(Table2[NewPointsHome],Table2[GameDate], "&lt;=" &amp; $A180, Table2[HomeTeam], U$1)</f>
        <v>0</v>
      </c>
      <c r="V180" s="145">
        <f>SUMIFS(Table2[NewPointsAway],Table2[GameDate], "&lt;=" &amp; $A180, Table2[AwayTeam], V$1)+SUMIFS(Table2[NewPointsHome],Table2[GameDate], "&lt;=" &amp; $A180, Table2[HomeTeam], V$1)</f>
        <v>0</v>
      </c>
      <c r="W180" s="145">
        <f>SUMIFS(Table2[NewPointsAway],Table2[GameDate], "&lt;=" &amp; $A180, Table2[AwayTeam], W$1)+SUMIFS(Table2[NewPointsHome],Table2[GameDate], "&lt;=" &amp; $A180, Table2[HomeTeam], W$1)</f>
        <v>2</v>
      </c>
      <c r="X180" s="145">
        <f>SUMIFS(Table2[NewPointsAway],Table2[GameDate], "&lt;=" &amp; $A180, Table2[AwayTeam], X$1)+SUMIFS(Table2[NewPointsHome],Table2[GameDate], "&lt;=" &amp; $A180, Table2[HomeTeam], X$1)</f>
        <v>0</v>
      </c>
      <c r="Y180" s="145">
        <f>SUMIFS(Table2[NewPointsAway],Table2[GameDate], "&lt;=" &amp; $A180, Table2[AwayTeam], Y$1)+SUMIFS(Table2[NewPointsHome],Table2[GameDate], "&lt;=" &amp; $A180, Table2[HomeTeam], Y$1)</f>
        <v>0</v>
      </c>
      <c r="Z180" s="145">
        <f>SUMIFS(Table2[NewPointsAway],Table2[GameDate], "&lt;=" &amp; $A180, Table2[AwayTeam], Z$1)+SUMIFS(Table2[NewPointsHome],Table2[GameDate], "&lt;=" &amp; $A180, Table2[HomeTeam], Z$1)</f>
        <v>0</v>
      </c>
      <c r="AA180" s="145">
        <f>SUMIFS(Table2[NewPointsAway],Table2[GameDate], "&lt;=" &amp; $A180, Table2[AwayTeam], AA$1)+SUMIFS(Table2[NewPointsHome],Table2[GameDate], "&lt;=" &amp; $A180, Table2[HomeTeam], AA$1)</f>
        <v>0</v>
      </c>
      <c r="AB180" s="145">
        <f>SUMIFS(Table2[NewPointsAway],Table2[GameDate], "&lt;=" &amp; $A180, Table2[AwayTeam], AB$1)+SUMIFS(Table2[NewPointsHome],Table2[GameDate], "&lt;=" &amp; $A180, Table2[HomeTeam], AB$1)</f>
        <v>2</v>
      </c>
      <c r="AC180" s="145">
        <f>SUMIFS(Table2[NewPointsAway],Table2[GameDate], "&lt;=" &amp; $A180, Table2[AwayTeam], AC$1)+SUMIFS(Table2[NewPointsHome],Table2[GameDate], "&lt;=" &amp; $A180, Table2[HomeTeam], AC$1)</f>
        <v>0</v>
      </c>
      <c r="AD180" s="145">
        <f>SUMIFS(Table2[NewPointsAway],Table2[GameDate], "&lt;=" &amp; $A180, Table2[AwayTeam], AD$1)+SUMIFS(Table2[NewPointsHome],Table2[GameDate], "&lt;=" &amp; $A180, Table2[HomeTeam], AD$1)</f>
        <v>0</v>
      </c>
      <c r="AE180" s="145">
        <f>SUMIFS(Table2[NewPointsAway],Table2[GameDate], "&lt;=" &amp; $A180, Table2[AwayTeam], AE$1)+SUMIFS(Table2[NewPointsHome],Table2[GameDate], "&lt;=" &amp; $A180, Table2[HomeTeam], AE$1)</f>
        <v>1</v>
      </c>
      <c r="AF180" s="145">
        <f>SUMIFS(Table2[NewPointsAway],Table2[GameDate], "&lt;=" &amp; $A180, Table2[AwayTeam], AF$1)+SUMIFS(Table2[NewPointsHome],Table2[GameDate], "&lt;=" &amp; $A180, Table2[HomeTeam], AF$1)</f>
        <v>0</v>
      </c>
      <c r="AG180" s="145">
        <f>SUMIFS(Table2[NewPointsAway],Table2[GameDate], "&lt;=" &amp; $A180, Table2[AwayTeam], AG$1)+SUMIFS(Table2[NewPointsHome],Table2[GameDate], "&lt;=" &amp; $A180, Table2[HomeTeam], AG$1)</f>
        <v>0</v>
      </c>
    </row>
    <row r="181" spans="1:33" x14ac:dyDescent="0.25">
      <c r="A181" s="3">
        <v>46112</v>
      </c>
      <c r="B181" s="145">
        <f>SUMIFS(Table2[NewPointsAway],Table2[GameDate], "&lt;=" &amp; $A181, Table2[AwayTeam], B$1)+SUMIFS(Table2[NewPointsHome],Table2[GameDate], "&lt;=" &amp; $A181, Table2[HomeTeam], B$1)</f>
        <v>0</v>
      </c>
      <c r="C181" s="145">
        <f>SUMIFS(Table2[NewPointsAway],Table2[GameDate], "&lt;=" &amp; $A181, Table2[AwayTeam], C$1)+SUMIFS(Table2[NewPointsHome],Table2[GameDate], "&lt;=" &amp; $A181, Table2[HomeTeam], C$1)</f>
        <v>2</v>
      </c>
      <c r="D181" s="145">
        <f>SUMIFS(Table2[NewPointsAway],Table2[GameDate], "&lt;=" &amp; $A181, Table2[AwayTeam], D$1)+SUMIFS(Table2[NewPointsHome],Table2[GameDate], "&lt;=" &amp; $A181, Table2[HomeTeam], D$1)</f>
        <v>0</v>
      </c>
      <c r="E181" s="145">
        <f>SUMIFS(Table2[NewPointsAway],Table2[GameDate], "&lt;=" &amp; $A181, Table2[AwayTeam], E$1)+SUMIFS(Table2[NewPointsHome],Table2[GameDate], "&lt;=" &amp; $A181, Table2[HomeTeam], E$1)</f>
        <v>0</v>
      </c>
      <c r="F181" s="145">
        <f>SUMIFS(Table2[NewPointsAway],Table2[GameDate], "&lt;=" &amp; $A181, Table2[AwayTeam], F$1)+SUMIFS(Table2[NewPointsHome],Table2[GameDate], "&lt;=" &amp; $A181, Table2[HomeTeam], F$1)</f>
        <v>0</v>
      </c>
      <c r="G181" s="145">
        <f>SUMIFS(Table2[NewPointsAway],Table2[GameDate], "&lt;=" &amp; $A181, Table2[AwayTeam], G$1)+SUMIFS(Table2[NewPointsHome],Table2[GameDate], "&lt;=" &amp; $A181, Table2[HomeTeam], G$1)</f>
        <v>2</v>
      </c>
      <c r="H181" s="145">
        <f>SUMIFS(Table2[NewPointsAway],Table2[GameDate], "&lt;=" &amp; $A181, Table2[AwayTeam], H$1)+SUMIFS(Table2[NewPointsHome],Table2[GameDate], "&lt;=" &amp; $A181, Table2[HomeTeam], H$1)</f>
        <v>0</v>
      </c>
      <c r="I181" s="145">
        <f>SUMIFS(Table2[NewPointsAway],Table2[GameDate], "&lt;=" &amp; $A181, Table2[AwayTeam], I$1)+SUMIFS(Table2[NewPointsHome],Table2[GameDate], "&lt;=" &amp; $A181, Table2[HomeTeam], I$1)</f>
        <v>2</v>
      </c>
      <c r="J181" s="145">
        <f>SUMIFS(Table2[NewPointsAway],Table2[GameDate], "&lt;=" &amp; $A181, Table2[AwayTeam], J$1)+SUMIFS(Table2[NewPointsHome],Table2[GameDate], "&lt;=" &amp; $A181, Table2[HomeTeam], J$1)</f>
        <v>0</v>
      </c>
      <c r="K181" s="145">
        <f>SUMIFS(Table2[NewPointsAway],Table2[GameDate], "&lt;=" &amp; $A181, Table2[AwayTeam], K$1)+SUMIFS(Table2[NewPointsHome],Table2[GameDate], "&lt;=" &amp; $A181, Table2[HomeTeam], K$1)</f>
        <v>0</v>
      </c>
      <c r="L181" s="145">
        <f>SUMIFS(Table2[NewPointsAway],Table2[GameDate], "&lt;=" &amp; $A181, Table2[AwayTeam], L$1)+SUMIFS(Table2[NewPointsHome],Table2[GameDate], "&lt;=" &amp; $A181, Table2[HomeTeam], L$1)</f>
        <v>1</v>
      </c>
      <c r="M181" s="145">
        <f>SUMIFS(Table2[NewPointsAway],Table2[GameDate], "&lt;=" &amp; $A181, Table2[AwayTeam], M$1)+SUMIFS(Table2[NewPointsHome],Table2[GameDate], "&lt;=" &amp; $A181, Table2[HomeTeam], M$1)</f>
        <v>2</v>
      </c>
      <c r="N181" s="145">
        <f>SUMIFS(Table2[NewPointsAway],Table2[GameDate], "&lt;=" &amp; $A181, Table2[AwayTeam], N$1)+SUMIFS(Table2[NewPointsHome],Table2[GameDate], "&lt;=" &amp; $A181, Table2[HomeTeam], N$1)</f>
        <v>2</v>
      </c>
      <c r="O181" s="145">
        <f>SUMIFS(Table2[NewPointsAway],Table2[GameDate], "&lt;=" &amp; $A181, Table2[AwayTeam], O$1)+SUMIFS(Table2[NewPointsHome],Table2[GameDate], "&lt;=" &amp; $A181, Table2[HomeTeam], O$1)</f>
        <v>0</v>
      </c>
      <c r="P181" s="145">
        <f>SUMIFS(Table2[NewPointsAway],Table2[GameDate], "&lt;=" &amp; $A181, Table2[AwayTeam], P$1)+SUMIFS(Table2[NewPointsHome],Table2[GameDate], "&lt;=" &amp; $A181, Table2[HomeTeam], P$1)</f>
        <v>0</v>
      </c>
      <c r="Q181" s="145">
        <f>SUMIFS(Table2[NewPointsAway],Table2[GameDate], "&lt;=" &amp; $A181, Table2[AwayTeam], Q$1)+SUMIFS(Table2[NewPointsHome],Table2[GameDate], "&lt;=" &amp; $A181, Table2[HomeTeam], Q$1)</f>
        <v>0</v>
      </c>
      <c r="R181" s="145">
        <f>SUMIFS(Table2[NewPointsAway],Table2[GameDate], "&lt;=" &amp; $A181, Table2[AwayTeam], R$1)+SUMIFS(Table2[NewPointsHome],Table2[GameDate], "&lt;=" &amp; $A181, Table2[HomeTeam], R$1)</f>
        <v>0</v>
      </c>
      <c r="S181" s="145">
        <f>SUMIFS(Table2[NewPointsAway],Table2[GameDate], "&lt;=" &amp; $A181, Table2[AwayTeam], S$1)+SUMIFS(Table2[NewPointsHome],Table2[GameDate], "&lt;=" &amp; $A181, Table2[HomeTeam], S$1)</f>
        <v>0</v>
      </c>
      <c r="T181" s="145">
        <f>SUMIFS(Table2[NewPointsAway],Table2[GameDate], "&lt;=" &amp; $A181, Table2[AwayTeam], T$1)+SUMIFS(Table2[NewPointsHome],Table2[GameDate], "&lt;=" &amp; $A181, Table2[HomeTeam], T$1)</f>
        <v>0</v>
      </c>
      <c r="U181" s="145">
        <f>SUMIFS(Table2[NewPointsAway],Table2[GameDate], "&lt;=" &amp; $A181, Table2[AwayTeam], U$1)+SUMIFS(Table2[NewPointsHome],Table2[GameDate], "&lt;=" &amp; $A181, Table2[HomeTeam], U$1)</f>
        <v>0</v>
      </c>
      <c r="V181" s="145">
        <f>SUMIFS(Table2[NewPointsAway],Table2[GameDate], "&lt;=" &amp; $A181, Table2[AwayTeam], V$1)+SUMIFS(Table2[NewPointsHome],Table2[GameDate], "&lt;=" &amp; $A181, Table2[HomeTeam], V$1)</f>
        <v>0</v>
      </c>
      <c r="W181" s="145">
        <f>SUMIFS(Table2[NewPointsAway],Table2[GameDate], "&lt;=" &amp; $A181, Table2[AwayTeam], W$1)+SUMIFS(Table2[NewPointsHome],Table2[GameDate], "&lt;=" &amp; $A181, Table2[HomeTeam], W$1)</f>
        <v>2</v>
      </c>
      <c r="X181" s="145">
        <f>SUMIFS(Table2[NewPointsAway],Table2[GameDate], "&lt;=" &amp; $A181, Table2[AwayTeam], X$1)+SUMIFS(Table2[NewPointsHome],Table2[GameDate], "&lt;=" &amp; $A181, Table2[HomeTeam], X$1)</f>
        <v>0</v>
      </c>
      <c r="Y181" s="145">
        <f>SUMIFS(Table2[NewPointsAway],Table2[GameDate], "&lt;=" &amp; $A181, Table2[AwayTeam], Y$1)+SUMIFS(Table2[NewPointsHome],Table2[GameDate], "&lt;=" &amp; $A181, Table2[HomeTeam], Y$1)</f>
        <v>0</v>
      </c>
      <c r="Z181" s="145">
        <f>SUMIFS(Table2[NewPointsAway],Table2[GameDate], "&lt;=" &amp; $A181, Table2[AwayTeam], Z$1)+SUMIFS(Table2[NewPointsHome],Table2[GameDate], "&lt;=" &amp; $A181, Table2[HomeTeam], Z$1)</f>
        <v>0</v>
      </c>
      <c r="AA181" s="145">
        <f>SUMIFS(Table2[NewPointsAway],Table2[GameDate], "&lt;=" &amp; $A181, Table2[AwayTeam], AA$1)+SUMIFS(Table2[NewPointsHome],Table2[GameDate], "&lt;=" &amp; $A181, Table2[HomeTeam], AA$1)</f>
        <v>0</v>
      </c>
      <c r="AB181" s="145">
        <f>SUMIFS(Table2[NewPointsAway],Table2[GameDate], "&lt;=" &amp; $A181, Table2[AwayTeam], AB$1)+SUMIFS(Table2[NewPointsHome],Table2[GameDate], "&lt;=" &amp; $A181, Table2[HomeTeam], AB$1)</f>
        <v>2</v>
      </c>
      <c r="AC181" s="145">
        <f>SUMIFS(Table2[NewPointsAway],Table2[GameDate], "&lt;=" &amp; $A181, Table2[AwayTeam], AC$1)+SUMIFS(Table2[NewPointsHome],Table2[GameDate], "&lt;=" &amp; $A181, Table2[HomeTeam], AC$1)</f>
        <v>0</v>
      </c>
      <c r="AD181" s="145">
        <f>SUMIFS(Table2[NewPointsAway],Table2[GameDate], "&lt;=" &amp; $A181, Table2[AwayTeam], AD$1)+SUMIFS(Table2[NewPointsHome],Table2[GameDate], "&lt;=" &amp; $A181, Table2[HomeTeam], AD$1)</f>
        <v>0</v>
      </c>
      <c r="AE181" s="145">
        <f>SUMIFS(Table2[NewPointsAway],Table2[GameDate], "&lt;=" &amp; $A181, Table2[AwayTeam], AE$1)+SUMIFS(Table2[NewPointsHome],Table2[GameDate], "&lt;=" &amp; $A181, Table2[HomeTeam], AE$1)</f>
        <v>1</v>
      </c>
      <c r="AF181" s="145">
        <f>SUMIFS(Table2[NewPointsAway],Table2[GameDate], "&lt;=" &amp; $A181, Table2[AwayTeam], AF$1)+SUMIFS(Table2[NewPointsHome],Table2[GameDate], "&lt;=" &amp; $A181, Table2[HomeTeam], AF$1)</f>
        <v>0</v>
      </c>
      <c r="AG181" s="145">
        <f>SUMIFS(Table2[NewPointsAway],Table2[GameDate], "&lt;=" &amp; $A181, Table2[AwayTeam], AG$1)+SUMIFS(Table2[NewPointsHome],Table2[GameDate], "&lt;=" &amp; $A181, Table2[HomeTeam], AG$1)</f>
        <v>0</v>
      </c>
    </row>
    <row r="182" spans="1:33" x14ac:dyDescent="0.25">
      <c r="A182" s="3">
        <v>46113</v>
      </c>
      <c r="B182" s="145">
        <f>SUMIFS(Table2[NewPointsAway],Table2[GameDate], "&lt;=" &amp; $A182, Table2[AwayTeam], B$1)+SUMIFS(Table2[NewPointsHome],Table2[GameDate], "&lt;=" &amp; $A182, Table2[HomeTeam], B$1)</f>
        <v>0</v>
      </c>
      <c r="C182" s="145">
        <f>SUMIFS(Table2[NewPointsAway],Table2[GameDate], "&lt;=" &amp; $A182, Table2[AwayTeam], C$1)+SUMIFS(Table2[NewPointsHome],Table2[GameDate], "&lt;=" &amp; $A182, Table2[HomeTeam], C$1)</f>
        <v>2</v>
      </c>
      <c r="D182" s="145">
        <f>SUMIFS(Table2[NewPointsAway],Table2[GameDate], "&lt;=" &amp; $A182, Table2[AwayTeam], D$1)+SUMIFS(Table2[NewPointsHome],Table2[GameDate], "&lt;=" &amp; $A182, Table2[HomeTeam], D$1)</f>
        <v>0</v>
      </c>
      <c r="E182" s="145">
        <f>SUMIFS(Table2[NewPointsAway],Table2[GameDate], "&lt;=" &amp; $A182, Table2[AwayTeam], E$1)+SUMIFS(Table2[NewPointsHome],Table2[GameDate], "&lt;=" &amp; $A182, Table2[HomeTeam], E$1)</f>
        <v>0</v>
      </c>
      <c r="F182" s="145">
        <f>SUMIFS(Table2[NewPointsAway],Table2[GameDate], "&lt;=" &amp; $A182, Table2[AwayTeam], F$1)+SUMIFS(Table2[NewPointsHome],Table2[GameDate], "&lt;=" &amp; $A182, Table2[HomeTeam], F$1)</f>
        <v>0</v>
      </c>
      <c r="G182" s="145">
        <f>SUMIFS(Table2[NewPointsAway],Table2[GameDate], "&lt;=" &amp; $A182, Table2[AwayTeam], G$1)+SUMIFS(Table2[NewPointsHome],Table2[GameDate], "&lt;=" &amp; $A182, Table2[HomeTeam], G$1)</f>
        <v>2</v>
      </c>
      <c r="H182" s="145">
        <f>SUMIFS(Table2[NewPointsAway],Table2[GameDate], "&lt;=" &amp; $A182, Table2[AwayTeam], H$1)+SUMIFS(Table2[NewPointsHome],Table2[GameDate], "&lt;=" &amp; $A182, Table2[HomeTeam], H$1)</f>
        <v>0</v>
      </c>
      <c r="I182" s="145">
        <f>SUMIFS(Table2[NewPointsAway],Table2[GameDate], "&lt;=" &amp; $A182, Table2[AwayTeam], I$1)+SUMIFS(Table2[NewPointsHome],Table2[GameDate], "&lt;=" &amp; $A182, Table2[HomeTeam], I$1)</f>
        <v>2</v>
      </c>
      <c r="J182" s="145">
        <f>SUMIFS(Table2[NewPointsAway],Table2[GameDate], "&lt;=" &amp; $A182, Table2[AwayTeam], J$1)+SUMIFS(Table2[NewPointsHome],Table2[GameDate], "&lt;=" &amp; $A182, Table2[HomeTeam], J$1)</f>
        <v>0</v>
      </c>
      <c r="K182" s="145">
        <f>SUMIFS(Table2[NewPointsAway],Table2[GameDate], "&lt;=" &amp; $A182, Table2[AwayTeam], K$1)+SUMIFS(Table2[NewPointsHome],Table2[GameDate], "&lt;=" &amp; $A182, Table2[HomeTeam], K$1)</f>
        <v>0</v>
      </c>
      <c r="L182" s="145">
        <f>SUMIFS(Table2[NewPointsAway],Table2[GameDate], "&lt;=" &amp; $A182, Table2[AwayTeam], L$1)+SUMIFS(Table2[NewPointsHome],Table2[GameDate], "&lt;=" &amp; $A182, Table2[HomeTeam], L$1)</f>
        <v>1</v>
      </c>
      <c r="M182" s="145">
        <f>SUMIFS(Table2[NewPointsAway],Table2[GameDate], "&lt;=" &amp; $A182, Table2[AwayTeam], M$1)+SUMIFS(Table2[NewPointsHome],Table2[GameDate], "&lt;=" &amp; $A182, Table2[HomeTeam], M$1)</f>
        <v>2</v>
      </c>
      <c r="N182" s="145">
        <f>SUMIFS(Table2[NewPointsAway],Table2[GameDate], "&lt;=" &amp; $A182, Table2[AwayTeam], N$1)+SUMIFS(Table2[NewPointsHome],Table2[GameDate], "&lt;=" &amp; $A182, Table2[HomeTeam], N$1)</f>
        <v>2</v>
      </c>
      <c r="O182" s="145">
        <f>SUMIFS(Table2[NewPointsAway],Table2[GameDate], "&lt;=" &amp; $A182, Table2[AwayTeam], O$1)+SUMIFS(Table2[NewPointsHome],Table2[GameDate], "&lt;=" &amp; $A182, Table2[HomeTeam], O$1)</f>
        <v>0</v>
      </c>
      <c r="P182" s="145">
        <f>SUMIFS(Table2[NewPointsAway],Table2[GameDate], "&lt;=" &amp; $A182, Table2[AwayTeam], P$1)+SUMIFS(Table2[NewPointsHome],Table2[GameDate], "&lt;=" &amp; $A182, Table2[HomeTeam], P$1)</f>
        <v>0</v>
      </c>
      <c r="Q182" s="145">
        <f>SUMIFS(Table2[NewPointsAway],Table2[GameDate], "&lt;=" &amp; $A182, Table2[AwayTeam], Q$1)+SUMIFS(Table2[NewPointsHome],Table2[GameDate], "&lt;=" &amp; $A182, Table2[HomeTeam], Q$1)</f>
        <v>0</v>
      </c>
      <c r="R182" s="145">
        <f>SUMIFS(Table2[NewPointsAway],Table2[GameDate], "&lt;=" &amp; $A182, Table2[AwayTeam], R$1)+SUMIFS(Table2[NewPointsHome],Table2[GameDate], "&lt;=" &amp; $A182, Table2[HomeTeam], R$1)</f>
        <v>0</v>
      </c>
      <c r="S182" s="145">
        <f>SUMIFS(Table2[NewPointsAway],Table2[GameDate], "&lt;=" &amp; $A182, Table2[AwayTeam], S$1)+SUMIFS(Table2[NewPointsHome],Table2[GameDate], "&lt;=" &amp; $A182, Table2[HomeTeam], S$1)</f>
        <v>0</v>
      </c>
      <c r="T182" s="145">
        <f>SUMIFS(Table2[NewPointsAway],Table2[GameDate], "&lt;=" &amp; $A182, Table2[AwayTeam], T$1)+SUMIFS(Table2[NewPointsHome],Table2[GameDate], "&lt;=" &amp; $A182, Table2[HomeTeam], T$1)</f>
        <v>0</v>
      </c>
      <c r="U182" s="145">
        <f>SUMIFS(Table2[NewPointsAway],Table2[GameDate], "&lt;=" &amp; $A182, Table2[AwayTeam], U$1)+SUMIFS(Table2[NewPointsHome],Table2[GameDate], "&lt;=" &amp; $A182, Table2[HomeTeam], U$1)</f>
        <v>0</v>
      </c>
      <c r="V182" s="145">
        <f>SUMIFS(Table2[NewPointsAway],Table2[GameDate], "&lt;=" &amp; $A182, Table2[AwayTeam], V$1)+SUMIFS(Table2[NewPointsHome],Table2[GameDate], "&lt;=" &amp; $A182, Table2[HomeTeam], V$1)</f>
        <v>0</v>
      </c>
      <c r="W182" s="145">
        <f>SUMIFS(Table2[NewPointsAway],Table2[GameDate], "&lt;=" &amp; $A182, Table2[AwayTeam], W$1)+SUMIFS(Table2[NewPointsHome],Table2[GameDate], "&lt;=" &amp; $A182, Table2[HomeTeam], W$1)</f>
        <v>2</v>
      </c>
      <c r="X182" s="145">
        <f>SUMIFS(Table2[NewPointsAway],Table2[GameDate], "&lt;=" &amp; $A182, Table2[AwayTeam], X$1)+SUMIFS(Table2[NewPointsHome],Table2[GameDate], "&lt;=" &amp; $A182, Table2[HomeTeam], X$1)</f>
        <v>0</v>
      </c>
      <c r="Y182" s="145">
        <f>SUMIFS(Table2[NewPointsAway],Table2[GameDate], "&lt;=" &amp; $A182, Table2[AwayTeam], Y$1)+SUMIFS(Table2[NewPointsHome],Table2[GameDate], "&lt;=" &amp; $A182, Table2[HomeTeam], Y$1)</f>
        <v>0</v>
      </c>
      <c r="Z182" s="145">
        <f>SUMIFS(Table2[NewPointsAway],Table2[GameDate], "&lt;=" &amp; $A182, Table2[AwayTeam], Z$1)+SUMIFS(Table2[NewPointsHome],Table2[GameDate], "&lt;=" &amp; $A182, Table2[HomeTeam], Z$1)</f>
        <v>0</v>
      </c>
      <c r="AA182" s="145">
        <f>SUMIFS(Table2[NewPointsAway],Table2[GameDate], "&lt;=" &amp; $A182, Table2[AwayTeam], AA$1)+SUMIFS(Table2[NewPointsHome],Table2[GameDate], "&lt;=" &amp; $A182, Table2[HomeTeam], AA$1)</f>
        <v>0</v>
      </c>
      <c r="AB182" s="145">
        <f>SUMIFS(Table2[NewPointsAway],Table2[GameDate], "&lt;=" &amp; $A182, Table2[AwayTeam], AB$1)+SUMIFS(Table2[NewPointsHome],Table2[GameDate], "&lt;=" &amp; $A182, Table2[HomeTeam], AB$1)</f>
        <v>2</v>
      </c>
      <c r="AC182" s="145">
        <f>SUMIFS(Table2[NewPointsAway],Table2[GameDate], "&lt;=" &amp; $A182, Table2[AwayTeam], AC$1)+SUMIFS(Table2[NewPointsHome],Table2[GameDate], "&lt;=" &amp; $A182, Table2[HomeTeam], AC$1)</f>
        <v>0</v>
      </c>
      <c r="AD182" s="145">
        <f>SUMIFS(Table2[NewPointsAway],Table2[GameDate], "&lt;=" &amp; $A182, Table2[AwayTeam], AD$1)+SUMIFS(Table2[NewPointsHome],Table2[GameDate], "&lt;=" &amp; $A182, Table2[HomeTeam], AD$1)</f>
        <v>0</v>
      </c>
      <c r="AE182" s="145">
        <f>SUMIFS(Table2[NewPointsAway],Table2[GameDate], "&lt;=" &amp; $A182, Table2[AwayTeam], AE$1)+SUMIFS(Table2[NewPointsHome],Table2[GameDate], "&lt;=" &amp; $A182, Table2[HomeTeam], AE$1)</f>
        <v>1</v>
      </c>
      <c r="AF182" s="145">
        <f>SUMIFS(Table2[NewPointsAway],Table2[GameDate], "&lt;=" &amp; $A182, Table2[AwayTeam], AF$1)+SUMIFS(Table2[NewPointsHome],Table2[GameDate], "&lt;=" &amp; $A182, Table2[HomeTeam], AF$1)</f>
        <v>0</v>
      </c>
      <c r="AG182" s="145">
        <f>SUMIFS(Table2[NewPointsAway],Table2[GameDate], "&lt;=" &amp; $A182, Table2[AwayTeam], AG$1)+SUMIFS(Table2[NewPointsHome],Table2[GameDate], "&lt;=" &amp; $A182, Table2[HomeTeam], AG$1)</f>
        <v>0</v>
      </c>
    </row>
    <row r="183" spans="1:33" x14ac:dyDescent="0.25">
      <c r="A183" s="3">
        <v>46114</v>
      </c>
      <c r="B183" s="145">
        <f>SUMIFS(Table2[NewPointsAway],Table2[GameDate], "&lt;=" &amp; $A183, Table2[AwayTeam], B$1)+SUMIFS(Table2[NewPointsHome],Table2[GameDate], "&lt;=" &amp; $A183, Table2[HomeTeam], B$1)</f>
        <v>0</v>
      </c>
      <c r="C183" s="145">
        <f>SUMIFS(Table2[NewPointsAway],Table2[GameDate], "&lt;=" &amp; $A183, Table2[AwayTeam], C$1)+SUMIFS(Table2[NewPointsHome],Table2[GameDate], "&lt;=" &amp; $A183, Table2[HomeTeam], C$1)</f>
        <v>2</v>
      </c>
      <c r="D183" s="145">
        <f>SUMIFS(Table2[NewPointsAway],Table2[GameDate], "&lt;=" &amp; $A183, Table2[AwayTeam], D$1)+SUMIFS(Table2[NewPointsHome],Table2[GameDate], "&lt;=" &amp; $A183, Table2[HomeTeam], D$1)</f>
        <v>0</v>
      </c>
      <c r="E183" s="145">
        <f>SUMIFS(Table2[NewPointsAway],Table2[GameDate], "&lt;=" &amp; $A183, Table2[AwayTeam], E$1)+SUMIFS(Table2[NewPointsHome],Table2[GameDate], "&lt;=" &amp; $A183, Table2[HomeTeam], E$1)</f>
        <v>0</v>
      </c>
      <c r="F183" s="145">
        <f>SUMIFS(Table2[NewPointsAway],Table2[GameDate], "&lt;=" &amp; $A183, Table2[AwayTeam], F$1)+SUMIFS(Table2[NewPointsHome],Table2[GameDate], "&lt;=" &amp; $A183, Table2[HomeTeam], F$1)</f>
        <v>0</v>
      </c>
      <c r="G183" s="145">
        <f>SUMIFS(Table2[NewPointsAway],Table2[GameDate], "&lt;=" &amp; $A183, Table2[AwayTeam], G$1)+SUMIFS(Table2[NewPointsHome],Table2[GameDate], "&lt;=" &amp; $A183, Table2[HomeTeam], G$1)</f>
        <v>2</v>
      </c>
      <c r="H183" s="145">
        <f>SUMIFS(Table2[NewPointsAway],Table2[GameDate], "&lt;=" &amp; $A183, Table2[AwayTeam], H$1)+SUMIFS(Table2[NewPointsHome],Table2[GameDate], "&lt;=" &amp; $A183, Table2[HomeTeam], H$1)</f>
        <v>0</v>
      </c>
      <c r="I183" s="145">
        <f>SUMIFS(Table2[NewPointsAway],Table2[GameDate], "&lt;=" &amp; $A183, Table2[AwayTeam], I$1)+SUMIFS(Table2[NewPointsHome],Table2[GameDate], "&lt;=" &amp; $A183, Table2[HomeTeam], I$1)</f>
        <v>2</v>
      </c>
      <c r="J183" s="145">
        <f>SUMIFS(Table2[NewPointsAway],Table2[GameDate], "&lt;=" &amp; $A183, Table2[AwayTeam], J$1)+SUMIFS(Table2[NewPointsHome],Table2[GameDate], "&lt;=" &amp; $A183, Table2[HomeTeam], J$1)</f>
        <v>0</v>
      </c>
      <c r="K183" s="145">
        <f>SUMIFS(Table2[NewPointsAway],Table2[GameDate], "&lt;=" &amp; $A183, Table2[AwayTeam], K$1)+SUMIFS(Table2[NewPointsHome],Table2[GameDate], "&lt;=" &amp; $A183, Table2[HomeTeam], K$1)</f>
        <v>0</v>
      </c>
      <c r="L183" s="145">
        <f>SUMIFS(Table2[NewPointsAway],Table2[GameDate], "&lt;=" &amp; $A183, Table2[AwayTeam], L$1)+SUMIFS(Table2[NewPointsHome],Table2[GameDate], "&lt;=" &amp; $A183, Table2[HomeTeam], L$1)</f>
        <v>1</v>
      </c>
      <c r="M183" s="145">
        <f>SUMIFS(Table2[NewPointsAway],Table2[GameDate], "&lt;=" &amp; $A183, Table2[AwayTeam], M$1)+SUMIFS(Table2[NewPointsHome],Table2[GameDate], "&lt;=" &amp; $A183, Table2[HomeTeam], M$1)</f>
        <v>2</v>
      </c>
      <c r="N183" s="145">
        <f>SUMIFS(Table2[NewPointsAway],Table2[GameDate], "&lt;=" &amp; $A183, Table2[AwayTeam], N$1)+SUMIFS(Table2[NewPointsHome],Table2[GameDate], "&lt;=" &amp; $A183, Table2[HomeTeam], N$1)</f>
        <v>2</v>
      </c>
      <c r="O183" s="145">
        <f>SUMIFS(Table2[NewPointsAway],Table2[GameDate], "&lt;=" &amp; $A183, Table2[AwayTeam], O$1)+SUMIFS(Table2[NewPointsHome],Table2[GameDate], "&lt;=" &amp; $A183, Table2[HomeTeam], O$1)</f>
        <v>0</v>
      </c>
      <c r="P183" s="145">
        <f>SUMIFS(Table2[NewPointsAway],Table2[GameDate], "&lt;=" &amp; $A183, Table2[AwayTeam], P$1)+SUMIFS(Table2[NewPointsHome],Table2[GameDate], "&lt;=" &amp; $A183, Table2[HomeTeam], P$1)</f>
        <v>0</v>
      </c>
      <c r="Q183" s="145">
        <f>SUMIFS(Table2[NewPointsAway],Table2[GameDate], "&lt;=" &amp; $A183, Table2[AwayTeam], Q$1)+SUMIFS(Table2[NewPointsHome],Table2[GameDate], "&lt;=" &amp; $A183, Table2[HomeTeam], Q$1)</f>
        <v>0</v>
      </c>
      <c r="R183" s="145">
        <f>SUMIFS(Table2[NewPointsAway],Table2[GameDate], "&lt;=" &amp; $A183, Table2[AwayTeam], R$1)+SUMIFS(Table2[NewPointsHome],Table2[GameDate], "&lt;=" &amp; $A183, Table2[HomeTeam], R$1)</f>
        <v>0</v>
      </c>
      <c r="S183" s="145">
        <f>SUMIFS(Table2[NewPointsAway],Table2[GameDate], "&lt;=" &amp; $A183, Table2[AwayTeam], S$1)+SUMIFS(Table2[NewPointsHome],Table2[GameDate], "&lt;=" &amp; $A183, Table2[HomeTeam], S$1)</f>
        <v>0</v>
      </c>
      <c r="T183" s="145">
        <f>SUMIFS(Table2[NewPointsAway],Table2[GameDate], "&lt;=" &amp; $A183, Table2[AwayTeam], T$1)+SUMIFS(Table2[NewPointsHome],Table2[GameDate], "&lt;=" &amp; $A183, Table2[HomeTeam], T$1)</f>
        <v>0</v>
      </c>
      <c r="U183" s="145">
        <f>SUMIFS(Table2[NewPointsAway],Table2[GameDate], "&lt;=" &amp; $A183, Table2[AwayTeam], U$1)+SUMIFS(Table2[NewPointsHome],Table2[GameDate], "&lt;=" &amp; $A183, Table2[HomeTeam], U$1)</f>
        <v>0</v>
      </c>
      <c r="V183" s="145">
        <f>SUMIFS(Table2[NewPointsAway],Table2[GameDate], "&lt;=" &amp; $A183, Table2[AwayTeam], V$1)+SUMIFS(Table2[NewPointsHome],Table2[GameDate], "&lt;=" &amp; $A183, Table2[HomeTeam], V$1)</f>
        <v>0</v>
      </c>
      <c r="W183" s="145">
        <f>SUMIFS(Table2[NewPointsAway],Table2[GameDate], "&lt;=" &amp; $A183, Table2[AwayTeam], W$1)+SUMIFS(Table2[NewPointsHome],Table2[GameDate], "&lt;=" &amp; $A183, Table2[HomeTeam], W$1)</f>
        <v>2</v>
      </c>
      <c r="X183" s="145">
        <f>SUMIFS(Table2[NewPointsAway],Table2[GameDate], "&lt;=" &amp; $A183, Table2[AwayTeam], X$1)+SUMIFS(Table2[NewPointsHome],Table2[GameDate], "&lt;=" &amp; $A183, Table2[HomeTeam], X$1)</f>
        <v>0</v>
      </c>
      <c r="Y183" s="145">
        <f>SUMIFS(Table2[NewPointsAway],Table2[GameDate], "&lt;=" &amp; $A183, Table2[AwayTeam], Y$1)+SUMIFS(Table2[NewPointsHome],Table2[GameDate], "&lt;=" &amp; $A183, Table2[HomeTeam], Y$1)</f>
        <v>0</v>
      </c>
      <c r="Z183" s="145">
        <f>SUMIFS(Table2[NewPointsAway],Table2[GameDate], "&lt;=" &amp; $A183, Table2[AwayTeam], Z$1)+SUMIFS(Table2[NewPointsHome],Table2[GameDate], "&lt;=" &amp; $A183, Table2[HomeTeam], Z$1)</f>
        <v>0</v>
      </c>
      <c r="AA183" s="145">
        <f>SUMIFS(Table2[NewPointsAway],Table2[GameDate], "&lt;=" &amp; $A183, Table2[AwayTeam], AA$1)+SUMIFS(Table2[NewPointsHome],Table2[GameDate], "&lt;=" &amp; $A183, Table2[HomeTeam], AA$1)</f>
        <v>0</v>
      </c>
      <c r="AB183" s="145">
        <f>SUMIFS(Table2[NewPointsAway],Table2[GameDate], "&lt;=" &amp; $A183, Table2[AwayTeam], AB$1)+SUMIFS(Table2[NewPointsHome],Table2[GameDate], "&lt;=" &amp; $A183, Table2[HomeTeam], AB$1)</f>
        <v>2</v>
      </c>
      <c r="AC183" s="145">
        <f>SUMIFS(Table2[NewPointsAway],Table2[GameDate], "&lt;=" &amp; $A183, Table2[AwayTeam], AC$1)+SUMIFS(Table2[NewPointsHome],Table2[GameDate], "&lt;=" &amp; $A183, Table2[HomeTeam], AC$1)</f>
        <v>0</v>
      </c>
      <c r="AD183" s="145">
        <f>SUMIFS(Table2[NewPointsAway],Table2[GameDate], "&lt;=" &amp; $A183, Table2[AwayTeam], AD$1)+SUMIFS(Table2[NewPointsHome],Table2[GameDate], "&lt;=" &amp; $A183, Table2[HomeTeam], AD$1)</f>
        <v>0</v>
      </c>
      <c r="AE183" s="145">
        <f>SUMIFS(Table2[NewPointsAway],Table2[GameDate], "&lt;=" &amp; $A183, Table2[AwayTeam], AE$1)+SUMIFS(Table2[NewPointsHome],Table2[GameDate], "&lt;=" &amp; $A183, Table2[HomeTeam], AE$1)</f>
        <v>1</v>
      </c>
      <c r="AF183" s="145">
        <f>SUMIFS(Table2[NewPointsAway],Table2[GameDate], "&lt;=" &amp; $A183, Table2[AwayTeam], AF$1)+SUMIFS(Table2[NewPointsHome],Table2[GameDate], "&lt;=" &amp; $A183, Table2[HomeTeam], AF$1)</f>
        <v>0</v>
      </c>
      <c r="AG183" s="145">
        <f>SUMIFS(Table2[NewPointsAway],Table2[GameDate], "&lt;=" &amp; $A183, Table2[AwayTeam], AG$1)+SUMIFS(Table2[NewPointsHome],Table2[GameDate], "&lt;=" &amp; $A183, Table2[HomeTeam], AG$1)</f>
        <v>0</v>
      </c>
    </row>
    <row r="184" spans="1:33" x14ac:dyDescent="0.25">
      <c r="A184" s="3">
        <v>46115</v>
      </c>
      <c r="B184" s="145">
        <f>SUMIFS(Table2[NewPointsAway],Table2[GameDate], "&lt;=" &amp; $A184, Table2[AwayTeam], B$1)+SUMIFS(Table2[NewPointsHome],Table2[GameDate], "&lt;=" &amp; $A184, Table2[HomeTeam], B$1)</f>
        <v>0</v>
      </c>
      <c r="C184" s="145">
        <f>SUMIFS(Table2[NewPointsAway],Table2[GameDate], "&lt;=" &amp; $A184, Table2[AwayTeam], C$1)+SUMIFS(Table2[NewPointsHome],Table2[GameDate], "&lt;=" &amp; $A184, Table2[HomeTeam], C$1)</f>
        <v>2</v>
      </c>
      <c r="D184" s="145">
        <f>SUMIFS(Table2[NewPointsAway],Table2[GameDate], "&lt;=" &amp; $A184, Table2[AwayTeam], D$1)+SUMIFS(Table2[NewPointsHome],Table2[GameDate], "&lt;=" &amp; $A184, Table2[HomeTeam], D$1)</f>
        <v>0</v>
      </c>
      <c r="E184" s="145">
        <f>SUMIFS(Table2[NewPointsAway],Table2[GameDate], "&lt;=" &amp; $A184, Table2[AwayTeam], E$1)+SUMIFS(Table2[NewPointsHome],Table2[GameDate], "&lt;=" &amp; $A184, Table2[HomeTeam], E$1)</f>
        <v>0</v>
      </c>
      <c r="F184" s="145">
        <f>SUMIFS(Table2[NewPointsAway],Table2[GameDate], "&lt;=" &amp; $A184, Table2[AwayTeam], F$1)+SUMIFS(Table2[NewPointsHome],Table2[GameDate], "&lt;=" &amp; $A184, Table2[HomeTeam], F$1)</f>
        <v>0</v>
      </c>
      <c r="G184" s="145">
        <f>SUMIFS(Table2[NewPointsAway],Table2[GameDate], "&lt;=" &amp; $A184, Table2[AwayTeam], G$1)+SUMIFS(Table2[NewPointsHome],Table2[GameDate], "&lt;=" &amp; $A184, Table2[HomeTeam], G$1)</f>
        <v>2</v>
      </c>
      <c r="H184" s="145">
        <f>SUMIFS(Table2[NewPointsAway],Table2[GameDate], "&lt;=" &amp; $A184, Table2[AwayTeam], H$1)+SUMIFS(Table2[NewPointsHome],Table2[GameDate], "&lt;=" &amp; $A184, Table2[HomeTeam], H$1)</f>
        <v>0</v>
      </c>
      <c r="I184" s="145">
        <f>SUMIFS(Table2[NewPointsAway],Table2[GameDate], "&lt;=" &amp; $A184, Table2[AwayTeam], I$1)+SUMIFS(Table2[NewPointsHome],Table2[GameDate], "&lt;=" &amp; $A184, Table2[HomeTeam], I$1)</f>
        <v>2</v>
      </c>
      <c r="J184" s="145">
        <f>SUMIFS(Table2[NewPointsAway],Table2[GameDate], "&lt;=" &amp; $A184, Table2[AwayTeam], J$1)+SUMIFS(Table2[NewPointsHome],Table2[GameDate], "&lt;=" &amp; $A184, Table2[HomeTeam], J$1)</f>
        <v>0</v>
      </c>
      <c r="K184" s="145">
        <f>SUMIFS(Table2[NewPointsAway],Table2[GameDate], "&lt;=" &amp; $A184, Table2[AwayTeam], K$1)+SUMIFS(Table2[NewPointsHome],Table2[GameDate], "&lt;=" &amp; $A184, Table2[HomeTeam], K$1)</f>
        <v>0</v>
      </c>
      <c r="L184" s="145">
        <f>SUMIFS(Table2[NewPointsAway],Table2[GameDate], "&lt;=" &amp; $A184, Table2[AwayTeam], L$1)+SUMIFS(Table2[NewPointsHome],Table2[GameDate], "&lt;=" &amp; $A184, Table2[HomeTeam], L$1)</f>
        <v>1</v>
      </c>
      <c r="M184" s="145">
        <f>SUMIFS(Table2[NewPointsAway],Table2[GameDate], "&lt;=" &amp; $A184, Table2[AwayTeam], M$1)+SUMIFS(Table2[NewPointsHome],Table2[GameDate], "&lt;=" &amp; $A184, Table2[HomeTeam], M$1)</f>
        <v>2</v>
      </c>
      <c r="N184" s="145">
        <f>SUMIFS(Table2[NewPointsAway],Table2[GameDate], "&lt;=" &amp; $A184, Table2[AwayTeam], N$1)+SUMIFS(Table2[NewPointsHome],Table2[GameDate], "&lt;=" &amp; $A184, Table2[HomeTeam], N$1)</f>
        <v>2</v>
      </c>
      <c r="O184" s="145">
        <f>SUMIFS(Table2[NewPointsAway],Table2[GameDate], "&lt;=" &amp; $A184, Table2[AwayTeam], O$1)+SUMIFS(Table2[NewPointsHome],Table2[GameDate], "&lt;=" &amp; $A184, Table2[HomeTeam], O$1)</f>
        <v>0</v>
      </c>
      <c r="P184" s="145">
        <f>SUMIFS(Table2[NewPointsAway],Table2[GameDate], "&lt;=" &amp; $A184, Table2[AwayTeam], P$1)+SUMIFS(Table2[NewPointsHome],Table2[GameDate], "&lt;=" &amp; $A184, Table2[HomeTeam], P$1)</f>
        <v>0</v>
      </c>
      <c r="Q184" s="145">
        <f>SUMIFS(Table2[NewPointsAway],Table2[GameDate], "&lt;=" &amp; $A184, Table2[AwayTeam], Q$1)+SUMIFS(Table2[NewPointsHome],Table2[GameDate], "&lt;=" &amp; $A184, Table2[HomeTeam], Q$1)</f>
        <v>0</v>
      </c>
      <c r="R184" s="145">
        <f>SUMIFS(Table2[NewPointsAway],Table2[GameDate], "&lt;=" &amp; $A184, Table2[AwayTeam], R$1)+SUMIFS(Table2[NewPointsHome],Table2[GameDate], "&lt;=" &amp; $A184, Table2[HomeTeam], R$1)</f>
        <v>0</v>
      </c>
      <c r="S184" s="145">
        <f>SUMIFS(Table2[NewPointsAway],Table2[GameDate], "&lt;=" &amp; $A184, Table2[AwayTeam], S$1)+SUMIFS(Table2[NewPointsHome],Table2[GameDate], "&lt;=" &amp; $A184, Table2[HomeTeam], S$1)</f>
        <v>0</v>
      </c>
      <c r="T184" s="145">
        <f>SUMIFS(Table2[NewPointsAway],Table2[GameDate], "&lt;=" &amp; $A184, Table2[AwayTeam], T$1)+SUMIFS(Table2[NewPointsHome],Table2[GameDate], "&lt;=" &amp; $A184, Table2[HomeTeam], T$1)</f>
        <v>0</v>
      </c>
      <c r="U184" s="145">
        <f>SUMIFS(Table2[NewPointsAway],Table2[GameDate], "&lt;=" &amp; $A184, Table2[AwayTeam], U$1)+SUMIFS(Table2[NewPointsHome],Table2[GameDate], "&lt;=" &amp; $A184, Table2[HomeTeam], U$1)</f>
        <v>0</v>
      </c>
      <c r="V184" s="145">
        <f>SUMIFS(Table2[NewPointsAway],Table2[GameDate], "&lt;=" &amp; $A184, Table2[AwayTeam], V$1)+SUMIFS(Table2[NewPointsHome],Table2[GameDate], "&lt;=" &amp; $A184, Table2[HomeTeam], V$1)</f>
        <v>0</v>
      </c>
      <c r="W184" s="145">
        <f>SUMIFS(Table2[NewPointsAway],Table2[GameDate], "&lt;=" &amp; $A184, Table2[AwayTeam], W$1)+SUMIFS(Table2[NewPointsHome],Table2[GameDate], "&lt;=" &amp; $A184, Table2[HomeTeam], W$1)</f>
        <v>2</v>
      </c>
      <c r="X184" s="145">
        <f>SUMIFS(Table2[NewPointsAway],Table2[GameDate], "&lt;=" &amp; $A184, Table2[AwayTeam], X$1)+SUMIFS(Table2[NewPointsHome],Table2[GameDate], "&lt;=" &amp; $A184, Table2[HomeTeam], X$1)</f>
        <v>0</v>
      </c>
      <c r="Y184" s="145">
        <f>SUMIFS(Table2[NewPointsAway],Table2[GameDate], "&lt;=" &amp; $A184, Table2[AwayTeam], Y$1)+SUMIFS(Table2[NewPointsHome],Table2[GameDate], "&lt;=" &amp; $A184, Table2[HomeTeam], Y$1)</f>
        <v>0</v>
      </c>
      <c r="Z184" s="145">
        <f>SUMIFS(Table2[NewPointsAway],Table2[GameDate], "&lt;=" &amp; $A184, Table2[AwayTeam], Z$1)+SUMIFS(Table2[NewPointsHome],Table2[GameDate], "&lt;=" &amp; $A184, Table2[HomeTeam], Z$1)</f>
        <v>0</v>
      </c>
      <c r="AA184" s="145">
        <f>SUMIFS(Table2[NewPointsAway],Table2[GameDate], "&lt;=" &amp; $A184, Table2[AwayTeam], AA$1)+SUMIFS(Table2[NewPointsHome],Table2[GameDate], "&lt;=" &amp; $A184, Table2[HomeTeam], AA$1)</f>
        <v>0</v>
      </c>
      <c r="AB184" s="145">
        <f>SUMIFS(Table2[NewPointsAway],Table2[GameDate], "&lt;=" &amp; $A184, Table2[AwayTeam], AB$1)+SUMIFS(Table2[NewPointsHome],Table2[GameDate], "&lt;=" &amp; $A184, Table2[HomeTeam], AB$1)</f>
        <v>2</v>
      </c>
      <c r="AC184" s="145">
        <f>SUMIFS(Table2[NewPointsAway],Table2[GameDate], "&lt;=" &amp; $A184, Table2[AwayTeam], AC$1)+SUMIFS(Table2[NewPointsHome],Table2[GameDate], "&lt;=" &amp; $A184, Table2[HomeTeam], AC$1)</f>
        <v>0</v>
      </c>
      <c r="AD184" s="145">
        <f>SUMIFS(Table2[NewPointsAway],Table2[GameDate], "&lt;=" &amp; $A184, Table2[AwayTeam], AD$1)+SUMIFS(Table2[NewPointsHome],Table2[GameDate], "&lt;=" &amp; $A184, Table2[HomeTeam], AD$1)</f>
        <v>0</v>
      </c>
      <c r="AE184" s="145">
        <f>SUMIFS(Table2[NewPointsAway],Table2[GameDate], "&lt;=" &amp; $A184, Table2[AwayTeam], AE$1)+SUMIFS(Table2[NewPointsHome],Table2[GameDate], "&lt;=" &amp; $A184, Table2[HomeTeam], AE$1)</f>
        <v>1</v>
      </c>
      <c r="AF184" s="145">
        <f>SUMIFS(Table2[NewPointsAway],Table2[GameDate], "&lt;=" &amp; $A184, Table2[AwayTeam], AF$1)+SUMIFS(Table2[NewPointsHome],Table2[GameDate], "&lt;=" &amp; $A184, Table2[HomeTeam], AF$1)</f>
        <v>0</v>
      </c>
      <c r="AG184" s="145">
        <f>SUMIFS(Table2[NewPointsAway],Table2[GameDate], "&lt;=" &amp; $A184, Table2[AwayTeam], AG$1)+SUMIFS(Table2[NewPointsHome],Table2[GameDate], "&lt;=" &amp; $A184, Table2[HomeTeam], AG$1)</f>
        <v>0</v>
      </c>
    </row>
    <row r="185" spans="1:33" x14ac:dyDescent="0.25">
      <c r="A185" s="3">
        <v>46116</v>
      </c>
      <c r="B185" s="145">
        <f>SUMIFS(Table2[NewPointsAway],Table2[GameDate], "&lt;=" &amp; $A185, Table2[AwayTeam], B$1)+SUMIFS(Table2[NewPointsHome],Table2[GameDate], "&lt;=" &amp; $A185, Table2[HomeTeam], B$1)</f>
        <v>0</v>
      </c>
      <c r="C185" s="145">
        <f>SUMIFS(Table2[NewPointsAway],Table2[GameDate], "&lt;=" &amp; $A185, Table2[AwayTeam], C$1)+SUMIFS(Table2[NewPointsHome],Table2[GameDate], "&lt;=" &amp; $A185, Table2[HomeTeam], C$1)</f>
        <v>2</v>
      </c>
      <c r="D185" s="145">
        <f>SUMIFS(Table2[NewPointsAway],Table2[GameDate], "&lt;=" &amp; $A185, Table2[AwayTeam], D$1)+SUMIFS(Table2[NewPointsHome],Table2[GameDate], "&lt;=" &amp; $A185, Table2[HomeTeam], D$1)</f>
        <v>0</v>
      </c>
      <c r="E185" s="145">
        <f>SUMIFS(Table2[NewPointsAway],Table2[GameDate], "&lt;=" &amp; $A185, Table2[AwayTeam], E$1)+SUMIFS(Table2[NewPointsHome],Table2[GameDate], "&lt;=" &amp; $A185, Table2[HomeTeam], E$1)</f>
        <v>0</v>
      </c>
      <c r="F185" s="145">
        <f>SUMIFS(Table2[NewPointsAway],Table2[GameDate], "&lt;=" &amp; $A185, Table2[AwayTeam], F$1)+SUMIFS(Table2[NewPointsHome],Table2[GameDate], "&lt;=" &amp; $A185, Table2[HomeTeam], F$1)</f>
        <v>0</v>
      </c>
      <c r="G185" s="145">
        <f>SUMIFS(Table2[NewPointsAway],Table2[GameDate], "&lt;=" &amp; $A185, Table2[AwayTeam], G$1)+SUMIFS(Table2[NewPointsHome],Table2[GameDate], "&lt;=" &amp; $A185, Table2[HomeTeam], G$1)</f>
        <v>2</v>
      </c>
      <c r="H185" s="145">
        <f>SUMIFS(Table2[NewPointsAway],Table2[GameDate], "&lt;=" &amp; $A185, Table2[AwayTeam], H$1)+SUMIFS(Table2[NewPointsHome],Table2[GameDate], "&lt;=" &amp; $A185, Table2[HomeTeam], H$1)</f>
        <v>0</v>
      </c>
      <c r="I185" s="145">
        <f>SUMIFS(Table2[NewPointsAway],Table2[GameDate], "&lt;=" &amp; $A185, Table2[AwayTeam], I$1)+SUMIFS(Table2[NewPointsHome],Table2[GameDate], "&lt;=" &amp; $A185, Table2[HomeTeam], I$1)</f>
        <v>2</v>
      </c>
      <c r="J185" s="145">
        <f>SUMIFS(Table2[NewPointsAway],Table2[GameDate], "&lt;=" &amp; $A185, Table2[AwayTeam], J$1)+SUMIFS(Table2[NewPointsHome],Table2[GameDate], "&lt;=" &amp; $A185, Table2[HomeTeam], J$1)</f>
        <v>0</v>
      </c>
      <c r="K185" s="145">
        <f>SUMIFS(Table2[NewPointsAway],Table2[GameDate], "&lt;=" &amp; $A185, Table2[AwayTeam], K$1)+SUMIFS(Table2[NewPointsHome],Table2[GameDate], "&lt;=" &amp; $A185, Table2[HomeTeam], K$1)</f>
        <v>0</v>
      </c>
      <c r="L185" s="145">
        <f>SUMIFS(Table2[NewPointsAway],Table2[GameDate], "&lt;=" &amp; $A185, Table2[AwayTeam], L$1)+SUMIFS(Table2[NewPointsHome],Table2[GameDate], "&lt;=" &amp; $A185, Table2[HomeTeam], L$1)</f>
        <v>1</v>
      </c>
      <c r="M185" s="145">
        <f>SUMIFS(Table2[NewPointsAway],Table2[GameDate], "&lt;=" &amp; $A185, Table2[AwayTeam], M$1)+SUMIFS(Table2[NewPointsHome],Table2[GameDate], "&lt;=" &amp; $A185, Table2[HomeTeam], M$1)</f>
        <v>2</v>
      </c>
      <c r="N185" s="145">
        <f>SUMIFS(Table2[NewPointsAway],Table2[GameDate], "&lt;=" &amp; $A185, Table2[AwayTeam], N$1)+SUMIFS(Table2[NewPointsHome],Table2[GameDate], "&lt;=" &amp; $A185, Table2[HomeTeam], N$1)</f>
        <v>2</v>
      </c>
      <c r="O185" s="145">
        <f>SUMIFS(Table2[NewPointsAway],Table2[GameDate], "&lt;=" &amp; $A185, Table2[AwayTeam], O$1)+SUMIFS(Table2[NewPointsHome],Table2[GameDate], "&lt;=" &amp; $A185, Table2[HomeTeam], O$1)</f>
        <v>0</v>
      </c>
      <c r="P185" s="145">
        <f>SUMIFS(Table2[NewPointsAway],Table2[GameDate], "&lt;=" &amp; $A185, Table2[AwayTeam], P$1)+SUMIFS(Table2[NewPointsHome],Table2[GameDate], "&lt;=" &amp; $A185, Table2[HomeTeam], P$1)</f>
        <v>0</v>
      </c>
      <c r="Q185" s="145">
        <f>SUMIFS(Table2[NewPointsAway],Table2[GameDate], "&lt;=" &amp; $A185, Table2[AwayTeam], Q$1)+SUMIFS(Table2[NewPointsHome],Table2[GameDate], "&lt;=" &amp; $A185, Table2[HomeTeam], Q$1)</f>
        <v>0</v>
      </c>
      <c r="R185" s="145">
        <f>SUMIFS(Table2[NewPointsAway],Table2[GameDate], "&lt;=" &amp; $A185, Table2[AwayTeam], R$1)+SUMIFS(Table2[NewPointsHome],Table2[GameDate], "&lt;=" &amp; $A185, Table2[HomeTeam], R$1)</f>
        <v>0</v>
      </c>
      <c r="S185" s="145">
        <f>SUMIFS(Table2[NewPointsAway],Table2[GameDate], "&lt;=" &amp; $A185, Table2[AwayTeam], S$1)+SUMIFS(Table2[NewPointsHome],Table2[GameDate], "&lt;=" &amp; $A185, Table2[HomeTeam], S$1)</f>
        <v>0</v>
      </c>
      <c r="T185" s="145">
        <f>SUMIFS(Table2[NewPointsAway],Table2[GameDate], "&lt;=" &amp; $A185, Table2[AwayTeam], T$1)+SUMIFS(Table2[NewPointsHome],Table2[GameDate], "&lt;=" &amp; $A185, Table2[HomeTeam], T$1)</f>
        <v>0</v>
      </c>
      <c r="U185" s="145">
        <f>SUMIFS(Table2[NewPointsAway],Table2[GameDate], "&lt;=" &amp; $A185, Table2[AwayTeam], U$1)+SUMIFS(Table2[NewPointsHome],Table2[GameDate], "&lt;=" &amp; $A185, Table2[HomeTeam], U$1)</f>
        <v>0</v>
      </c>
      <c r="V185" s="145">
        <f>SUMIFS(Table2[NewPointsAway],Table2[GameDate], "&lt;=" &amp; $A185, Table2[AwayTeam], V$1)+SUMIFS(Table2[NewPointsHome],Table2[GameDate], "&lt;=" &amp; $A185, Table2[HomeTeam], V$1)</f>
        <v>0</v>
      </c>
      <c r="W185" s="145">
        <f>SUMIFS(Table2[NewPointsAway],Table2[GameDate], "&lt;=" &amp; $A185, Table2[AwayTeam], W$1)+SUMIFS(Table2[NewPointsHome],Table2[GameDate], "&lt;=" &amp; $A185, Table2[HomeTeam], W$1)</f>
        <v>2</v>
      </c>
      <c r="X185" s="145">
        <f>SUMIFS(Table2[NewPointsAway],Table2[GameDate], "&lt;=" &amp; $A185, Table2[AwayTeam], X$1)+SUMIFS(Table2[NewPointsHome],Table2[GameDate], "&lt;=" &amp; $A185, Table2[HomeTeam], X$1)</f>
        <v>0</v>
      </c>
      <c r="Y185" s="145">
        <f>SUMIFS(Table2[NewPointsAway],Table2[GameDate], "&lt;=" &amp; $A185, Table2[AwayTeam], Y$1)+SUMIFS(Table2[NewPointsHome],Table2[GameDate], "&lt;=" &amp; $A185, Table2[HomeTeam], Y$1)</f>
        <v>0</v>
      </c>
      <c r="Z185" s="145">
        <f>SUMIFS(Table2[NewPointsAway],Table2[GameDate], "&lt;=" &amp; $A185, Table2[AwayTeam], Z$1)+SUMIFS(Table2[NewPointsHome],Table2[GameDate], "&lt;=" &amp; $A185, Table2[HomeTeam], Z$1)</f>
        <v>0</v>
      </c>
      <c r="AA185" s="145">
        <f>SUMIFS(Table2[NewPointsAway],Table2[GameDate], "&lt;=" &amp; $A185, Table2[AwayTeam], AA$1)+SUMIFS(Table2[NewPointsHome],Table2[GameDate], "&lt;=" &amp; $A185, Table2[HomeTeam], AA$1)</f>
        <v>0</v>
      </c>
      <c r="AB185" s="145">
        <f>SUMIFS(Table2[NewPointsAway],Table2[GameDate], "&lt;=" &amp; $A185, Table2[AwayTeam], AB$1)+SUMIFS(Table2[NewPointsHome],Table2[GameDate], "&lt;=" &amp; $A185, Table2[HomeTeam], AB$1)</f>
        <v>2</v>
      </c>
      <c r="AC185" s="145">
        <f>SUMIFS(Table2[NewPointsAway],Table2[GameDate], "&lt;=" &amp; $A185, Table2[AwayTeam], AC$1)+SUMIFS(Table2[NewPointsHome],Table2[GameDate], "&lt;=" &amp; $A185, Table2[HomeTeam], AC$1)</f>
        <v>0</v>
      </c>
      <c r="AD185" s="145">
        <f>SUMIFS(Table2[NewPointsAway],Table2[GameDate], "&lt;=" &amp; $A185, Table2[AwayTeam], AD$1)+SUMIFS(Table2[NewPointsHome],Table2[GameDate], "&lt;=" &amp; $A185, Table2[HomeTeam], AD$1)</f>
        <v>0</v>
      </c>
      <c r="AE185" s="145">
        <f>SUMIFS(Table2[NewPointsAway],Table2[GameDate], "&lt;=" &amp; $A185, Table2[AwayTeam], AE$1)+SUMIFS(Table2[NewPointsHome],Table2[GameDate], "&lt;=" &amp; $A185, Table2[HomeTeam], AE$1)</f>
        <v>1</v>
      </c>
      <c r="AF185" s="145">
        <f>SUMIFS(Table2[NewPointsAway],Table2[GameDate], "&lt;=" &amp; $A185, Table2[AwayTeam], AF$1)+SUMIFS(Table2[NewPointsHome],Table2[GameDate], "&lt;=" &amp; $A185, Table2[HomeTeam], AF$1)</f>
        <v>0</v>
      </c>
      <c r="AG185" s="145">
        <f>SUMIFS(Table2[NewPointsAway],Table2[GameDate], "&lt;=" &amp; $A185, Table2[AwayTeam], AG$1)+SUMIFS(Table2[NewPointsHome],Table2[GameDate], "&lt;=" &amp; $A185, Table2[HomeTeam], AG$1)</f>
        <v>0</v>
      </c>
    </row>
    <row r="186" spans="1:33" x14ac:dyDescent="0.25">
      <c r="A186" s="3">
        <v>46117</v>
      </c>
      <c r="B186" s="145">
        <f>SUMIFS(Table2[NewPointsAway],Table2[GameDate], "&lt;=" &amp; $A186, Table2[AwayTeam], B$1)+SUMIFS(Table2[NewPointsHome],Table2[GameDate], "&lt;=" &amp; $A186, Table2[HomeTeam], B$1)</f>
        <v>0</v>
      </c>
      <c r="C186" s="145">
        <f>SUMIFS(Table2[NewPointsAway],Table2[GameDate], "&lt;=" &amp; $A186, Table2[AwayTeam], C$1)+SUMIFS(Table2[NewPointsHome],Table2[GameDate], "&lt;=" &amp; $A186, Table2[HomeTeam], C$1)</f>
        <v>2</v>
      </c>
      <c r="D186" s="145">
        <f>SUMIFS(Table2[NewPointsAway],Table2[GameDate], "&lt;=" &amp; $A186, Table2[AwayTeam], D$1)+SUMIFS(Table2[NewPointsHome],Table2[GameDate], "&lt;=" &amp; $A186, Table2[HomeTeam], D$1)</f>
        <v>0</v>
      </c>
      <c r="E186" s="145">
        <f>SUMIFS(Table2[NewPointsAway],Table2[GameDate], "&lt;=" &amp; $A186, Table2[AwayTeam], E$1)+SUMIFS(Table2[NewPointsHome],Table2[GameDate], "&lt;=" &amp; $A186, Table2[HomeTeam], E$1)</f>
        <v>0</v>
      </c>
      <c r="F186" s="145">
        <f>SUMIFS(Table2[NewPointsAway],Table2[GameDate], "&lt;=" &amp; $A186, Table2[AwayTeam], F$1)+SUMIFS(Table2[NewPointsHome],Table2[GameDate], "&lt;=" &amp; $A186, Table2[HomeTeam], F$1)</f>
        <v>0</v>
      </c>
      <c r="G186" s="145">
        <f>SUMIFS(Table2[NewPointsAway],Table2[GameDate], "&lt;=" &amp; $A186, Table2[AwayTeam], G$1)+SUMIFS(Table2[NewPointsHome],Table2[GameDate], "&lt;=" &amp; $A186, Table2[HomeTeam], G$1)</f>
        <v>2</v>
      </c>
      <c r="H186" s="145">
        <f>SUMIFS(Table2[NewPointsAway],Table2[GameDate], "&lt;=" &amp; $A186, Table2[AwayTeam], H$1)+SUMIFS(Table2[NewPointsHome],Table2[GameDate], "&lt;=" &amp; $A186, Table2[HomeTeam], H$1)</f>
        <v>0</v>
      </c>
      <c r="I186" s="145">
        <f>SUMIFS(Table2[NewPointsAway],Table2[GameDate], "&lt;=" &amp; $A186, Table2[AwayTeam], I$1)+SUMIFS(Table2[NewPointsHome],Table2[GameDate], "&lt;=" &amp; $A186, Table2[HomeTeam], I$1)</f>
        <v>2</v>
      </c>
      <c r="J186" s="145">
        <f>SUMIFS(Table2[NewPointsAway],Table2[GameDate], "&lt;=" &amp; $A186, Table2[AwayTeam], J$1)+SUMIFS(Table2[NewPointsHome],Table2[GameDate], "&lt;=" &amp; $A186, Table2[HomeTeam], J$1)</f>
        <v>0</v>
      </c>
      <c r="K186" s="145">
        <f>SUMIFS(Table2[NewPointsAway],Table2[GameDate], "&lt;=" &amp; $A186, Table2[AwayTeam], K$1)+SUMIFS(Table2[NewPointsHome],Table2[GameDate], "&lt;=" &amp; $A186, Table2[HomeTeam], K$1)</f>
        <v>0</v>
      </c>
      <c r="L186" s="145">
        <f>SUMIFS(Table2[NewPointsAway],Table2[GameDate], "&lt;=" &amp; $A186, Table2[AwayTeam], L$1)+SUMIFS(Table2[NewPointsHome],Table2[GameDate], "&lt;=" &amp; $A186, Table2[HomeTeam], L$1)</f>
        <v>1</v>
      </c>
      <c r="M186" s="145">
        <f>SUMIFS(Table2[NewPointsAway],Table2[GameDate], "&lt;=" &amp; $A186, Table2[AwayTeam], M$1)+SUMIFS(Table2[NewPointsHome],Table2[GameDate], "&lt;=" &amp; $A186, Table2[HomeTeam], M$1)</f>
        <v>2</v>
      </c>
      <c r="N186" s="145">
        <f>SUMIFS(Table2[NewPointsAway],Table2[GameDate], "&lt;=" &amp; $A186, Table2[AwayTeam], N$1)+SUMIFS(Table2[NewPointsHome],Table2[GameDate], "&lt;=" &amp; $A186, Table2[HomeTeam], N$1)</f>
        <v>2</v>
      </c>
      <c r="O186" s="145">
        <f>SUMIFS(Table2[NewPointsAway],Table2[GameDate], "&lt;=" &amp; $A186, Table2[AwayTeam], O$1)+SUMIFS(Table2[NewPointsHome],Table2[GameDate], "&lt;=" &amp; $A186, Table2[HomeTeam], O$1)</f>
        <v>0</v>
      </c>
      <c r="P186" s="145">
        <f>SUMIFS(Table2[NewPointsAway],Table2[GameDate], "&lt;=" &amp; $A186, Table2[AwayTeam], P$1)+SUMIFS(Table2[NewPointsHome],Table2[GameDate], "&lt;=" &amp; $A186, Table2[HomeTeam], P$1)</f>
        <v>0</v>
      </c>
      <c r="Q186" s="145">
        <f>SUMIFS(Table2[NewPointsAway],Table2[GameDate], "&lt;=" &amp; $A186, Table2[AwayTeam], Q$1)+SUMIFS(Table2[NewPointsHome],Table2[GameDate], "&lt;=" &amp; $A186, Table2[HomeTeam], Q$1)</f>
        <v>0</v>
      </c>
      <c r="R186" s="145">
        <f>SUMIFS(Table2[NewPointsAway],Table2[GameDate], "&lt;=" &amp; $A186, Table2[AwayTeam], R$1)+SUMIFS(Table2[NewPointsHome],Table2[GameDate], "&lt;=" &amp; $A186, Table2[HomeTeam], R$1)</f>
        <v>0</v>
      </c>
      <c r="S186" s="145">
        <f>SUMIFS(Table2[NewPointsAway],Table2[GameDate], "&lt;=" &amp; $A186, Table2[AwayTeam], S$1)+SUMIFS(Table2[NewPointsHome],Table2[GameDate], "&lt;=" &amp; $A186, Table2[HomeTeam], S$1)</f>
        <v>0</v>
      </c>
      <c r="T186" s="145">
        <f>SUMIFS(Table2[NewPointsAway],Table2[GameDate], "&lt;=" &amp; $A186, Table2[AwayTeam], T$1)+SUMIFS(Table2[NewPointsHome],Table2[GameDate], "&lt;=" &amp; $A186, Table2[HomeTeam], T$1)</f>
        <v>0</v>
      </c>
      <c r="U186" s="145">
        <f>SUMIFS(Table2[NewPointsAway],Table2[GameDate], "&lt;=" &amp; $A186, Table2[AwayTeam], U$1)+SUMIFS(Table2[NewPointsHome],Table2[GameDate], "&lt;=" &amp; $A186, Table2[HomeTeam], U$1)</f>
        <v>0</v>
      </c>
      <c r="V186" s="145">
        <f>SUMIFS(Table2[NewPointsAway],Table2[GameDate], "&lt;=" &amp; $A186, Table2[AwayTeam], V$1)+SUMIFS(Table2[NewPointsHome],Table2[GameDate], "&lt;=" &amp; $A186, Table2[HomeTeam], V$1)</f>
        <v>0</v>
      </c>
      <c r="W186" s="145">
        <f>SUMIFS(Table2[NewPointsAway],Table2[GameDate], "&lt;=" &amp; $A186, Table2[AwayTeam], W$1)+SUMIFS(Table2[NewPointsHome],Table2[GameDate], "&lt;=" &amp; $A186, Table2[HomeTeam], W$1)</f>
        <v>2</v>
      </c>
      <c r="X186" s="145">
        <f>SUMIFS(Table2[NewPointsAway],Table2[GameDate], "&lt;=" &amp; $A186, Table2[AwayTeam], X$1)+SUMIFS(Table2[NewPointsHome],Table2[GameDate], "&lt;=" &amp; $A186, Table2[HomeTeam], X$1)</f>
        <v>0</v>
      </c>
      <c r="Y186" s="145">
        <f>SUMIFS(Table2[NewPointsAway],Table2[GameDate], "&lt;=" &amp; $A186, Table2[AwayTeam], Y$1)+SUMIFS(Table2[NewPointsHome],Table2[GameDate], "&lt;=" &amp; $A186, Table2[HomeTeam], Y$1)</f>
        <v>0</v>
      </c>
      <c r="Z186" s="145">
        <f>SUMIFS(Table2[NewPointsAway],Table2[GameDate], "&lt;=" &amp; $A186, Table2[AwayTeam], Z$1)+SUMIFS(Table2[NewPointsHome],Table2[GameDate], "&lt;=" &amp; $A186, Table2[HomeTeam], Z$1)</f>
        <v>0</v>
      </c>
      <c r="AA186" s="145">
        <f>SUMIFS(Table2[NewPointsAway],Table2[GameDate], "&lt;=" &amp; $A186, Table2[AwayTeam], AA$1)+SUMIFS(Table2[NewPointsHome],Table2[GameDate], "&lt;=" &amp; $A186, Table2[HomeTeam], AA$1)</f>
        <v>0</v>
      </c>
      <c r="AB186" s="145">
        <f>SUMIFS(Table2[NewPointsAway],Table2[GameDate], "&lt;=" &amp; $A186, Table2[AwayTeam], AB$1)+SUMIFS(Table2[NewPointsHome],Table2[GameDate], "&lt;=" &amp; $A186, Table2[HomeTeam], AB$1)</f>
        <v>2</v>
      </c>
      <c r="AC186" s="145">
        <f>SUMIFS(Table2[NewPointsAway],Table2[GameDate], "&lt;=" &amp; $A186, Table2[AwayTeam], AC$1)+SUMIFS(Table2[NewPointsHome],Table2[GameDate], "&lt;=" &amp; $A186, Table2[HomeTeam], AC$1)</f>
        <v>0</v>
      </c>
      <c r="AD186" s="145">
        <f>SUMIFS(Table2[NewPointsAway],Table2[GameDate], "&lt;=" &amp; $A186, Table2[AwayTeam], AD$1)+SUMIFS(Table2[NewPointsHome],Table2[GameDate], "&lt;=" &amp; $A186, Table2[HomeTeam], AD$1)</f>
        <v>0</v>
      </c>
      <c r="AE186" s="145">
        <f>SUMIFS(Table2[NewPointsAway],Table2[GameDate], "&lt;=" &amp; $A186, Table2[AwayTeam], AE$1)+SUMIFS(Table2[NewPointsHome],Table2[GameDate], "&lt;=" &amp; $A186, Table2[HomeTeam], AE$1)</f>
        <v>1</v>
      </c>
      <c r="AF186" s="145">
        <f>SUMIFS(Table2[NewPointsAway],Table2[GameDate], "&lt;=" &amp; $A186, Table2[AwayTeam], AF$1)+SUMIFS(Table2[NewPointsHome],Table2[GameDate], "&lt;=" &amp; $A186, Table2[HomeTeam], AF$1)</f>
        <v>0</v>
      </c>
      <c r="AG186" s="145">
        <f>SUMIFS(Table2[NewPointsAway],Table2[GameDate], "&lt;=" &amp; $A186, Table2[AwayTeam], AG$1)+SUMIFS(Table2[NewPointsHome],Table2[GameDate], "&lt;=" &amp; $A186, Table2[HomeTeam], AG$1)</f>
        <v>0</v>
      </c>
    </row>
    <row r="187" spans="1:33" x14ac:dyDescent="0.25">
      <c r="A187" s="3">
        <v>46118</v>
      </c>
      <c r="B187" s="145">
        <f>SUMIFS(Table2[NewPointsAway],Table2[GameDate], "&lt;=" &amp; $A187, Table2[AwayTeam], B$1)+SUMIFS(Table2[NewPointsHome],Table2[GameDate], "&lt;=" &amp; $A187, Table2[HomeTeam], B$1)</f>
        <v>0</v>
      </c>
      <c r="C187" s="145">
        <f>SUMIFS(Table2[NewPointsAway],Table2[GameDate], "&lt;=" &amp; $A187, Table2[AwayTeam], C$1)+SUMIFS(Table2[NewPointsHome],Table2[GameDate], "&lt;=" &amp; $A187, Table2[HomeTeam], C$1)</f>
        <v>2</v>
      </c>
      <c r="D187" s="145">
        <f>SUMIFS(Table2[NewPointsAway],Table2[GameDate], "&lt;=" &amp; $A187, Table2[AwayTeam], D$1)+SUMIFS(Table2[NewPointsHome],Table2[GameDate], "&lt;=" &amp; $A187, Table2[HomeTeam], D$1)</f>
        <v>0</v>
      </c>
      <c r="E187" s="145">
        <f>SUMIFS(Table2[NewPointsAway],Table2[GameDate], "&lt;=" &amp; $A187, Table2[AwayTeam], E$1)+SUMIFS(Table2[NewPointsHome],Table2[GameDate], "&lt;=" &amp; $A187, Table2[HomeTeam], E$1)</f>
        <v>0</v>
      </c>
      <c r="F187" s="145">
        <f>SUMIFS(Table2[NewPointsAway],Table2[GameDate], "&lt;=" &amp; $A187, Table2[AwayTeam], F$1)+SUMIFS(Table2[NewPointsHome],Table2[GameDate], "&lt;=" &amp; $A187, Table2[HomeTeam], F$1)</f>
        <v>0</v>
      </c>
      <c r="G187" s="145">
        <f>SUMIFS(Table2[NewPointsAway],Table2[GameDate], "&lt;=" &amp; $A187, Table2[AwayTeam], G$1)+SUMIFS(Table2[NewPointsHome],Table2[GameDate], "&lt;=" &amp; $A187, Table2[HomeTeam], G$1)</f>
        <v>2</v>
      </c>
      <c r="H187" s="145">
        <f>SUMIFS(Table2[NewPointsAway],Table2[GameDate], "&lt;=" &amp; $A187, Table2[AwayTeam], H$1)+SUMIFS(Table2[NewPointsHome],Table2[GameDate], "&lt;=" &amp; $A187, Table2[HomeTeam], H$1)</f>
        <v>0</v>
      </c>
      <c r="I187" s="145">
        <f>SUMIFS(Table2[NewPointsAway],Table2[GameDate], "&lt;=" &amp; $A187, Table2[AwayTeam], I$1)+SUMIFS(Table2[NewPointsHome],Table2[GameDate], "&lt;=" &amp; $A187, Table2[HomeTeam], I$1)</f>
        <v>2</v>
      </c>
      <c r="J187" s="145">
        <f>SUMIFS(Table2[NewPointsAway],Table2[GameDate], "&lt;=" &amp; $A187, Table2[AwayTeam], J$1)+SUMIFS(Table2[NewPointsHome],Table2[GameDate], "&lt;=" &amp; $A187, Table2[HomeTeam], J$1)</f>
        <v>0</v>
      </c>
      <c r="K187" s="145">
        <f>SUMIFS(Table2[NewPointsAway],Table2[GameDate], "&lt;=" &amp; $A187, Table2[AwayTeam], K$1)+SUMIFS(Table2[NewPointsHome],Table2[GameDate], "&lt;=" &amp; $A187, Table2[HomeTeam], K$1)</f>
        <v>0</v>
      </c>
      <c r="L187" s="145">
        <f>SUMIFS(Table2[NewPointsAway],Table2[GameDate], "&lt;=" &amp; $A187, Table2[AwayTeam], L$1)+SUMIFS(Table2[NewPointsHome],Table2[GameDate], "&lt;=" &amp; $A187, Table2[HomeTeam], L$1)</f>
        <v>1</v>
      </c>
      <c r="M187" s="145">
        <f>SUMIFS(Table2[NewPointsAway],Table2[GameDate], "&lt;=" &amp; $A187, Table2[AwayTeam], M$1)+SUMIFS(Table2[NewPointsHome],Table2[GameDate], "&lt;=" &amp; $A187, Table2[HomeTeam], M$1)</f>
        <v>2</v>
      </c>
      <c r="N187" s="145">
        <f>SUMIFS(Table2[NewPointsAway],Table2[GameDate], "&lt;=" &amp; $A187, Table2[AwayTeam], N$1)+SUMIFS(Table2[NewPointsHome],Table2[GameDate], "&lt;=" &amp; $A187, Table2[HomeTeam], N$1)</f>
        <v>2</v>
      </c>
      <c r="O187" s="145">
        <f>SUMIFS(Table2[NewPointsAway],Table2[GameDate], "&lt;=" &amp; $A187, Table2[AwayTeam], O$1)+SUMIFS(Table2[NewPointsHome],Table2[GameDate], "&lt;=" &amp; $A187, Table2[HomeTeam], O$1)</f>
        <v>0</v>
      </c>
      <c r="P187" s="145">
        <f>SUMIFS(Table2[NewPointsAway],Table2[GameDate], "&lt;=" &amp; $A187, Table2[AwayTeam], P$1)+SUMIFS(Table2[NewPointsHome],Table2[GameDate], "&lt;=" &amp; $A187, Table2[HomeTeam], P$1)</f>
        <v>0</v>
      </c>
      <c r="Q187" s="145">
        <f>SUMIFS(Table2[NewPointsAway],Table2[GameDate], "&lt;=" &amp; $A187, Table2[AwayTeam], Q$1)+SUMIFS(Table2[NewPointsHome],Table2[GameDate], "&lt;=" &amp; $A187, Table2[HomeTeam], Q$1)</f>
        <v>0</v>
      </c>
      <c r="R187" s="145">
        <f>SUMIFS(Table2[NewPointsAway],Table2[GameDate], "&lt;=" &amp; $A187, Table2[AwayTeam], R$1)+SUMIFS(Table2[NewPointsHome],Table2[GameDate], "&lt;=" &amp; $A187, Table2[HomeTeam], R$1)</f>
        <v>0</v>
      </c>
      <c r="S187" s="145">
        <f>SUMIFS(Table2[NewPointsAway],Table2[GameDate], "&lt;=" &amp; $A187, Table2[AwayTeam], S$1)+SUMIFS(Table2[NewPointsHome],Table2[GameDate], "&lt;=" &amp; $A187, Table2[HomeTeam], S$1)</f>
        <v>0</v>
      </c>
      <c r="T187" s="145">
        <f>SUMIFS(Table2[NewPointsAway],Table2[GameDate], "&lt;=" &amp; $A187, Table2[AwayTeam], T$1)+SUMIFS(Table2[NewPointsHome],Table2[GameDate], "&lt;=" &amp; $A187, Table2[HomeTeam], T$1)</f>
        <v>0</v>
      </c>
      <c r="U187" s="145">
        <f>SUMIFS(Table2[NewPointsAway],Table2[GameDate], "&lt;=" &amp; $A187, Table2[AwayTeam], U$1)+SUMIFS(Table2[NewPointsHome],Table2[GameDate], "&lt;=" &amp; $A187, Table2[HomeTeam], U$1)</f>
        <v>0</v>
      </c>
      <c r="V187" s="145">
        <f>SUMIFS(Table2[NewPointsAway],Table2[GameDate], "&lt;=" &amp; $A187, Table2[AwayTeam], V$1)+SUMIFS(Table2[NewPointsHome],Table2[GameDate], "&lt;=" &amp; $A187, Table2[HomeTeam], V$1)</f>
        <v>0</v>
      </c>
      <c r="W187" s="145">
        <f>SUMIFS(Table2[NewPointsAway],Table2[GameDate], "&lt;=" &amp; $A187, Table2[AwayTeam], W$1)+SUMIFS(Table2[NewPointsHome],Table2[GameDate], "&lt;=" &amp; $A187, Table2[HomeTeam], W$1)</f>
        <v>2</v>
      </c>
      <c r="X187" s="145">
        <f>SUMIFS(Table2[NewPointsAway],Table2[GameDate], "&lt;=" &amp; $A187, Table2[AwayTeam], X$1)+SUMIFS(Table2[NewPointsHome],Table2[GameDate], "&lt;=" &amp; $A187, Table2[HomeTeam], X$1)</f>
        <v>0</v>
      </c>
      <c r="Y187" s="145">
        <f>SUMIFS(Table2[NewPointsAway],Table2[GameDate], "&lt;=" &amp; $A187, Table2[AwayTeam], Y$1)+SUMIFS(Table2[NewPointsHome],Table2[GameDate], "&lt;=" &amp; $A187, Table2[HomeTeam], Y$1)</f>
        <v>0</v>
      </c>
      <c r="Z187" s="145">
        <f>SUMIFS(Table2[NewPointsAway],Table2[GameDate], "&lt;=" &amp; $A187, Table2[AwayTeam], Z$1)+SUMIFS(Table2[NewPointsHome],Table2[GameDate], "&lt;=" &amp; $A187, Table2[HomeTeam], Z$1)</f>
        <v>0</v>
      </c>
      <c r="AA187" s="145">
        <f>SUMIFS(Table2[NewPointsAway],Table2[GameDate], "&lt;=" &amp; $A187, Table2[AwayTeam], AA$1)+SUMIFS(Table2[NewPointsHome],Table2[GameDate], "&lt;=" &amp; $A187, Table2[HomeTeam], AA$1)</f>
        <v>0</v>
      </c>
      <c r="AB187" s="145">
        <f>SUMIFS(Table2[NewPointsAway],Table2[GameDate], "&lt;=" &amp; $A187, Table2[AwayTeam], AB$1)+SUMIFS(Table2[NewPointsHome],Table2[GameDate], "&lt;=" &amp; $A187, Table2[HomeTeam], AB$1)</f>
        <v>2</v>
      </c>
      <c r="AC187" s="145">
        <f>SUMIFS(Table2[NewPointsAway],Table2[GameDate], "&lt;=" &amp; $A187, Table2[AwayTeam], AC$1)+SUMIFS(Table2[NewPointsHome],Table2[GameDate], "&lt;=" &amp; $A187, Table2[HomeTeam], AC$1)</f>
        <v>0</v>
      </c>
      <c r="AD187" s="145">
        <f>SUMIFS(Table2[NewPointsAway],Table2[GameDate], "&lt;=" &amp; $A187, Table2[AwayTeam], AD$1)+SUMIFS(Table2[NewPointsHome],Table2[GameDate], "&lt;=" &amp; $A187, Table2[HomeTeam], AD$1)</f>
        <v>0</v>
      </c>
      <c r="AE187" s="145">
        <f>SUMIFS(Table2[NewPointsAway],Table2[GameDate], "&lt;=" &amp; $A187, Table2[AwayTeam], AE$1)+SUMIFS(Table2[NewPointsHome],Table2[GameDate], "&lt;=" &amp; $A187, Table2[HomeTeam], AE$1)</f>
        <v>1</v>
      </c>
      <c r="AF187" s="145">
        <f>SUMIFS(Table2[NewPointsAway],Table2[GameDate], "&lt;=" &amp; $A187, Table2[AwayTeam], AF$1)+SUMIFS(Table2[NewPointsHome],Table2[GameDate], "&lt;=" &amp; $A187, Table2[HomeTeam], AF$1)</f>
        <v>0</v>
      </c>
      <c r="AG187" s="145">
        <f>SUMIFS(Table2[NewPointsAway],Table2[GameDate], "&lt;=" &amp; $A187, Table2[AwayTeam], AG$1)+SUMIFS(Table2[NewPointsHome],Table2[GameDate], "&lt;=" &amp; $A187, Table2[HomeTeam], AG$1)</f>
        <v>0</v>
      </c>
    </row>
    <row r="188" spans="1:33" x14ac:dyDescent="0.25">
      <c r="A188" s="3">
        <v>46119</v>
      </c>
      <c r="B188" s="145">
        <f>SUMIFS(Table2[NewPointsAway],Table2[GameDate], "&lt;=" &amp; $A188, Table2[AwayTeam], B$1)+SUMIFS(Table2[NewPointsHome],Table2[GameDate], "&lt;=" &amp; $A188, Table2[HomeTeam], B$1)</f>
        <v>0</v>
      </c>
      <c r="C188" s="145">
        <f>SUMIFS(Table2[NewPointsAway],Table2[GameDate], "&lt;=" &amp; $A188, Table2[AwayTeam], C$1)+SUMIFS(Table2[NewPointsHome],Table2[GameDate], "&lt;=" &amp; $A188, Table2[HomeTeam], C$1)</f>
        <v>2</v>
      </c>
      <c r="D188" s="145">
        <f>SUMIFS(Table2[NewPointsAway],Table2[GameDate], "&lt;=" &amp; $A188, Table2[AwayTeam], D$1)+SUMIFS(Table2[NewPointsHome],Table2[GameDate], "&lt;=" &amp; $A188, Table2[HomeTeam], D$1)</f>
        <v>0</v>
      </c>
      <c r="E188" s="145">
        <f>SUMIFS(Table2[NewPointsAway],Table2[GameDate], "&lt;=" &amp; $A188, Table2[AwayTeam], E$1)+SUMIFS(Table2[NewPointsHome],Table2[GameDate], "&lt;=" &amp; $A188, Table2[HomeTeam], E$1)</f>
        <v>0</v>
      </c>
      <c r="F188" s="145">
        <f>SUMIFS(Table2[NewPointsAway],Table2[GameDate], "&lt;=" &amp; $A188, Table2[AwayTeam], F$1)+SUMIFS(Table2[NewPointsHome],Table2[GameDate], "&lt;=" &amp; $A188, Table2[HomeTeam], F$1)</f>
        <v>0</v>
      </c>
      <c r="G188" s="145">
        <f>SUMIFS(Table2[NewPointsAway],Table2[GameDate], "&lt;=" &amp; $A188, Table2[AwayTeam], G$1)+SUMIFS(Table2[NewPointsHome],Table2[GameDate], "&lt;=" &amp; $A188, Table2[HomeTeam], G$1)</f>
        <v>2</v>
      </c>
      <c r="H188" s="145">
        <f>SUMIFS(Table2[NewPointsAway],Table2[GameDate], "&lt;=" &amp; $A188, Table2[AwayTeam], H$1)+SUMIFS(Table2[NewPointsHome],Table2[GameDate], "&lt;=" &amp; $A188, Table2[HomeTeam], H$1)</f>
        <v>0</v>
      </c>
      <c r="I188" s="145">
        <f>SUMIFS(Table2[NewPointsAway],Table2[GameDate], "&lt;=" &amp; $A188, Table2[AwayTeam], I$1)+SUMIFS(Table2[NewPointsHome],Table2[GameDate], "&lt;=" &amp; $A188, Table2[HomeTeam], I$1)</f>
        <v>2</v>
      </c>
      <c r="J188" s="145">
        <f>SUMIFS(Table2[NewPointsAway],Table2[GameDate], "&lt;=" &amp; $A188, Table2[AwayTeam], J$1)+SUMIFS(Table2[NewPointsHome],Table2[GameDate], "&lt;=" &amp; $A188, Table2[HomeTeam], J$1)</f>
        <v>0</v>
      </c>
      <c r="K188" s="145">
        <f>SUMIFS(Table2[NewPointsAway],Table2[GameDate], "&lt;=" &amp; $A188, Table2[AwayTeam], K$1)+SUMIFS(Table2[NewPointsHome],Table2[GameDate], "&lt;=" &amp; $A188, Table2[HomeTeam], K$1)</f>
        <v>0</v>
      </c>
      <c r="L188" s="145">
        <f>SUMIFS(Table2[NewPointsAway],Table2[GameDate], "&lt;=" &amp; $A188, Table2[AwayTeam], L$1)+SUMIFS(Table2[NewPointsHome],Table2[GameDate], "&lt;=" &amp; $A188, Table2[HomeTeam], L$1)</f>
        <v>1</v>
      </c>
      <c r="M188" s="145">
        <f>SUMIFS(Table2[NewPointsAway],Table2[GameDate], "&lt;=" &amp; $A188, Table2[AwayTeam], M$1)+SUMIFS(Table2[NewPointsHome],Table2[GameDate], "&lt;=" &amp; $A188, Table2[HomeTeam], M$1)</f>
        <v>2</v>
      </c>
      <c r="N188" s="145">
        <f>SUMIFS(Table2[NewPointsAway],Table2[GameDate], "&lt;=" &amp; $A188, Table2[AwayTeam], N$1)+SUMIFS(Table2[NewPointsHome],Table2[GameDate], "&lt;=" &amp; $A188, Table2[HomeTeam], N$1)</f>
        <v>2</v>
      </c>
      <c r="O188" s="145">
        <f>SUMIFS(Table2[NewPointsAway],Table2[GameDate], "&lt;=" &amp; $A188, Table2[AwayTeam], O$1)+SUMIFS(Table2[NewPointsHome],Table2[GameDate], "&lt;=" &amp; $A188, Table2[HomeTeam], O$1)</f>
        <v>0</v>
      </c>
      <c r="P188" s="145">
        <f>SUMIFS(Table2[NewPointsAway],Table2[GameDate], "&lt;=" &amp; $A188, Table2[AwayTeam], P$1)+SUMIFS(Table2[NewPointsHome],Table2[GameDate], "&lt;=" &amp; $A188, Table2[HomeTeam], P$1)</f>
        <v>0</v>
      </c>
      <c r="Q188" s="145">
        <f>SUMIFS(Table2[NewPointsAway],Table2[GameDate], "&lt;=" &amp; $A188, Table2[AwayTeam], Q$1)+SUMIFS(Table2[NewPointsHome],Table2[GameDate], "&lt;=" &amp; $A188, Table2[HomeTeam], Q$1)</f>
        <v>0</v>
      </c>
      <c r="R188" s="145">
        <f>SUMIFS(Table2[NewPointsAway],Table2[GameDate], "&lt;=" &amp; $A188, Table2[AwayTeam], R$1)+SUMIFS(Table2[NewPointsHome],Table2[GameDate], "&lt;=" &amp; $A188, Table2[HomeTeam], R$1)</f>
        <v>0</v>
      </c>
      <c r="S188" s="145">
        <f>SUMIFS(Table2[NewPointsAway],Table2[GameDate], "&lt;=" &amp; $A188, Table2[AwayTeam], S$1)+SUMIFS(Table2[NewPointsHome],Table2[GameDate], "&lt;=" &amp; $A188, Table2[HomeTeam], S$1)</f>
        <v>0</v>
      </c>
      <c r="T188" s="145">
        <f>SUMIFS(Table2[NewPointsAway],Table2[GameDate], "&lt;=" &amp; $A188, Table2[AwayTeam], T$1)+SUMIFS(Table2[NewPointsHome],Table2[GameDate], "&lt;=" &amp; $A188, Table2[HomeTeam], T$1)</f>
        <v>0</v>
      </c>
      <c r="U188" s="145">
        <f>SUMIFS(Table2[NewPointsAway],Table2[GameDate], "&lt;=" &amp; $A188, Table2[AwayTeam], U$1)+SUMIFS(Table2[NewPointsHome],Table2[GameDate], "&lt;=" &amp; $A188, Table2[HomeTeam], U$1)</f>
        <v>0</v>
      </c>
      <c r="V188" s="145">
        <f>SUMIFS(Table2[NewPointsAway],Table2[GameDate], "&lt;=" &amp; $A188, Table2[AwayTeam], V$1)+SUMIFS(Table2[NewPointsHome],Table2[GameDate], "&lt;=" &amp; $A188, Table2[HomeTeam], V$1)</f>
        <v>0</v>
      </c>
      <c r="W188" s="145">
        <f>SUMIFS(Table2[NewPointsAway],Table2[GameDate], "&lt;=" &amp; $A188, Table2[AwayTeam], W$1)+SUMIFS(Table2[NewPointsHome],Table2[GameDate], "&lt;=" &amp; $A188, Table2[HomeTeam], W$1)</f>
        <v>2</v>
      </c>
      <c r="X188" s="145">
        <f>SUMIFS(Table2[NewPointsAway],Table2[GameDate], "&lt;=" &amp; $A188, Table2[AwayTeam], X$1)+SUMIFS(Table2[NewPointsHome],Table2[GameDate], "&lt;=" &amp; $A188, Table2[HomeTeam], X$1)</f>
        <v>0</v>
      </c>
      <c r="Y188" s="145">
        <f>SUMIFS(Table2[NewPointsAway],Table2[GameDate], "&lt;=" &amp; $A188, Table2[AwayTeam], Y$1)+SUMIFS(Table2[NewPointsHome],Table2[GameDate], "&lt;=" &amp; $A188, Table2[HomeTeam], Y$1)</f>
        <v>0</v>
      </c>
      <c r="Z188" s="145">
        <f>SUMIFS(Table2[NewPointsAway],Table2[GameDate], "&lt;=" &amp; $A188, Table2[AwayTeam], Z$1)+SUMIFS(Table2[NewPointsHome],Table2[GameDate], "&lt;=" &amp; $A188, Table2[HomeTeam], Z$1)</f>
        <v>0</v>
      </c>
      <c r="AA188" s="145">
        <f>SUMIFS(Table2[NewPointsAway],Table2[GameDate], "&lt;=" &amp; $A188, Table2[AwayTeam], AA$1)+SUMIFS(Table2[NewPointsHome],Table2[GameDate], "&lt;=" &amp; $A188, Table2[HomeTeam], AA$1)</f>
        <v>0</v>
      </c>
      <c r="AB188" s="145">
        <f>SUMIFS(Table2[NewPointsAway],Table2[GameDate], "&lt;=" &amp; $A188, Table2[AwayTeam], AB$1)+SUMIFS(Table2[NewPointsHome],Table2[GameDate], "&lt;=" &amp; $A188, Table2[HomeTeam], AB$1)</f>
        <v>2</v>
      </c>
      <c r="AC188" s="145">
        <f>SUMIFS(Table2[NewPointsAway],Table2[GameDate], "&lt;=" &amp; $A188, Table2[AwayTeam], AC$1)+SUMIFS(Table2[NewPointsHome],Table2[GameDate], "&lt;=" &amp; $A188, Table2[HomeTeam], AC$1)</f>
        <v>0</v>
      </c>
      <c r="AD188" s="145">
        <f>SUMIFS(Table2[NewPointsAway],Table2[GameDate], "&lt;=" &amp; $A188, Table2[AwayTeam], AD$1)+SUMIFS(Table2[NewPointsHome],Table2[GameDate], "&lt;=" &amp; $A188, Table2[HomeTeam], AD$1)</f>
        <v>0</v>
      </c>
      <c r="AE188" s="145">
        <f>SUMIFS(Table2[NewPointsAway],Table2[GameDate], "&lt;=" &amp; $A188, Table2[AwayTeam], AE$1)+SUMIFS(Table2[NewPointsHome],Table2[GameDate], "&lt;=" &amp; $A188, Table2[HomeTeam], AE$1)</f>
        <v>1</v>
      </c>
      <c r="AF188" s="145">
        <f>SUMIFS(Table2[NewPointsAway],Table2[GameDate], "&lt;=" &amp; $A188, Table2[AwayTeam], AF$1)+SUMIFS(Table2[NewPointsHome],Table2[GameDate], "&lt;=" &amp; $A188, Table2[HomeTeam], AF$1)</f>
        <v>0</v>
      </c>
      <c r="AG188" s="145">
        <f>SUMIFS(Table2[NewPointsAway],Table2[GameDate], "&lt;=" &amp; $A188, Table2[AwayTeam], AG$1)+SUMIFS(Table2[NewPointsHome],Table2[GameDate], "&lt;=" &amp; $A188, Table2[HomeTeam], AG$1)</f>
        <v>0</v>
      </c>
    </row>
    <row r="189" spans="1:33" x14ac:dyDescent="0.25">
      <c r="A189" s="3">
        <v>46120</v>
      </c>
      <c r="B189" s="145">
        <f>SUMIFS(Table2[NewPointsAway],Table2[GameDate], "&lt;=" &amp; $A189, Table2[AwayTeam], B$1)+SUMIFS(Table2[NewPointsHome],Table2[GameDate], "&lt;=" &amp; $A189, Table2[HomeTeam], B$1)</f>
        <v>0</v>
      </c>
      <c r="C189" s="145">
        <f>SUMIFS(Table2[NewPointsAway],Table2[GameDate], "&lt;=" &amp; $A189, Table2[AwayTeam], C$1)+SUMIFS(Table2[NewPointsHome],Table2[GameDate], "&lt;=" &amp; $A189, Table2[HomeTeam], C$1)</f>
        <v>2</v>
      </c>
      <c r="D189" s="145">
        <f>SUMIFS(Table2[NewPointsAway],Table2[GameDate], "&lt;=" &amp; $A189, Table2[AwayTeam], D$1)+SUMIFS(Table2[NewPointsHome],Table2[GameDate], "&lt;=" &amp; $A189, Table2[HomeTeam], D$1)</f>
        <v>0</v>
      </c>
      <c r="E189" s="145">
        <f>SUMIFS(Table2[NewPointsAway],Table2[GameDate], "&lt;=" &amp; $A189, Table2[AwayTeam], E$1)+SUMIFS(Table2[NewPointsHome],Table2[GameDate], "&lt;=" &amp; $A189, Table2[HomeTeam], E$1)</f>
        <v>0</v>
      </c>
      <c r="F189" s="145">
        <f>SUMIFS(Table2[NewPointsAway],Table2[GameDate], "&lt;=" &amp; $A189, Table2[AwayTeam], F$1)+SUMIFS(Table2[NewPointsHome],Table2[GameDate], "&lt;=" &amp; $A189, Table2[HomeTeam], F$1)</f>
        <v>0</v>
      </c>
      <c r="G189" s="145">
        <f>SUMIFS(Table2[NewPointsAway],Table2[GameDate], "&lt;=" &amp; $A189, Table2[AwayTeam], G$1)+SUMIFS(Table2[NewPointsHome],Table2[GameDate], "&lt;=" &amp; $A189, Table2[HomeTeam], G$1)</f>
        <v>2</v>
      </c>
      <c r="H189" s="145">
        <f>SUMIFS(Table2[NewPointsAway],Table2[GameDate], "&lt;=" &amp; $A189, Table2[AwayTeam], H$1)+SUMIFS(Table2[NewPointsHome],Table2[GameDate], "&lt;=" &amp; $A189, Table2[HomeTeam], H$1)</f>
        <v>0</v>
      </c>
      <c r="I189" s="145">
        <f>SUMIFS(Table2[NewPointsAway],Table2[GameDate], "&lt;=" &amp; $A189, Table2[AwayTeam], I$1)+SUMIFS(Table2[NewPointsHome],Table2[GameDate], "&lt;=" &amp; $A189, Table2[HomeTeam], I$1)</f>
        <v>2</v>
      </c>
      <c r="J189" s="145">
        <f>SUMIFS(Table2[NewPointsAway],Table2[GameDate], "&lt;=" &amp; $A189, Table2[AwayTeam], J$1)+SUMIFS(Table2[NewPointsHome],Table2[GameDate], "&lt;=" &amp; $A189, Table2[HomeTeam], J$1)</f>
        <v>0</v>
      </c>
      <c r="K189" s="145">
        <f>SUMIFS(Table2[NewPointsAway],Table2[GameDate], "&lt;=" &amp; $A189, Table2[AwayTeam], K$1)+SUMIFS(Table2[NewPointsHome],Table2[GameDate], "&lt;=" &amp; $A189, Table2[HomeTeam], K$1)</f>
        <v>0</v>
      </c>
      <c r="L189" s="145">
        <f>SUMIFS(Table2[NewPointsAway],Table2[GameDate], "&lt;=" &amp; $A189, Table2[AwayTeam], L$1)+SUMIFS(Table2[NewPointsHome],Table2[GameDate], "&lt;=" &amp; $A189, Table2[HomeTeam], L$1)</f>
        <v>1</v>
      </c>
      <c r="M189" s="145">
        <f>SUMIFS(Table2[NewPointsAway],Table2[GameDate], "&lt;=" &amp; $A189, Table2[AwayTeam], M$1)+SUMIFS(Table2[NewPointsHome],Table2[GameDate], "&lt;=" &amp; $A189, Table2[HomeTeam], M$1)</f>
        <v>2</v>
      </c>
      <c r="N189" s="145">
        <f>SUMIFS(Table2[NewPointsAway],Table2[GameDate], "&lt;=" &amp; $A189, Table2[AwayTeam], N$1)+SUMIFS(Table2[NewPointsHome],Table2[GameDate], "&lt;=" &amp; $A189, Table2[HomeTeam], N$1)</f>
        <v>2</v>
      </c>
      <c r="O189" s="145">
        <f>SUMIFS(Table2[NewPointsAway],Table2[GameDate], "&lt;=" &amp; $A189, Table2[AwayTeam], O$1)+SUMIFS(Table2[NewPointsHome],Table2[GameDate], "&lt;=" &amp; $A189, Table2[HomeTeam], O$1)</f>
        <v>0</v>
      </c>
      <c r="P189" s="145">
        <f>SUMIFS(Table2[NewPointsAway],Table2[GameDate], "&lt;=" &amp; $A189, Table2[AwayTeam], P$1)+SUMIFS(Table2[NewPointsHome],Table2[GameDate], "&lt;=" &amp; $A189, Table2[HomeTeam], P$1)</f>
        <v>0</v>
      </c>
      <c r="Q189" s="145">
        <f>SUMIFS(Table2[NewPointsAway],Table2[GameDate], "&lt;=" &amp; $A189, Table2[AwayTeam], Q$1)+SUMIFS(Table2[NewPointsHome],Table2[GameDate], "&lt;=" &amp; $A189, Table2[HomeTeam], Q$1)</f>
        <v>0</v>
      </c>
      <c r="R189" s="145">
        <f>SUMIFS(Table2[NewPointsAway],Table2[GameDate], "&lt;=" &amp; $A189, Table2[AwayTeam], R$1)+SUMIFS(Table2[NewPointsHome],Table2[GameDate], "&lt;=" &amp; $A189, Table2[HomeTeam], R$1)</f>
        <v>0</v>
      </c>
      <c r="S189" s="145">
        <f>SUMIFS(Table2[NewPointsAway],Table2[GameDate], "&lt;=" &amp; $A189, Table2[AwayTeam], S$1)+SUMIFS(Table2[NewPointsHome],Table2[GameDate], "&lt;=" &amp; $A189, Table2[HomeTeam], S$1)</f>
        <v>0</v>
      </c>
      <c r="T189" s="145">
        <f>SUMIFS(Table2[NewPointsAway],Table2[GameDate], "&lt;=" &amp; $A189, Table2[AwayTeam], T$1)+SUMIFS(Table2[NewPointsHome],Table2[GameDate], "&lt;=" &amp; $A189, Table2[HomeTeam], T$1)</f>
        <v>0</v>
      </c>
      <c r="U189" s="145">
        <f>SUMIFS(Table2[NewPointsAway],Table2[GameDate], "&lt;=" &amp; $A189, Table2[AwayTeam], U$1)+SUMIFS(Table2[NewPointsHome],Table2[GameDate], "&lt;=" &amp; $A189, Table2[HomeTeam], U$1)</f>
        <v>0</v>
      </c>
      <c r="V189" s="145">
        <f>SUMIFS(Table2[NewPointsAway],Table2[GameDate], "&lt;=" &amp; $A189, Table2[AwayTeam], V$1)+SUMIFS(Table2[NewPointsHome],Table2[GameDate], "&lt;=" &amp; $A189, Table2[HomeTeam], V$1)</f>
        <v>0</v>
      </c>
      <c r="W189" s="145">
        <f>SUMIFS(Table2[NewPointsAway],Table2[GameDate], "&lt;=" &amp; $A189, Table2[AwayTeam], W$1)+SUMIFS(Table2[NewPointsHome],Table2[GameDate], "&lt;=" &amp; $A189, Table2[HomeTeam], W$1)</f>
        <v>2</v>
      </c>
      <c r="X189" s="145">
        <f>SUMIFS(Table2[NewPointsAway],Table2[GameDate], "&lt;=" &amp; $A189, Table2[AwayTeam], X$1)+SUMIFS(Table2[NewPointsHome],Table2[GameDate], "&lt;=" &amp; $A189, Table2[HomeTeam], X$1)</f>
        <v>0</v>
      </c>
      <c r="Y189" s="145">
        <f>SUMIFS(Table2[NewPointsAway],Table2[GameDate], "&lt;=" &amp; $A189, Table2[AwayTeam], Y$1)+SUMIFS(Table2[NewPointsHome],Table2[GameDate], "&lt;=" &amp; $A189, Table2[HomeTeam], Y$1)</f>
        <v>0</v>
      </c>
      <c r="Z189" s="145">
        <f>SUMIFS(Table2[NewPointsAway],Table2[GameDate], "&lt;=" &amp; $A189, Table2[AwayTeam], Z$1)+SUMIFS(Table2[NewPointsHome],Table2[GameDate], "&lt;=" &amp; $A189, Table2[HomeTeam], Z$1)</f>
        <v>0</v>
      </c>
      <c r="AA189" s="145">
        <f>SUMIFS(Table2[NewPointsAway],Table2[GameDate], "&lt;=" &amp; $A189, Table2[AwayTeam], AA$1)+SUMIFS(Table2[NewPointsHome],Table2[GameDate], "&lt;=" &amp; $A189, Table2[HomeTeam], AA$1)</f>
        <v>0</v>
      </c>
      <c r="AB189" s="145">
        <f>SUMIFS(Table2[NewPointsAway],Table2[GameDate], "&lt;=" &amp; $A189, Table2[AwayTeam], AB$1)+SUMIFS(Table2[NewPointsHome],Table2[GameDate], "&lt;=" &amp; $A189, Table2[HomeTeam], AB$1)</f>
        <v>2</v>
      </c>
      <c r="AC189" s="145">
        <f>SUMIFS(Table2[NewPointsAway],Table2[GameDate], "&lt;=" &amp; $A189, Table2[AwayTeam], AC$1)+SUMIFS(Table2[NewPointsHome],Table2[GameDate], "&lt;=" &amp; $A189, Table2[HomeTeam], AC$1)</f>
        <v>0</v>
      </c>
      <c r="AD189" s="145">
        <f>SUMIFS(Table2[NewPointsAway],Table2[GameDate], "&lt;=" &amp; $A189, Table2[AwayTeam], AD$1)+SUMIFS(Table2[NewPointsHome],Table2[GameDate], "&lt;=" &amp; $A189, Table2[HomeTeam], AD$1)</f>
        <v>0</v>
      </c>
      <c r="AE189" s="145">
        <f>SUMIFS(Table2[NewPointsAway],Table2[GameDate], "&lt;=" &amp; $A189, Table2[AwayTeam], AE$1)+SUMIFS(Table2[NewPointsHome],Table2[GameDate], "&lt;=" &amp; $A189, Table2[HomeTeam], AE$1)</f>
        <v>1</v>
      </c>
      <c r="AF189" s="145">
        <f>SUMIFS(Table2[NewPointsAway],Table2[GameDate], "&lt;=" &amp; $A189, Table2[AwayTeam], AF$1)+SUMIFS(Table2[NewPointsHome],Table2[GameDate], "&lt;=" &amp; $A189, Table2[HomeTeam], AF$1)</f>
        <v>0</v>
      </c>
      <c r="AG189" s="145">
        <f>SUMIFS(Table2[NewPointsAway],Table2[GameDate], "&lt;=" &amp; $A189, Table2[AwayTeam], AG$1)+SUMIFS(Table2[NewPointsHome],Table2[GameDate], "&lt;=" &amp; $A189, Table2[HomeTeam], AG$1)</f>
        <v>0</v>
      </c>
    </row>
    <row r="190" spans="1:33" x14ac:dyDescent="0.25">
      <c r="A190" s="3">
        <v>46121</v>
      </c>
      <c r="B190" s="145">
        <f>SUMIFS(Table2[NewPointsAway],Table2[GameDate], "&lt;=" &amp; $A190, Table2[AwayTeam], B$1)+SUMIFS(Table2[NewPointsHome],Table2[GameDate], "&lt;=" &amp; $A190, Table2[HomeTeam], B$1)</f>
        <v>0</v>
      </c>
      <c r="C190" s="145">
        <f>SUMIFS(Table2[NewPointsAway],Table2[GameDate], "&lt;=" &amp; $A190, Table2[AwayTeam], C$1)+SUMIFS(Table2[NewPointsHome],Table2[GameDate], "&lt;=" &amp; $A190, Table2[HomeTeam], C$1)</f>
        <v>2</v>
      </c>
      <c r="D190" s="145">
        <f>SUMIFS(Table2[NewPointsAway],Table2[GameDate], "&lt;=" &amp; $A190, Table2[AwayTeam], D$1)+SUMIFS(Table2[NewPointsHome],Table2[GameDate], "&lt;=" &amp; $A190, Table2[HomeTeam], D$1)</f>
        <v>0</v>
      </c>
      <c r="E190" s="145">
        <f>SUMIFS(Table2[NewPointsAway],Table2[GameDate], "&lt;=" &amp; $A190, Table2[AwayTeam], E$1)+SUMIFS(Table2[NewPointsHome],Table2[GameDate], "&lt;=" &amp; $A190, Table2[HomeTeam], E$1)</f>
        <v>0</v>
      </c>
      <c r="F190" s="145">
        <f>SUMIFS(Table2[NewPointsAway],Table2[GameDate], "&lt;=" &amp; $A190, Table2[AwayTeam], F$1)+SUMIFS(Table2[NewPointsHome],Table2[GameDate], "&lt;=" &amp; $A190, Table2[HomeTeam], F$1)</f>
        <v>0</v>
      </c>
      <c r="G190" s="145">
        <f>SUMIFS(Table2[NewPointsAway],Table2[GameDate], "&lt;=" &amp; $A190, Table2[AwayTeam], G$1)+SUMIFS(Table2[NewPointsHome],Table2[GameDate], "&lt;=" &amp; $A190, Table2[HomeTeam], G$1)</f>
        <v>2</v>
      </c>
      <c r="H190" s="145">
        <f>SUMIFS(Table2[NewPointsAway],Table2[GameDate], "&lt;=" &amp; $A190, Table2[AwayTeam], H$1)+SUMIFS(Table2[NewPointsHome],Table2[GameDate], "&lt;=" &amp; $A190, Table2[HomeTeam], H$1)</f>
        <v>0</v>
      </c>
      <c r="I190" s="145">
        <f>SUMIFS(Table2[NewPointsAway],Table2[GameDate], "&lt;=" &amp; $A190, Table2[AwayTeam], I$1)+SUMIFS(Table2[NewPointsHome],Table2[GameDate], "&lt;=" &amp; $A190, Table2[HomeTeam], I$1)</f>
        <v>2</v>
      </c>
      <c r="J190" s="145">
        <f>SUMIFS(Table2[NewPointsAway],Table2[GameDate], "&lt;=" &amp; $A190, Table2[AwayTeam], J$1)+SUMIFS(Table2[NewPointsHome],Table2[GameDate], "&lt;=" &amp; $A190, Table2[HomeTeam], J$1)</f>
        <v>0</v>
      </c>
      <c r="K190" s="145">
        <f>SUMIFS(Table2[NewPointsAway],Table2[GameDate], "&lt;=" &amp; $A190, Table2[AwayTeam], K$1)+SUMIFS(Table2[NewPointsHome],Table2[GameDate], "&lt;=" &amp; $A190, Table2[HomeTeam], K$1)</f>
        <v>0</v>
      </c>
      <c r="L190" s="145">
        <f>SUMIFS(Table2[NewPointsAway],Table2[GameDate], "&lt;=" &amp; $A190, Table2[AwayTeam], L$1)+SUMIFS(Table2[NewPointsHome],Table2[GameDate], "&lt;=" &amp; $A190, Table2[HomeTeam], L$1)</f>
        <v>1</v>
      </c>
      <c r="M190" s="145">
        <f>SUMIFS(Table2[NewPointsAway],Table2[GameDate], "&lt;=" &amp; $A190, Table2[AwayTeam], M$1)+SUMIFS(Table2[NewPointsHome],Table2[GameDate], "&lt;=" &amp; $A190, Table2[HomeTeam], M$1)</f>
        <v>2</v>
      </c>
      <c r="N190" s="145">
        <f>SUMIFS(Table2[NewPointsAway],Table2[GameDate], "&lt;=" &amp; $A190, Table2[AwayTeam], N$1)+SUMIFS(Table2[NewPointsHome],Table2[GameDate], "&lt;=" &amp; $A190, Table2[HomeTeam], N$1)</f>
        <v>2</v>
      </c>
      <c r="O190" s="145">
        <f>SUMIFS(Table2[NewPointsAway],Table2[GameDate], "&lt;=" &amp; $A190, Table2[AwayTeam], O$1)+SUMIFS(Table2[NewPointsHome],Table2[GameDate], "&lt;=" &amp; $A190, Table2[HomeTeam], O$1)</f>
        <v>0</v>
      </c>
      <c r="P190" s="145">
        <f>SUMIFS(Table2[NewPointsAway],Table2[GameDate], "&lt;=" &amp; $A190, Table2[AwayTeam], P$1)+SUMIFS(Table2[NewPointsHome],Table2[GameDate], "&lt;=" &amp; $A190, Table2[HomeTeam], P$1)</f>
        <v>0</v>
      </c>
      <c r="Q190" s="145">
        <f>SUMIFS(Table2[NewPointsAway],Table2[GameDate], "&lt;=" &amp; $A190, Table2[AwayTeam], Q$1)+SUMIFS(Table2[NewPointsHome],Table2[GameDate], "&lt;=" &amp; $A190, Table2[HomeTeam], Q$1)</f>
        <v>0</v>
      </c>
      <c r="R190" s="145">
        <f>SUMIFS(Table2[NewPointsAway],Table2[GameDate], "&lt;=" &amp; $A190, Table2[AwayTeam], R$1)+SUMIFS(Table2[NewPointsHome],Table2[GameDate], "&lt;=" &amp; $A190, Table2[HomeTeam], R$1)</f>
        <v>0</v>
      </c>
      <c r="S190" s="145">
        <f>SUMIFS(Table2[NewPointsAway],Table2[GameDate], "&lt;=" &amp; $A190, Table2[AwayTeam], S$1)+SUMIFS(Table2[NewPointsHome],Table2[GameDate], "&lt;=" &amp; $A190, Table2[HomeTeam], S$1)</f>
        <v>0</v>
      </c>
      <c r="T190" s="145">
        <f>SUMIFS(Table2[NewPointsAway],Table2[GameDate], "&lt;=" &amp; $A190, Table2[AwayTeam], T$1)+SUMIFS(Table2[NewPointsHome],Table2[GameDate], "&lt;=" &amp; $A190, Table2[HomeTeam], T$1)</f>
        <v>0</v>
      </c>
      <c r="U190" s="145">
        <f>SUMIFS(Table2[NewPointsAway],Table2[GameDate], "&lt;=" &amp; $A190, Table2[AwayTeam], U$1)+SUMIFS(Table2[NewPointsHome],Table2[GameDate], "&lt;=" &amp; $A190, Table2[HomeTeam], U$1)</f>
        <v>0</v>
      </c>
      <c r="V190" s="145">
        <f>SUMIFS(Table2[NewPointsAway],Table2[GameDate], "&lt;=" &amp; $A190, Table2[AwayTeam], V$1)+SUMIFS(Table2[NewPointsHome],Table2[GameDate], "&lt;=" &amp; $A190, Table2[HomeTeam], V$1)</f>
        <v>0</v>
      </c>
      <c r="W190" s="145">
        <f>SUMIFS(Table2[NewPointsAway],Table2[GameDate], "&lt;=" &amp; $A190, Table2[AwayTeam], W$1)+SUMIFS(Table2[NewPointsHome],Table2[GameDate], "&lt;=" &amp; $A190, Table2[HomeTeam], W$1)</f>
        <v>2</v>
      </c>
      <c r="X190" s="145">
        <f>SUMIFS(Table2[NewPointsAway],Table2[GameDate], "&lt;=" &amp; $A190, Table2[AwayTeam], X$1)+SUMIFS(Table2[NewPointsHome],Table2[GameDate], "&lt;=" &amp; $A190, Table2[HomeTeam], X$1)</f>
        <v>0</v>
      </c>
      <c r="Y190" s="145">
        <f>SUMIFS(Table2[NewPointsAway],Table2[GameDate], "&lt;=" &amp; $A190, Table2[AwayTeam], Y$1)+SUMIFS(Table2[NewPointsHome],Table2[GameDate], "&lt;=" &amp; $A190, Table2[HomeTeam], Y$1)</f>
        <v>0</v>
      </c>
      <c r="Z190" s="145">
        <f>SUMIFS(Table2[NewPointsAway],Table2[GameDate], "&lt;=" &amp; $A190, Table2[AwayTeam], Z$1)+SUMIFS(Table2[NewPointsHome],Table2[GameDate], "&lt;=" &amp; $A190, Table2[HomeTeam], Z$1)</f>
        <v>0</v>
      </c>
      <c r="AA190" s="145">
        <f>SUMIFS(Table2[NewPointsAway],Table2[GameDate], "&lt;=" &amp; $A190, Table2[AwayTeam], AA$1)+SUMIFS(Table2[NewPointsHome],Table2[GameDate], "&lt;=" &amp; $A190, Table2[HomeTeam], AA$1)</f>
        <v>0</v>
      </c>
      <c r="AB190" s="145">
        <f>SUMIFS(Table2[NewPointsAway],Table2[GameDate], "&lt;=" &amp; $A190, Table2[AwayTeam], AB$1)+SUMIFS(Table2[NewPointsHome],Table2[GameDate], "&lt;=" &amp; $A190, Table2[HomeTeam], AB$1)</f>
        <v>2</v>
      </c>
      <c r="AC190" s="145">
        <f>SUMIFS(Table2[NewPointsAway],Table2[GameDate], "&lt;=" &amp; $A190, Table2[AwayTeam], AC$1)+SUMIFS(Table2[NewPointsHome],Table2[GameDate], "&lt;=" &amp; $A190, Table2[HomeTeam], AC$1)</f>
        <v>0</v>
      </c>
      <c r="AD190" s="145">
        <f>SUMIFS(Table2[NewPointsAway],Table2[GameDate], "&lt;=" &amp; $A190, Table2[AwayTeam], AD$1)+SUMIFS(Table2[NewPointsHome],Table2[GameDate], "&lt;=" &amp; $A190, Table2[HomeTeam], AD$1)</f>
        <v>0</v>
      </c>
      <c r="AE190" s="145">
        <f>SUMIFS(Table2[NewPointsAway],Table2[GameDate], "&lt;=" &amp; $A190, Table2[AwayTeam], AE$1)+SUMIFS(Table2[NewPointsHome],Table2[GameDate], "&lt;=" &amp; $A190, Table2[HomeTeam], AE$1)</f>
        <v>1</v>
      </c>
      <c r="AF190" s="145">
        <f>SUMIFS(Table2[NewPointsAway],Table2[GameDate], "&lt;=" &amp; $A190, Table2[AwayTeam], AF$1)+SUMIFS(Table2[NewPointsHome],Table2[GameDate], "&lt;=" &amp; $A190, Table2[HomeTeam], AF$1)</f>
        <v>0</v>
      </c>
      <c r="AG190" s="145">
        <f>SUMIFS(Table2[NewPointsAway],Table2[GameDate], "&lt;=" &amp; $A190, Table2[AwayTeam], AG$1)+SUMIFS(Table2[NewPointsHome],Table2[GameDate], "&lt;=" &amp; $A190, Table2[HomeTeam], AG$1)</f>
        <v>0</v>
      </c>
    </row>
    <row r="191" spans="1:33" x14ac:dyDescent="0.25">
      <c r="A191" s="3">
        <v>46122</v>
      </c>
      <c r="B191" s="145">
        <f>SUMIFS(Table2[NewPointsAway],Table2[GameDate], "&lt;=" &amp; $A191, Table2[AwayTeam], B$1)+SUMIFS(Table2[NewPointsHome],Table2[GameDate], "&lt;=" &amp; $A191, Table2[HomeTeam], B$1)</f>
        <v>0</v>
      </c>
      <c r="C191" s="145">
        <f>SUMIFS(Table2[NewPointsAway],Table2[GameDate], "&lt;=" &amp; $A191, Table2[AwayTeam], C$1)+SUMIFS(Table2[NewPointsHome],Table2[GameDate], "&lt;=" &amp; $A191, Table2[HomeTeam], C$1)</f>
        <v>2</v>
      </c>
      <c r="D191" s="145">
        <f>SUMIFS(Table2[NewPointsAway],Table2[GameDate], "&lt;=" &amp; $A191, Table2[AwayTeam], D$1)+SUMIFS(Table2[NewPointsHome],Table2[GameDate], "&lt;=" &amp; $A191, Table2[HomeTeam], D$1)</f>
        <v>0</v>
      </c>
      <c r="E191" s="145">
        <f>SUMIFS(Table2[NewPointsAway],Table2[GameDate], "&lt;=" &amp; $A191, Table2[AwayTeam], E$1)+SUMIFS(Table2[NewPointsHome],Table2[GameDate], "&lt;=" &amp; $A191, Table2[HomeTeam], E$1)</f>
        <v>0</v>
      </c>
      <c r="F191" s="145">
        <f>SUMIFS(Table2[NewPointsAway],Table2[GameDate], "&lt;=" &amp; $A191, Table2[AwayTeam], F$1)+SUMIFS(Table2[NewPointsHome],Table2[GameDate], "&lt;=" &amp; $A191, Table2[HomeTeam], F$1)</f>
        <v>0</v>
      </c>
      <c r="G191" s="145">
        <f>SUMIFS(Table2[NewPointsAway],Table2[GameDate], "&lt;=" &amp; $A191, Table2[AwayTeam], G$1)+SUMIFS(Table2[NewPointsHome],Table2[GameDate], "&lt;=" &amp; $A191, Table2[HomeTeam], G$1)</f>
        <v>2</v>
      </c>
      <c r="H191" s="145">
        <f>SUMIFS(Table2[NewPointsAway],Table2[GameDate], "&lt;=" &amp; $A191, Table2[AwayTeam], H$1)+SUMIFS(Table2[NewPointsHome],Table2[GameDate], "&lt;=" &amp; $A191, Table2[HomeTeam], H$1)</f>
        <v>0</v>
      </c>
      <c r="I191" s="145">
        <f>SUMIFS(Table2[NewPointsAway],Table2[GameDate], "&lt;=" &amp; $A191, Table2[AwayTeam], I$1)+SUMIFS(Table2[NewPointsHome],Table2[GameDate], "&lt;=" &amp; $A191, Table2[HomeTeam], I$1)</f>
        <v>2</v>
      </c>
      <c r="J191" s="145">
        <f>SUMIFS(Table2[NewPointsAway],Table2[GameDate], "&lt;=" &amp; $A191, Table2[AwayTeam], J$1)+SUMIFS(Table2[NewPointsHome],Table2[GameDate], "&lt;=" &amp; $A191, Table2[HomeTeam], J$1)</f>
        <v>0</v>
      </c>
      <c r="K191" s="145">
        <f>SUMIFS(Table2[NewPointsAway],Table2[GameDate], "&lt;=" &amp; $A191, Table2[AwayTeam], K$1)+SUMIFS(Table2[NewPointsHome],Table2[GameDate], "&lt;=" &amp; $A191, Table2[HomeTeam], K$1)</f>
        <v>0</v>
      </c>
      <c r="L191" s="145">
        <f>SUMIFS(Table2[NewPointsAway],Table2[GameDate], "&lt;=" &amp; $A191, Table2[AwayTeam], L$1)+SUMIFS(Table2[NewPointsHome],Table2[GameDate], "&lt;=" &amp; $A191, Table2[HomeTeam], L$1)</f>
        <v>1</v>
      </c>
      <c r="M191" s="145">
        <f>SUMIFS(Table2[NewPointsAway],Table2[GameDate], "&lt;=" &amp; $A191, Table2[AwayTeam], M$1)+SUMIFS(Table2[NewPointsHome],Table2[GameDate], "&lt;=" &amp; $A191, Table2[HomeTeam], M$1)</f>
        <v>2</v>
      </c>
      <c r="N191" s="145">
        <f>SUMIFS(Table2[NewPointsAway],Table2[GameDate], "&lt;=" &amp; $A191, Table2[AwayTeam], N$1)+SUMIFS(Table2[NewPointsHome],Table2[GameDate], "&lt;=" &amp; $A191, Table2[HomeTeam], N$1)</f>
        <v>2</v>
      </c>
      <c r="O191" s="145">
        <f>SUMIFS(Table2[NewPointsAway],Table2[GameDate], "&lt;=" &amp; $A191, Table2[AwayTeam], O$1)+SUMIFS(Table2[NewPointsHome],Table2[GameDate], "&lt;=" &amp; $A191, Table2[HomeTeam], O$1)</f>
        <v>0</v>
      </c>
      <c r="P191" s="145">
        <f>SUMIFS(Table2[NewPointsAway],Table2[GameDate], "&lt;=" &amp; $A191, Table2[AwayTeam], P$1)+SUMIFS(Table2[NewPointsHome],Table2[GameDate], "&lt;=" &amp; $A191, Table2[HomeTeam], P$1)</f>
        <v>0</v>
      </c>
      <c r="Q191" s="145">
        <f>SUMIFS(Table2[NewPointsAway],Table2[GameDate], "&lt;=" &amp; $A191, Table2[AwayTeam], Q$1)+SUMIFS(Table2[NewPointsHome],Table2[GameDate], "&lt;=" &amp; $A191, Table2[HomeTeam], Q$1)</f>
        <v>0</v>
      </c>
      <c r="R191" s="145">
        <f>SUMIFS(Table2[NewPointsAway],Table2[GameDate], "&lt;=" &amp; $A191, Table2[AwayTeam], R$1)+SUMIFS(Table2[NewPointsHome],Table2[GameDate], "&lt;=" &amp; $A191, Table2[HomeTeam], R$1)</f>
        <v>0</v>
      </c>
      <c r="S191" s="145">
        <f>SUMIFS(Table2[NewPointsAway],Table2[GameDate], "&lt;=" &amp; $A191, Table2[AwayTeam], S$1)+SUMIFS(Table2[NewPointsHome],Table2[GameDate], "&lt;=" &amp; $A191, Table2[HomeTeam], S$1)</f>
        <v>0</v>
      </c>
      <c r="T191" s="145">
        <f>SUMIFS(Table2[NewPointsAway],Table2[GameDate], "&lt;=" &amp; $A191, Table2[AwayTeam], T$1)+SUMIFS(Table2[NewPointsHome],Table2[GameDate], "&lt;=" &amp; $A191, Table2[HomeTeam], T$1)</f>
        <v>0</v>
      </c>
      <c r="U191" s="145">
        <f>SUMIFS(Table2[NewPointsAway],Table2[GameDate], "&lt;=" &amp; $A191, Table2[AwayTeam], U$1)+SUMIFS(Table2[NewPointsHome],Table2[GameDate], "&lt;=" &amp; $A191, Table2[HomeTeam], U$1)</f>
        <v>0</v>
      </c>
      <c r="V191" s="145">
        <f>SUMIFS(Table2[NewPointsAway],Table2[GameDate], "&lt;=" &amp; $A191, Table2[AwayTeam], V$1)+SUMIFS(Table2[NewPointsHome],Table2[GameDate], "&lt;=" &amp; $A191, Table2[HomeTeam], V$1)</f>
        <v>0</v>
      </c>
      <c r="W191" s="145">
        <f>SUMIFS(Table2[NewPointsAway],Table2[GameDate], "&lt;=" &amp; $A191, Table2[AwayTeam], W$1)+SUMIFS(Table2[NewPointsHome],Table2[GameDate], "&lt;=" &amp; $A191, Table2[HomeTeam], W$1)</f>
        <v>2</v>
      </c>
      <c r="X191" s="145">
        <f>SUMIFS(Table2[NewPointsAway],Table2[GameDate], "&lt;=" &amp; $A191, Table2[AwayTeam], X$1)+SUMIFS(Table2[NewPointsHome],Table2[GameDate], "&lt;=" &amp; $A191, Table2[HomeTeam], X$1)</f>
        <v>0</v>
      </c>
      <c r="Y191" s="145">
        <f>SUMIFS(Table2[NewPointsAway],Table2[GameDate], "&lt;=" &amp; $A191, Table2[AwayTeam], Y$1)+SUMIFS(Table2[NewPointsHome],Table2[GameDate], "&lt;=" &amp; $A191, Table2[HomeTeam], Y$1)</f>
        <v>0</v>
      </c>
      <c r="Z191" s="145">
        <f>SUMIFS(Table2[NewPointsAway],Table2[GameDate], "&lt;=" &amp; $A191, Table2[AwayTeam], Z$1)+SUMIFS(Table2[NewPointsHome],Table2[GameDate], "&lt;=" &amp; $A191, Table2[HomeTeam], Z$1)</f>
        <v>0</v>
      </c>
      <c r="AA191" s="145">
        <f>SUMIFS(Table2[NewPointsAway],Table2[GameDate], "&lt;=" &amp; $A191, Table2[AwayTeam], AA$1)+SUMIFS(Table2[NewPointsHome],Table2[GameDate], "&lt;=" &amp; $A191, Table2[HomeTeam], AA$1)</f>
        <v>0</v>
      </c>
      <c r="AB191" s="145">
        <f>SUMIFS(Table2[NewPointsAway],Table2[GameDate], "&lt;=" &amp; $A191, Table2[AwayTeam], AB$1)+SUMIFS(Table2[NewPointsHome],Table2[GameDate], "&lt;=" &amp; $A191, Table2[HomeTeam], AB$1)</f>
        <v>2</v>
      </c>
      <c r="AC191" s="145">
        <f>SUMIFS(Table2[NewPointsAway],Table2[GameDate], "&lt;=" &amp; $A191, Table2[AwayTeam], AC$1)+SUMIFS(Table2[NewPointsHome],Table2[GameDate], "&lt;=" &amp; $A191, Table2[HomeTeam], AC$1)</f>
        <v>0</v>
      </c>
      <c r="AD191" s="145">
        <f>SUMIFS(Table2[NewPointsAway],Table2[GameDate], "&lt;=" &amp; $A191, Table2[AwayTeam], AD$1)+SUMIFS(Table2[NewPointsHome],Table2[GameDate], "&lt;=" &amp; $A191, Table2[HomeTeam], AD$1)</f>
        <v>0</v>
      </c>
      <c r="AE191" s="145">
        <f>SUMIFS(Table2[NewPointsAway],Table2[GameDate], "&lt;=" &amp; $A191, Table2[AwayTeam], AE$1)+SUMIFS(Table2[NewPointsHome],Table2[GameDate], "&lt;=" &amp; $A191, Table2[HomeTeam], AE$1)</f>
        <v>1</v>
      </c>
      <c r="AF191" s="145">
        <f>SUMIFS(Table2[NewPointsAway],Table2[GameDate], "&lt;=" &amp; $A191, Table2[AwayTeam], AF$1)+SUMIFS(Table2[NewPointsHome],Table2[GameDate], "&lt;=" &amp; $A191, Table2[HomeTeam], AF$1)</f>
        <v>0</v>
      </c>
      <c r="AG191" s="145">
        <f>SUMIFS(Table2[NewPointsAway],Table2[GameDate], "&lt;=" &amp; $A191, Table2[AwayTeam], AG$1)+SUMIFS(Table2[NewPointsHome],Table2[GameDate], "&lt;=" &amp; $A191, Table2[HomeTeam], AG$1)</f>
        <v>0</v>
      </c>
    </row>
    <row r="192" spans="1:33" x14ac:dyDescent="0.25">
      <c r="A192" s="3">
        <v>46123</v>
      </c>
      <c r="B192" s="145">
        <f>SUMIFS(Table2[NewPointsAway],Table2[GameDate], "&lt;=" &amp; $A192, Table2[AwayTeam], B$1)+SUMIFS(Table2[NewPointsHome],Table2[GameDate], "&lt;=" &amp; $A192, Table2[HomeTeam], B$1)</f>
        <v>0</v>
      </c>
      <c r="C192" s="145">
        <f>SUMIFS(Table2[NewPointsAway],Table2[GameDate], "&lt;=" &amp; $A192, Table2[AwayTeam], C$1)+SUMIFS(Table2[NewPointsHome],Table2[GameDate], "&lt;=" &amp; $A192, Table2[HomeTeam], C$1)</f>
        <v>2</v>
      </c>
      <c r="D192" s="145">
        <f>SUMIFS(Table2[NewPointsAway],Table2[GameDate], "&lt;=" &amp; $A192, Table2[AwayTeam], D$1)+SUMIFS(Table2[NewPointsHome],Table2[GameDate], "&lt;=" &amp; $A192, Table2[HomeTeam], D$1)</f>
        <v>0</v>
      </c>
      <c r="E192" s="145">
        <f>SUMIFS(Table2[NewPointsAway],Table2[GameDate], "&lt;=" &amp; $A192, Table2[AwayTeam], E$1)+SUMIFS(Table2[NewPointsHome],Table2[GameDate], "&lt;=" &amp; $A192, Table2[HomeTeam], E$1)</f>
        <v>0</v>
      </c>
      <c r="F192" s="145">
        <f>SUMIFS(Table2[NewPointsAway],Table2[GameDate], "&lt;=" &amp; $A192, Table2[AwayTeam], F$1)+SUMIFS(Table2[NewPointsHome],Table2[GameDate], "&lt;=" &amp; $A192, Table2[HomeTeam], F$1)</f>
        <v>0</v>
      </c>
      <c r="G192" s="145">
        <f>SUMIFS(Table2[NewPointsAway],Table2[GameDate], "&lt;=" &amp; $A192, Table2[AwayTeam], G$1)+SUMIFS(Table2[NewPointsHome],Table2[GameDate], "&lt;=" &amp; $A192, Table2[HomeTeam], G$1)</f>
        <v>2</v>
      </c>
      <c r="H192" s="145">
        <f>SUMIFS(Table2[NewPointsAway],Table2[GameDate], "&lt;=" &amp; $A192, Table2[AwayTeam], H$1)+SUMIFS(Table2[NewPointsHome],Table2[GameDate], "&lt;=" &amp; $A192, Table2[HomeTeam], H$1)</f>
        <v>0</v>
      </c>
      <c r="I192" s="145">
        <f>SUMIFS(Table2[NewPointsAway],Table2[GameDate], "&lt;=" &amp; $A192, Table2[AwayTeam], I$1)+SUMIFS(Table2[NewPointsHome],Table2[GameDate], "&lt;=" &amp; $A192, Table2[HomeTeam], I$1)</f>
        <v>2</v>
      </c>
      <c r="J192" s="145">
        <f>SUMIFS(Table2[NewPointsAway],Table2[GameDate], "&lt;=" &amp; $A192, Table2[AwayTeam], J$1)+SUMIFS(Table2[NewPointsHome],Table2[GameDate], "&lt;=" &amp; $A192, Table2[HomeTeam], J$1)</f>
        <v>0</v>
      </c>
      <c r="K192" s="145">
        <f>SUMIFS(Table2[NewPointsAway],Table2[GameDate], "&lt;=" &amp; $A192, Table2[AwayTeam], K$1)+SUMIFS(Table2[NewPointsHome],Table2[GameDate], "&lt;=" &amp; $A192, Table2[HomeTeam], K$1)</f>
        <v>0</v>
      </c>
      <c r="L192" s="145">
        <f>SUMIFS(Table2[NewPointsAway],Table2[GameDate], "&lt;=" &amp; $A192, Table2[AwayTeam], L$1)+SUMIFS(Table2[NewPointsHome],Table2[GameDate], "&lt;=" &amp; $A192, Table2[HomeTeam], L$1)</f>
        <v>1</v>
      </c>
      <c r="M192" s="145">
        <f>SUMIFS(Table2[NewPointsAway],Table2[GameDate], "&lt;=" &amp; $A192, Table2[AwayTeam], M$1)+SUMIFS(Table2[NewPointsHome],Table2[GameDate], "&lt;=" &amp; $A192, Table2[HomeTeam], M$1)</f>
        <v>2</v>
      </c>
      <c r="N192" s="145">
        <f>SUMIFS(Table2[NewPointsAway],Table2[GameDate], "&lt;=" &amp; $A192, Table2[AwayTeam], N$1)+SUMIFS(Table2[NewPointsHome],Table2[GameDate], "&lt;=" &amp; $A192, Table2[HomeTeam], N$1)</f>
        <v>2</v>
      </c>
      <c r="O192" s="145">
        <f>SUMIFS(Table2[NewPointsAway],Table2[GameDate], "&lt;=" &amp; $A192, Table2[AwayTeam], O$1)+SUMIFS(Table2[NewPointsHome],Table2[GameDate], "&lt;=" &amp; $A192, Table2[HomeTeam], O$1)</f>
        <v>0</v>
      </c>
      <c r="P192" s="145">
        <f>SUMIFS(Table2[NewPointsAway],Table2[GameDate], "&lt;=" &amp; $A192, Table2[AwayTeam], P$1)+SUMIFS(Table2[NewPointsHome],Table2[GameDate], "&lt;=" &amp; $A192, Table2[HomeTeam], P$1)</f>
        <v>0</v>
      </c>
      <c r="Q192" s="145">
        <f>SUMIFS(Table2[NewPointsAway],Table2[GameDate], "&lt;=" &amp; $A192, Table2[AwayTeam], Q$1)+SUMIFS(Table2[NewPointsHome],Table2[GameDate], "&lt;=" &amp; $A192, Table2[HomeTeam], Q$1)</f>
        <v>0</v>
      </c>
      <c r="R192" s="145">
        <f>SUMIFS(Table2[NewPointsAway],Table2[GameDate], "&lt;=" &amp; $A192, Table2[AwayTeam], R$1)+SUMIFS(Table2[NewPointsHome],Table2[GameDate], "&lt;=" &amp; $A192, Table2[HomeTeam], R$1)</f>
        <v>0</v>
      </c>
      <c r="S192" s="145">
        <f>SUMIFS(Table2[NewPointsAway],Table2[GameDate], "&lt;=" &amp; $A192, Table2[AwayTeam], S$1)+SUMIFS(Table2[NewPointsHome],Table2[GameDate], "&lt;=" &amp; $A192, Table2[HomeTeam], S$1)</f>
        <v>0</v>
      </c>
      <c r="T192" s="145">
        <f>SUMIFS(Table2[NewPointsAway],Table2[GameDate], "&lt;=" &amp; $A192, Table2[AwayTeam], T$1)+SUMIFS(Table2[NewPointsHome],Table2[GameDate], "&lt;=" &amp; $A192, Table2[HomeTeam], T$1)</f>
        <v>0</v>
      </c>
      <c r="U192" s="145">
        <f>SUMIFS(Table2[NewPointsAway],Table2[GameDate], "&lt;=" &amp; $A192, Table2[AwayTeam], U$1)+SUMIFS(Table2[NewPointsHome],Table2[GameDate], "&lt;=" &amp; $A192, Table2[HomeTeam], U$1)</f>
        <v>0</v>
      </c>
      <c r="V192" s="145">
        <f>SUMIFS(Table2[NewPointsAway],Table2[GameDate], "&lt;=" &amp; $A192, Table2[AwayTeam], V$1)+SUMIFS(Table2[NewPointsHome],Table2[GameDate], "&lt;=" &amp; $A192, Table2[HomeTeam], V$1)</f>
        <v>0</v>
      </c>
      <c r="W192" s="145">
        <f>SUMIFS(Table2[NewPointsAway],Table2[GameDate], "&lt;=" &amp; $A192, Table2[AwayTeam], W$1)+SUMIFS(Table2[NewPointsHome],Table2[GameDate], "&lt;=" &amp; $A192, Table2[HomeTeam], W$1)</f>
        <v>2</v>
      </c>
      <c r="X192" s="145">
        <f>SUMIFS(Table2[NewPointsAway],Table2[GameDate], "&lt;=" &amp; $A192, Table2[AwayTeam], X$1)+SUMIFS(Table2[NewPointsHome],Table2[GameDate], "&lt;=" &amp; $A192, Table2[HomeTeam], X$1)</f>
        <v>0</v>
      </c>
      <c r="Y192" s="145">
        <f>SUMIFS(Table2[NewPointsAway],Table2[GameDate], "&lt;=" &amp; $A192, Table2[AwayTeam], Y$1)+SUMIFS(Table2[NewPointsHome],Table2[GameDate], "&lt;=" &amp; $A192, Table2[HomeTeam], Y$1)</f>
        <v>0</v>
      </c>
      <c r="Z192" s="145">
        <f>SUMIFS(Table2[NewPointsAway],Table2[GameDate], "&lt;=" &amp; $A192, Table2[AwayTeam], Z$1)+SUMIFS(Table2[NewPointsHome],Table2[GameDate], "&lt;=" &amp; $A192, Table2[HomeTeam], Z$1)</f>
        <v>0</v>
      </c>
      <c r="AA192" s="145">
        <f>SUMIFS(Table2[NewPointsAway],Table2[GameDate], "&lt;=" &amp; $A192, Table2[AwayTeam], AA$1)+SUMIFS(Table2[NewPointsHome],Table2[GameDate], "&lt;=" &amp; $A192, Table2[HomeTeam], AA$1)</f>
        <v>0</v>
      </c>
      <c r="AB192" s="145">
        <f>SUMIFS(Table2[NewPointsAway],Table2[GameDate], "&lt;=" &amp; $A192, Table2[AwayTeam], AB$1)+SUMIFS(Table2[NewPointsHome],Table2[GameDate], "&lt;=" &amp; $A192, Table2[HomeTeam], AB$1)</f>
        <v>2</v>
      </c>
      <c r="AC192" s="145">
        <f>SUMIFS(Table2[NewPointsAway],Table2[GameDate], "&lt;=" &amp; $A192, Table2[AwayTeam], AC$1)+SUMIFS(Table2[NewPointsHome],Table2[GameDate], "&lt;=" &amp; $A192, Table2[HomeTeam], AC$1)</f>
        <v>0</v>
      </c>
      <c r="AD192" s="145">
        <f>SUMIFS(Table2[NewPointsAway],Table2[GameDate], "&lt;=" &amp; $A192, Table2[AwayTeam], AD$1)+SUMIFS(Table2[NewPointsHome],Table2[GameDate], "&lt;=" &amp; $A192, Table2[HomeTeam], AD$1)</f>
        <v>0</v>
      </c>
      <c r="AE192" s="145">
        <f>SUMIFS(Table2[NewPointsAway],Table2[GameDate], "&lt;=" &amp; $A192, Table2[AwayTeam], AE$1)+SUMIFS(Table2[NewPointsHome],Table2[GameDate], "&lt;=" &amp; $A192, Table2[HomeTeam], AE$1)</f>
        <v>1</v>
      </c>
      <c r="AF192" s="145">
        <f>SUMIFS(Table2[NewPointsAway],Table2[GameDate], "&lt;=" &amp; $A192, Table2[AwayTeam], AF$1)+SUMIFS(Table2[NewPointsHome],Table2[GameDate], "&lt;=" &amp; $A192, Table2[HomeTeam], AF$1)</f>
        <v>0</v>
      </c>
      <c r="AG192" s="145">
        <f>SUMIFS(Table2[NewPointsAway],Table2[GameDate], "&lt;=" &amp; $A192, Table2[AwayTeam], AG$1)+SUMIFS(Table2[NewPointsHome],Table2[GameDate], "&lt;=" &amp; $A192, Table2[HomeTeam], AG$1)</f>
        <v>0</v>
      </c>
    </row>
    <row r="193" spans="1:33" x14ac:dyDescent="0.25">
      <c r="A193" s="3">
        <v>46124</v>
      </c>
      <c r="B193" s="145">
        <f>SUMIFS(Table2[NewPointsAway],Table2[GameDate], "&lt;=" &amp; $A193, Table2[AwayTeam], B$1)+SUMIFS(Table2[NewPointsHome],Table2[GameDate], "&lt;=" &amp; $A193, Table2[HomeTeam], B$1)</f>
        <v>0</v>
      </c>
      <c r="C193" s="145">
        <f>SUMIFS(Table2[NewPointsAway],Table2[GameDate], "&lt;=" &amp; $A193, Table2[AwayTeam], C$1)+SUMIFS(Table2[NewPointsHome],Table2[GameDate], "&lt;=" &amp; $A193, Table2[HomeTeam], C$1)</f>
        <v>2</v>
      </c>
      <c r="D193" s="145">
        <f>SUMIFS(Table2[NewPointsAway],Table2[GameDate], "&lt;=" &amp; $A193, Table2[AwayTeam], D$1)+SUMIFS(Table2[NewPointsHome],Table2[GameDate], "&lt;=" &amp; $A193, Table2[HomeTeam], D$1)</f>
        <v>0</v>
      </c>
      <c r="E193" s="145">
        <f>SUMIFS(Table2[NewPointsAway],Table2[GameDate], "&lt;=" &amp; $A193, Table2[AwayTeam], E$1)+SUMIFS(Table2[NewPointsHome],Table2[GameDate], "&lt;=" &amp; $A193, Table2[HomeTeam], E$1)</f>
        <v>0</v>
      </c>
      <c r="F193" s="145">
        <f>SUMIFS(Table2[NewPointsAway],Table2[GameDate], "&lt;=" &amp; $A193, Table2[AwayTeam], F$1)+SUMIFS(Table2[NewPointsHome],Table2[GameDate], "&lt;=" &amp; $A193, Table2[HomeTeam], F$1)</f>
        <v>0</v>
      </c>
      <c r="G193" s="145">
        <f>SUMIFS(Table2[NewPointsAway],Table2[GameDate], "&lt;=" &amp; $A193, Table2[AwayTeam], G$1)+SUMIFS(Table2[NewPointsHome],Table2[GameDate], "&lt;=" &amp; $A193, Table2[HomeTeam], G$1)</f>
        <v>2</v>
      </c>
      <c r="H193" s="145">
        <f>SUMIFS(Table2[NewPointsAway],Table2[GameDate], "&lt;=" &amp; $A193, Table2[AwayTeam], H$1)+SUMIFS(Table2[NewPointsHome],Table2[GameDate], "&lt;=" &amp; $A193, Table2[HomeTeam], H$1)</f>
        <v>0</v>
      </c>
      <c r="I193" s="145">
        <f>SUMIFS(Table2[NewPointsAway],Table2[GameDate], "&lt;=" &amp; $A193, Table2[AwayTeam], I$1)+SUMIFS(Table2[NewPointsHome],Table2[GameDate], "&lt;=" &amp; $A193, Table2[HomeTeam], I$1)</f>
        <v>2</v>
      </c>
      <c r="J193" s="145">
        <f>SUMIFS(Table2[NewPointsAway],Table2[GameDate], "&lt;=" &amp; $A193, Table2[AwayTeam], J$1)+SUMIFS(Table2[NewPointsHome],Table2[GameDate], "&lt;=" &amp; $A193, Table2[HomeTeam], J$1)</f>
        <v>0</v>
      </c>
      <c r="K193" s="145">
        <f>SUMIFS(Table2[NewPointsAway],Table2[GameDate], "&lt;=" &amp; $A193, Table2[AwayTeam], K$1)+SUMIFS(Table2[NewPointsHome],Table2[GameDate], "&lt;=" &amp; $A193, Table2[HomeTeam], K$1)</f>
        <v>0</v>
      </c>
      <c r="L193" s="145">
        <f>SUMIFS(Table2[NewPointsAway],Table2[GameDate], "&lt;=" &amp; $A193, Table2[AwayTeam], L$1)+SUMIFS(Table2[NewPointsHome],Table2[GameDate], "&lt;=" &amp; $A193, Table2[HomeTeam], L$1)</f>
        <v>1</v>
      </c>
      <c r="M193" s="145">
        <f>SUMIFS(Table2[NewPointsAway],Table2[GameDate], "&lt;=" &amp; $A193, Table2[AwayTeam], M$1)+SUMIFS(Table2[NewPointsHome],Table2[GameDate], "&lt;=" &amp; $A193, Table2[HomeTeam], M$1)</f>
        <v>2</v>
      </c>
      <c r="N193" s="145">
        <f>SUMIFS(Table2[NewPointsAway],Table2[GameDate], "&lt;=" &amp; $A193, Table2[AwayTeam], N$1)+SUMIFS(Table2[NewPointsHome],Table2[GameDate], "&lt;=" &amp; $A193, Table2[HomeTeam], N$1)</f>
        <v>2</v>
      </c>
      <c r="O193" s="145">
        <f>SUMIFS(Table2[NewPointsAway],Table2[GameDate], "&lt;=" &amp; $A193, Table2[AwayTeam], O$1)+SUMIFS(Table2[NewPointsHome],Table2[GameDate], "&lt;=" &amp; $A193, Table2[HomeTeam], O$1)</f>
        <v>0</v>
      </c>
      <c r="P193" s="145">
        <f>SUMIFS(Table2[NewPointsAway],Table2[GameDate], "&lt;=" &amp; $A193, Table2[AwayTeam], P$1)+SUMIFS(Table2[NewPointsHome],Table2[GameDate], "&lt;=" &amp; $A193, Table2[HomeTeam], P$1)</f>
        <v>0</v>
      </c>
      <c r="Q193" s="145">
        <f>SUMIFS(Table2[NewPointsAway],Table2[GameDate], "&lt;=" &amp; $A193, Table2[AwayTeam], Q$1)+SUMIFS(Table2[NewPointsHome],Table2[GameDate], "&lt;=" &amp; $A193, Table2[HomeTeam], Q$1)</f>
        <v>0</v>
      </c>
      <c r="R193" s="145">
        <f>SUMIFS(Table2[NewPointsAway],Table2[GameDate], "&lt;=" &amp; $A193, Table2[AwayTeam], R$1)+SUMIFS(Table2[NewPointsHome],Table2[GameDate], "&lt;=" &amp; $A193, Table2[HomeTeam], R$1)</f>
        <v>0</v>
      </c>
      <c r="S193" s="145">
        <f>SUMIFS(Table2[NewPointsAway],Table2[GameDate], "&lt;=" &amp; $A193, Table2[AwayTeam], S$1)+SUMIFS(Table2[NewPointsHome],Table2[GameDate], "&lt;=" &amp; $A193, Table2[HomeTeam], S$1)</f>
        <v>0</v>
      </c>
      <c r="T193" s="145">
        <f>SUMIFS(Table2[NewPointsAway],Table2[GameDate], "&lt;=" &amp; $A193, Table2[AwayTeam], T$1)+SUMIFS(Table2[NewPointsHome],Table2[GameDate], "&lt;=" &amp; $A193, Table2[HomeTeam], T$1)</f>
        <v>0</v>
      </c>
      <c r="U193" s="145">
        <f>SUMIFS(Table2[NewPointsAway],Table2[GameDate], "&lt;=" &amp; $A193, Table2[AwayTeam], U$1)+SUMIFS(Table2[NewPointsHome],Table2[GameDate], "&lt;=" &amp; $A193, Table2[HomeTeam], U$1)</f>
        <v>0</v>
      </c>
      <c r="V193" s="145">
        <f>SUMIFS(Table2[NewPointsAway],Table2[GameDate], "&lt;=" &amp; $A193, Table2[AwayTeam], V$1)+SUMIFS(Table2[NewPointsHome],Table2[GameDate], "&lt;=" &amp; $A193, Table2[HomeTeam], V$1)</f>
        <v>0</v>
      </c>
      <c r="W193" s="145">
        <f>SUMIFS(Table2[NewPointsAway],Table2[GameDate], "&lt;=" &amp; $A193, Table2[AwayTeam], W$1)+SUMIFS(Table2[NewPointsHome],Table2[GameDate], "&lt;=" &amp; $A193, Table2[HomeTeam], W$1)</f>
        <v>2</v>
      </c>
      <c r="X193" s="145">
        <f>SUMIFS(Table2[NewPointsAway],Table2[GameDate], "&lt;=" &amp; $A193, Table2[AwayTeam], X$1)+SUMIFS(Table2[NewPointsHome],Table2[GameDate], "&lt;=" &amp; $A193, Table2[HomeTeam], X$1)</f>
        <v>0</v>
      </c>
      <c r="Y193" s="145">
        <f>SUMIFS(Table2[NewPointsAway],Table2[GameDate], "&lt;=" &amp; $A193, Table2[AwayTeam], Y$1)+SUMIFS(Table2[NewPointsHome],Table2[GameDate], "&lt;=" &amp; $A193, Table2[HomeTeam], Y$1)</f>
        <v>0</v>
      </c>
      <c r="Z193" s="145">
        <f>SUMIFS(Table2[NewPointsAway],Table2[GameDate], "&lt;=" &amp; $A193, Table2[AwayTeam], Z$1)+SUMIFS(Table2[NewPointsHome],Table2[GameDate], "&lt;=" &amp; $A193, Table2[HomeTeam], Z$1)</f>
        <v>0</v>
      </c>
      <c r="AA193" s="145">
        <f>SUMIFS(Table2[NewPointsAway],Table2[GameDate], "&lt;=" &amp; $A193, Table2[AwayTeam], AA$1)+SUMIFS(Table2[NewPointsHome],Table2[GameDate], "&lt;=" &amp; $A193, Table2[HomeTeam], AA$1)</f>
        <v>0</v>
      </c>
      <c r="AB193" s="145">
        <f>SUMIFS(Table2[NewPointsAway],Table2[GameDate], "&lt;=" &amp; $A193, Table2[AwayTeam], AB$1)+SUMIFS(Table2[NewPointsHome],Table2[GameDate], "&lt;=" &amp; $A193, Table2[HomeTeam], AB$1)</f>
        <v>2</v>
      </c>
      <c r="AC193" s="145">
        <f>SUMIFS(Table2[NewPointsAway],Table2[GameDate], "&lt;=" &amp; $A193, Table2[AwayTeam], AC$1)+SUMIFS(Table2[NewPointsHome],Table2[GameDate], "&lt;=" &amp; $A193, Table2[HomeTeam], AC$1)</f>
        <v>0</v>
      </c>
      <c r="AD193" s="145">
        <f>SUMIFS(Table2[NewPointsAway],Table2[GameDate], "&lt;=" &amp; $A193, Table2[AwayTeam], AD$1)+SUMIFS(Table2[NewPointsHome],Table2[GameDate], "&lt;=" &amp; $A193, Table2[HomeTeam], AD$1)</f>
        <v>0</v>
      </c>
      <c r="AE193" s="145">
        <f>SUMIFS(Table2[NewPointsAway],Table2[GameDate], "&lt;=" &amp; $A193, Table2[AwayTeam], AE$1)+SUMIFS(Table2[NewPointsHome],Table2[GameDate], "&lt;=" &amp; $A193, Table2[HomeTeam], AE$1)</f>
        <v>1</v>
      </c>
      <c r="AF193" s="145">
        <f>SUMIFS(Table2[NewPointsAway],Table2[GameDate], "&lt;=" &amp; $A193, Table2[AwayTeam], AF$1)+SUMIFS(Table2[NewPointsHome],Table2[GameDate], "&lt;=" &amp; $A193, Table2[HomeTeam], AF$1)</f>
        <v>0</v>
      </c>
      <c r="AG193" s="145">
        <f>SUMIFS(Table2[NewPointsAway],Table2[GameDate], "&lt;=" &amp; $A193, Table2[AwayTeam], AG$1)+SUMIFS(Table2[NewPointsHome],Table2[GameDate], "&lt;=" &amp; $A193, Table2[HomeTeam], AG$1)</f>
        <v>0</v>
      </c>
    </row>
    <row r="194" spans="1:33" x14ac:dyDescent="0.25">
      <c r="A194" s="3">
        <v>46125</v>
      </c>
      <c r="B194" s="145">
        <f>SUMIFS(Table2[NewPointsAway],Table2[GameDate], "&lt;=" &amp; $A194, Table2[AwayTeam], B$1)+SUMIFS(Table2[NewPointsHome],Table2[GameDate], "&lt;=" &amp; $A194, Table2[HomeTeam], B$1)</f>
        <v>0</v>
      </c>
      <c r="C194" s="145">
        <f>SUMIFS(Table2[NewPointsAway],Table2[GameDate], "&lt;=" &amp; $A194, Table2[AwayTeam], C$1)+SUMIFS(Table2[NewPointsHome],Table2[GameDate], "&lt;=" &amp; $A194, Table2[HomeTeam], C$1)</f>
        <v>2</v>
      </c>
      <c r="D194" s="145">
        <f>SUMIFS(Table2[NewPointsAway],Table2[GameDate], "&lt;=" &amp; $A194, Table2[AwayTeam], D$1)+SUMIFS(Table2[NewPointsHome],Table2[GameDate], "&lt;=" &amp; $A194, Table2[HomeTeam], D$1)</f>
        <v>0</v>
      </c>
      <c r="E194" s="145">
        <f>SUMIFS(Table2[NewPointsAway],Table2[GameDate], "&lt;=" &amp; $A194, Table2[AwayTeam], E$1)+SUMIFS(Table2[NewPointsHome],Table2[GameDate], "&lt;=" &amp; $A194, Table2[HomeTeam], E$1)</f>
        <v>0</v>
      </c>
      <c r="F194" s="145">
        <f>SUMIFS(Table2[NewPointsAway],Table2[GameDate], "&lt;=" &amp; $A194, Table2[AwayTeam], F$1)+SUMIFS(Table2[NewPointsHome],Table2[GameDate], "&lt;=" &amp; $A194, Table2[HomeTeam], F$1)</f>
        <v>0</v>
      </c>
      <c r="G194" s="145">
        <f>SUMIFS(Table2[NewPointsAway],Table2[GameDate], "&lt;=" &amp; $A194, Table2[AwayTeam], G$1)+SUMIFS(Table2[NewPointsHome],Table2[GameDate], "&lt;=" &amp; $A194, Table2[HomeTeam], G$1)</f>
        <v>2</v>
      </c>
      <c r="H194" s="145">
        <f>SUMIFS(Table2[NewPointsAway],Table2[GameDate], "&lt;=" &amp; $A194, Table2[AwayTeam], H$1)+SUMIFS(Table2[NewPointsHome],Table2[GameDate], "&lt;=" &amp; $A194, Table2[HomeTeam], H$1)</f>
        <v>0</v>
      </c>
      <c r="I194" s="145">
        <f>SUMIFS(Table2[NewPointsAway],Table2[GameDate], "&lt;=" &amp; $A194, Table2[AwayTeam], I$1)+SUMIFS(Table2[NewPointsHome],Table2[GameDate], "&lt;=" &amp; $A194, Table2[HomeTeam], I$1)</f>
        <v>2</v>
      </c>
      <c r="J194" s="145">
        <f>SUMIFS(Table2[NewPointsAway],Table2[GameDate], "&lt;=" &amp; $A194, Table2[AwayTeam], J$1)+SUMIFS(Table2[NewPointsHome],Table2[GameDate], "&lt;=" &amp; $A194, Table2[HomeTeam], J$1)</f>
        <v>0</v>
      </c>
      <c r="K194" s="145">
        <f>SUMIFS(Table2[NewPointsAway],Table2[GameDate], "&lt;=" &amp; $A194, Table2[AwayTeam], K$1)+SUMIFS(Table2[NewPointsHome],Table2[GameDate], "&lt;=" &amp; $A194, Table2[HomeTeam], K$1)</f>
        <v>0</v>
      </c>
      <c r="L194" s="145">
        <f>SUMIFS(Table2[NewPointsAway],Table2[GameDate], "&lt;=" &amp; $A194, Table2[AwayTeam], L$1)+SUMIFS(Table2[NewPointsHome],Table2[GameDate], "&lt;=" &amp; $A194, Table2[HomeTeam], L$1)</f>
        <v>1</v>
      </c>
      <c r="M194" s="145">
        <f>SUMIFS(Table2[NewPointsAway],Table2[GameDate], "&lt;=" &amp; $A194, Table2[AwayTeam], M$1)+SUMIFS(Table2[NewPointsHome],Table2[GameDate], "&lt;=" &amp; $A194, Table2[HomeTeam], M$1)</f>
        <v>2</v>
      </c>
      <c r="N194" s="145">
        <f>SUMIFS(Table2[NewPointsAway],Table2[GameDate], "&lt;=" &amp; $A194, Table2[AwayTeam], N$1)+SUMIFS(Table2[NewPointsHome],Table2[GameDate], "&lt;=" &amp; $A194, Table2[HomeTeam], N$1)</f>
        <v>2</v>
      </c>
      <c r="O194" s="145">
        <f>SUMIFS(Table2[NewPointsAway],Table2[GameDate], "&lt;=" &amp; $A194, Table2[AwayTeam], O$1)+SUMIFS(Table2[NewPointsHome],Table2[GameDate], "&lt;=" &amp; $A194, Table2[HomeTeam], O$1)</f>
        <v>0</v>
      </c>
      <c r="P194" s="145">
        <f>SUMIFS(Table2[NewPointsAway],Table2[GameDate], "&lt;=" &amp; $A194, Table2[AwayTeam], P$1)+SUMIFS(Table2[NewPointsHome],Table2[GameDate], "&lt;=" &amp; $A194, Table2[HomeTeam], P$1)</f>
        <v>0</v>
      </c>
      <c r="Q194" s="145">
        <f>SUMIFS(Table2[NewPointsAway],Table2[GameDate], "&lt;=" &amp; $A194, Table2[AwayTeam], Q$1)+SUMIFS(Table2[NewPointsHome],Table2[GameDate], "&lt;=" &amp; $A194, Table2[HomeTeam], Q$1)</f>
        <v>0</v>
      </c>
      <c r="R194" s="145">
        <f>SUMIFS(Table2[NewPointsAway],Table2[GameDate], "&lt;=" &amp; $A194, Table2[AwayTeam], R$1)+SUMIFS(Table2[NewPointsHome],Table2[GameDate], "&lt;=" &amp; $A194, Table2[HomeTeam], R$1)</f>
        <v>0</v>
      </c>
      <c r="S194" s="145">
        <f>SUMIFS(Table2[NewPointsAway],Table2[GameDate], "&lt;=" &amp; $A194, Table2[AwayTeam], S$1)+SUMIFS(Table2[NewPointsHome],Table2[GameDate], "&lt;=" &amp; $A194, Table2[HomeTeam], S$1)</f>
        <v>0</v>
      </c>
      <c r="T194" s="145">
        <f>SUMIFS(Table2[NewPointsAway],Table2[GameDate], "&lt;=" &amp; $A194, Table2[AwayTeam], T$1)+SUMIFS(Table2[NewPointsHome],Table2[GameDate], "&lt;=" &amp; $A194, Table2[HomeTeam], T$1)</f>
        <v>0</v>
      </c>
      <c r="U194" s="145">
        <f>SUMIFS(Table2[NewPointsAway],Table2[GameDate], "&lt;=" &amp; $A194, Table2[AwayTeam], U$1)+SUMIFS(Table2[NewPointsHome],Table2[GameDate], "&lt;=" &amp; $A194, Table2[HomeTeam], U$1)</f>
        <v>0</v>
      </c>
      <c r="V194" s="145">
        <f>SUMIFS(Table2[NewPointsAway],Table2[GameDate], "&lt;=" &amp; $A194, Table2[AwayTeam], V$1)+SUMIFS(Table2[NewPointsHome],Table2[GameDate], "&lt;=" &amp; $A194, Table2[HomeTeam], V$1)</f>
        <v>0</v>
      </c>
      <c r="W194" s="145">
        <f>SUMIFS(Table2[NewPointsAway],Table2[GameDate], "&lt;=" &amp; $A194, Table2[AwayTeam], W$1)+SUMIFS(Table2[NewPointsHome],Table2[GameDate], "&lt;=" &amp; $A194, Table2[HomeTeam], W$1)</f>
        <v>2</v>
      </c>
      <c r="X194" s="145">
        <f>SUMIFS(Table2[NewPointsAway],Table2[GameDate], "&lt;=" &amp; $A194, Table2[AwayTeam], X$1)+SUMIFS(Table2[NewPointsHome],Table2[GameDate], "&lt;=" &amp; $A194, Table2[HomeTeam], X$1)</f>
        <v>0</v>
      </c>
      <c r="Y194" s="145">
        <f>SUMIFS(Table2[NewPointsAway],Table2[GameDate], "&lt;=" &amp; $A194, Table2[AwayTeam], Y$1)+SUMIFS(Table2[NewPointsHome],Table2[GameDate], "&lt;=" &amp; $A194, Table2[HomeTeam], Y$1)</f>
        <v>0</v>
      </c>
      <c r="Z194" s="145">
        <f>SUMIFS(Table2[NewPointsAway],Table2[GameDate], "&lt;=" &amp; $A194, Table2[AwayTeam], Z$1)+SUMIFS(Table2[NewPointsHome],Table2[GameDate], "&lt;=" &amp; $A194, Table2[HomeTeam], Z$1)</f>
        <v>0</v>
      </c>
      <c r="AA194" s="145">
        <f>SUMIFS(Table2[NewPointsAway],Table2[GameDate], "&lt;=" &amp; $A194, Table2[AwayTeam], AA$1)+SUMIFS(Table2[NewPointsHome],Table2[GameDate], "&lt;=" &amp; $A194, Table2[HomeTeam], AA$1)</f>
        <v>0</v>
      </c>
      <c r="AB194" s="145">
        <f>SUMIFS(Table2[NewPointsAway],Table2[GameDate], "&lt;=" &amp; $A194, Table2[AwayTeam], AB$1)+SUMIFS(Table2[NewPointsHome],Table2[GameDate], "&lt;=" &amp; $A194, Table2[HomeTeam], AB$1)</f>
        <v>2</v>
      </c>
      <c r="AC194" s="145">
        <f>SUMIFS(Table2[NewPointsAway],Table2[GameDate], "&lt;=" &amp; $A194, Table2[AwayTeam], AC$1)+SUMIFS(Table2[NewPointsHome],Table2[GameDate], "&lt;=" &amp; $A194, Table2[HomeTeam], AC$1)</f>
        <v>0</v>
      </c>
      <c r="AD194" s="145">
        <f>SUMIFS(Table2[NewPointsAway],Table2[GameDate], "&lt;=" &amp; $A194, Table2[AwayTeam], AD$1)+SUMIFS(Table2[NewPointsHome],Table2[GameDate], "&lt;=" &amp; $A194, Table2[HomeTeam], AD$1)</f>
        <v>0</v>
      </c>
      <c r="AE194" s="145">
        <f>SUMIFS(Table2[NewPointsAway],Table2[GameDate], "&lt;=" &amp; $A194, Table2[AwayTeam], AE$1)+SUMIFS(Table2[NewPointsHome],Table2[GameDate], "&lt;=" &amp; $A194, Table2[HomeTeam], AE$1)</f>
        <v>1</v>
      </c>
      <c r="AF194" s="145">
        <f>SUMIFS(Table2[NewPointsAway],Table2[GameDate], "&lt;=" &amp; $A194, Table2[AwayTeam], AF$1)+SUMIFS(Table2[NewPointsHome],Table2[GameDate], "&lt;=" &amp; $A194, Table2[HomeTeam], AF$1)</f>
        <v>0</v>
      </c>
      <c r="AG194" s="145">
        <f>SUMIFS(Table2[NewPointsAway],Table2[GameDate], "&lt;=" &amp; $A194, Table2[AwayTeam], AG$1)+SUMIFS(Table2[NewPointsHome],Table2[GameDate], "&lt;=" &amp; $A194, Table2[HomeTeam], AG$1)</f>
        <v>0</v>
      </c>
    </row>
    <row r="195" spans="1:33" x14ac:dyDescent="0.25">
      <c r="A195" s="3">
        <v>46126</v>
      </c>
      <c r="B195" s="145">
        <f>SUMIFS(Table2[NewPointsAway],Table2[GameDate], "&lt;=" &amp; $A195, Table2[AwayTeam], B$1)+SUMIFS(Table2[NewPointsHome],Table2[GameDate], "&lt;=" &amp; $A195, Table2[HomeTeam], B$1)</f>
        <v>0</v>
      </c>
      <c r="C195" s="145">
        <f>SUMIFS(Table2[NewPointsAway],Table2[GameDate], "&lt;=" &amp; $A195, Table2[AwayTeam], C$1)+SUMIFS(Table2[NewPointsHome],Table2[GameDate], "&lt;=" &amp; $A195, Table2[HomeTeam], C$1)</f>
        <v>2</v>
      </c>
      <c r="D195" s="145">
        <f>SUMIFS(Table2[NewPointsAway],Table2[GameDate], "&lt;=" &amp; $A195, Table2[AwayTeam], D$1)+SUMIFS(Table2[NewPointsHome],Table2[GameDate], "&lt;=" &amp; $A195, Table2[HomeTeam], D$1)</f>
        <v>0</v>
      </c>
      <c r="E195" s="145">
        <f>SUMIFS(Table2[NewPointsAway],Table2[GameDate], "&lt;=" &amp; $A195, Table2[AwayTeam], E$1)+SUMIFS(Table2[NewPointsHome],Table2[GameDate], "&lt;=" &amp; $A195, Table2[HomeTeam], E$1)</f>
        <v>0</v>
      </c>
      <c r="F195" s="145">
        <f>SUMIFS(Table2[NewPointsAway],Table2[GameDate], "&lt;=" &amp; $A195, Table2[AwayTeam], F$1)+SUMIFS(Table2[NewPointsHome],Table2[GameDate], "&lt;=" &amp; $A195, Table2[HomeTeam], F$1)</f>
        <v>0</v>
      </c>
      <c r="G195" s="145">
        <f>SUMIFS(Table2[NewPointsAway],Table2[GameDate], "&lt;=" &amp; $A195, Table2[AwayTeam], G$1)+SUMIFS(Table2[NewPointsHome],Table2[GameDate], "&lt;=" &amp; $A195, Table2[HomeTeam], G$1)</f>
        <v>2</v>
      </c>
      <c r="H195" s="145">
        <f>SUMIFS(Table2[NewPointsAway],Table2[GameDate], "&lt;=" &amp; $A195, Table2[AwayTeam], H$1)+SUMIFS(Table2[NewPointsHome],Table2[GameDate], "&lt;=" &amp; $A195, Table2[HomeTeam], H$1)</f>
        <v>0</v>
      </c>
      <c r="I195" s="145">
        <f>SUMIFS(Table2[NewPointsAway],Table2[GameDate], "&lt;=" &amp; $A195, Table2[AwayTeam], I$1)+SUMIFS(Table2[NewPointsHome],Table2[GameDate], "&lt;=" &amp; $A195, Table2[HomeTeam], I$1)</f>
        <v>2</v>
      </c>
      <c r="J195" s="145">
        <f>SUMIFS(Table2[NewPointsAway],Table2[GameDate], "&lt;=" &amp; $A195, Table2[AwayTeam], J$1)+SUMIFS(Table2[NewPointsHome],Table2[GameDate], "&lt;=" &amp; $A195, Table2[HomeTeam], J$1)</f>
        <v>0</v>
      </c>
      <c r="K195" s="145">
        <f>SUMIFS(Table2[NewPointsAway],Table2[GameDate], "&lt;=" &amp; $A195, Table2[AwayTeam], K$1)+SUMIFS(Table2[NewPointsHome],Table2[GameDate], "&lt;=" &amp; $A195, Table2[HomeTeam], K$1)</f>
        <v>0</v>
      </c>
      <c r="L195" s="145">
        <f>SUMIFS(Table2[NewPointsAway],Table2[GameDate], "&lt;=" &amp; $A195, Table2[AwayTeam], L$1)+SUMIFS(Table2[NewPointsHome],Table2[GameDate], "&lt;=" &amp; $A195, Table2[HomeTeam], L$1)</f>
        <v>1</v>
      </c>
      <c r="M195" s="145">
        <f>SUMIFS(Table2[NewPointsAway],Table2[GameDate], "&lt;=" &amp; $A195, Table2[AwayTeam], M$1)+SUMIFS(Table2[NewPointsHome],Table2[GameDate], "&lt;=" &amp; $A195, Table2[HomeTeam], M$1)</f>
        <v>2</v>
      </c>
      <c r="N195" s="145">
        <f>SUMIFS(Table2[NewPointsAway],Table2[GameDate], "&lt;=" &amp; $A195, Table2[AwayTeam], N$1)+SUMIFS(Table2[NewPointsHome],Table2[GameDate], "&lt;=" &amp; $A195, Table2[HomeTeam], N$1)</f>
        <v>2</v>
      </c>
      <c r="O195" s="145">
        <f>SUMIFS(Table2[NewPointsAway],Table2[GameDate], "&lt;=" &amp; $A195, Table2[AwayTeam], O$1)+SUMIFS(Table2[NewPointsHome],Table2[GameDate], "&lt;=" &amp; $A195, Table2[HomeTeam], O$1)</f>
        <v>0</v>
      </c>
      <c r="P195" s="145">
        <f>SUMIFS(Table2[NewPointsAway],Table2[GameDate], "&lt;=" &amp; $A195, Table2[AwayTeam], P$1)+SUMIFS(Table2[NewPointsHome],Table2[GameDate], "&lt;=" &amp; $A195, Table2[HomeTeam], P$1)</f>
        <v>0</v>
      </c>
      <c r="Q195" s="145">
        <f>SUMIFS(Table2[NewPointsAway],Table2[GameDate], "&lt;=" &amp; $A195, Table2[AwayTeam], Q$1)+SUMIFS(Table2[NewPointsHome],Table2[GameDate], "&lt;=" &amp; $A195, Table2[HomeTeam], Q$1)</f>
        <v>0</v>
      </c>
      <c r="R195" s="145">
        <f>SUMIFS(Table2[NewPointsAway],Table2[GameDate], "&lt;=" &amp; $A195, Table2[AwayTeam], R$1)+SUMIFS(Table2[NewPointsHome],Table2[GameDate], "&lt;=" &amp; $A195, Table2[HomeTeam], R$1)</f>
        <v>0</v>
      </c>
      <c r="S195" s="145">
        <f>SUMIFS(Table2[NewPointsAway],Table2[GameDate], "&lt;=" &amp; $A195, Table2[AwayTeam], S$1)+SUMIFS(Table2[NewPointsHome],Table2[GameDate], "&lt;=" &amp; $A195, Table2[HomeTeam], S$1)</f>
        <v>0</v>
      </c>
      <c r="T195" s="145">
        <f>SUMIFS(Table2[NewPointsAway],Table2[GameDate], "&lt;=" &amp; $A195, Table2[AwayTeam], T$1)+SUMIFS(Table2[NewPointsHome],Table2[GameDate], "&lt;=" &amp; $A195, Table2[HomeTeam], T$1)</f>
        <v>0</v>
      </c>
      <c r="U195" s="145">
        <f>SUMIFS(Table2[NewPointsAway],Table2[GameDate], "&lt;=" &amp; $A195, Table2[AwayTeam], U$1)+SUMIFS(Table2[NewPointsHome],Table2[GameDate], "&lt;=" &amp; $A195, Table2[HomeTeam], U$1)</f>
        <v>0</v>
      </c>
      <c r="V195" s="145">
        <f>SUMIFS(Table2[NewPointsAway],Table2[GameDate], "&lt;=" &amp; $A195, Table2[AwayTeam], V$1)+SUMIFS(Table2[NewPointsHome],Table2[GameDate], "&lt;=" &amp; $A195, Table2[HomeTeam], V$1)</f>
        <v>0</v>
      </c>
      <c r="W195" s="145">
        <f>SUMIFS(Table2[NewPointsAway],Table2[GameDate], "&lt;=" &amp; $A195, Table2[AwayTeam], W$1)+SUMIFS(Table2[NewPointsHome],Table2[GameDate], "&lt;=" &amp; $A195, Table2[HomeTeam], W$1)</f>
        <v>2</v>
      </c>
      <c r="X195" s="145">
        <f>SUMIFS(Table2[NewPointsAway],Table2[GameDate], "&lt;=" &amp; $A195, Table2[AwayTeam], X$1)+SUMIFS(Table2[NewPointsHome],Table2[GameDate], "&lt;=" &amp; $A195, Table2[HomeTeam], X$1)</f>
        <v>0</v>
      </c>
      <c r="Y195" s="145">
        <f>SUMIFS(Table2[NewPointsAway],Table2[GameDate], "&lt;=" &amp; $A195, Table2[AwayTeam], Y$1)+SUMIFS(Table2[NewPointsHome],Table2[GameDate], "&lt;=" &amp; $A195, Table2[HomeTeam], Y$1)</f>
        <v>0</v>
      </c>
      <c r="Z195" s="145">
        <f>SUMIFS(Table2[NewPointsAway],Table2[GameDate], "&lt;=" &amp; $A195, Table2[AwayTeam], Z$1)+SUMIFS(Table2[NewPointsHome],Table2[GameDate], "&lt;=" &amp; $A195, Table2[HomeTeam], Z$1)</f>
        <v>0</v>
      </c>
      <c r="AA195" s="145">
        <f>SUMIFS(Table2[NewPointsAway],Table2[GameDate], "&lt;=" &amp; $A195, Table2[AwayTeam], AA$1)+SUMIFS(Table2[NewPointsHome],Table2[GameDate], "&lt;=" &amp; $A195, Table2[HomeTeam], AA$1)</f>
        <v>0</v>
      </c>
      <c r="AB195" s="145">
        <f>SUMIFS(Table2[NewPointsAway],Table2[GameDate], "&lt;=" &amp; $A195, Table2[AwayTeam], AB$1)+SUMIFS(Table2[NewPointsHome],Table2[GameDate], "&lt;=" &amp; $A195, Table2[HomeTeam], AB$1)</f>
        <v>2</v>
      </c>
      <c r="AC195" s="145">
        <f>SUMIFS(Table2[NewPointsAway],Table2[GameDate], "&lt;=" &amp; $A195, Table2[AwayTeam], AC$1)+SUMIFS(Table2[NewPointsHome],Table2[GameDate], "&lt;=" &amp; $A195, Table2[HomeTeam], AC$1)</f>
        <v>0</v>
      </c>
      <c r="AD195" s="145">
        <f>SUMIFS(Table2[NewPointsAway],Table2[GameDate], "&lt;=" &amp; $A195, Table2[AwayTeam], AD$1)+SUMIFS(Table2[NewPointsHome],Table2[GameDate], "&lt;=" &amp; $A195, Table2[HomeTeam], AD$1)</f>
        <v>0</v>
      </c>
      <c r="AE195" s="145">
        <f>SUMIFS(Table2[NewPointsAway],Table2[GameDate], "&lt;=" &amp; $A195, Table2[AwayTeam], AE$1)+SUMIFS(Table2[NewPointsHome],Table2[GameDate], "&lt;=" &amp; $A195, Table2[HomeTeam], AE$1)</f>
        <v>1</v>
      </c>
      <c r="AF195" s="145">
        <f>SUMIFS(Table2[NewPointsAway],Table2[GameDate], "&lt;=" &amp; $A195, Table2[AwayTeam], AF$1)+SUMIFS(Table2[NewPointsHome],Table2[GameDate], "&lt;=" &amp; $A195, Table2[HomeTeam], AF$1)</f>
        <v>0</v>
      </c>
      <c r="AG195" s="145">
        <f>SUMIFS(Table2[NewPointsAway],Table2[GameDate], "&lt;=" &amp; $A195, Table2[AwayTeam], AG$1)+SUMIFS(Table2[NewPointsHome],Table2[GameDate], "&lt;=" &amp; $A195, Table2[HomeTeam], AG$1)</f>
        <v>0</v>
      </c>
    </row>
    <row r="196" spans="1:33" x14ac:dyDescent="0.25">
      <c r="A196" s="3">
        <v>46127</v>
      </c>
      <c r="B196" s="145">
        <f>SUMIFS(Table2[NewPointsAway],Table2[GameDate], "&lt;=" &amp; $A196, Table2[AwayTeam], B$1)+SUMIFS(Table2[NewPointsHome],Table2[GameDate], "&lt;=" &amp; $A196, Table2[HomeTeam], B$1)</f>
        <v>0</v>
      </c>
      <c r="C196" s="145">
        <f>SUMIFS(Table2[NewPointsAway],Table2[GameDate], "&lt;=" &amp; $A196, Table2[AwayTeam], C$1)+SUMIFS(Table2[NewPointsHome],Table2[GameDate], "&lt;=" &amp; $A196, Table2[HomeTeam], C$1)</f>
        <v>2</v>
      </c>
      <c r="D196" s="145">
        <f>SUMIFS(Table2[NewPointsAway],Table2[GameDate], "&lt;=" &amp; $A196, Table2[AwayTeam], D$1)+SUMIFS(Table2[NewPointsHome],Table2[GameDate], "&lt;=" &amp; $A196, Table2[HomeTeam], D$1)</f>
        <v>0</v>
      </c>
      <c r="E196" s="145">
        <f>SUMIFS(Table2[NewPointsAway],Table2[GameDate], "&lt;=" &amp; $A196, Table2[AwayTeam], E$1)+SUMIFS(Table2[NewPointsHome],Table2[GameDate], "&lt;=" &amp; $A196, Table2[HomeTeam], E$1)</f>
        <v>0</v>
      </c>
      <c r="F196" s="145">
        <f>SUMIFS(Table2[NewPointsAway],Table2[GameDate], "&lt;=" &amp; $A196, Table2[AwayTeam], F$1)+SUMIFS(Table2[NewPointsHome],Table2[GameDate], "&lt;=" &amp; $A196, Table2[HomeTeam], F$1)</f>
        <v>0</v>
      </c>
      <c r="G196" s="145">
        <f>SUMIFS(Table2[NewPointsAway],Table2[GameDate], "&lt;=" &amp; $A196, Table2[AwayTeam], G$1)+SUMIFS(Table2[NewPointsHome],Table2[GameDate], "&lt;=" &amp; $A196, Table2[HomeTeam], G$1)</f>
        <v>2</v>
      </c>
      <c r="H196" s="145">
        <f>SUMIFS(Table2[NewPointsAway],Table2[GameDate], "&lt;=" &amp; $A196, Table2[AwayTeam], H$1)+SUMIFS(Table2[NewPointsHome],Table2[GameDate], "&lt;=" &amp; $A196, Table2[HomeTeam], H$1)</f>
        <v>0</v>
      </c>
      <c r="I196" s="145">
        <f>SUMIFS(Table2[NewPointsAway],Table2[GameDate], "&lt;=" &amp; $A196, Table2[AwayTeam], I$1)+SUMIFS(Table2[NewPointsHome],Table2[GameDate], "&lt;=" &amp; $A196, Table2[HomeTeam], I$1)</f>
        <v>2</v>
      </c>
      <c r="J196" s="145">
        <f>SUMIFS(Table2[NewPointsAway],Table2[GameDate], "&lt;=" &amp; $A196, Table2[AwayTeam], J$1)+SUMIFS(Table2[NewPointsHome],Table2[GameDate], "&lt;=" &amp; $A196, Table2[HomeTeam], J$1)</f>
        <v>0</v>
      </c>
      <c r="K196" s="145">
        <f>SUMIFS(Table2[NewPointsAway],Table2[GameDate], "&lt;=" &amp; $A196, Table2[AwayTeam], K$1)+SUMIFS(Table2[NewPointsHome],Table2[GameDate], "&lt;=" &amp; $A196, Table2[HomeTeam], K$1)</f>
        <v>0</v>
      </c>
      <c r="L196" s="145">
        <f>SUMIFS(Table2[NewPointsAway],Table2[GameDate], "&lt;=" &amp; $A196, Table2[AwayTeam], L$1)+SUMIFS(Table2[NewPointsHome],Table2[GameDate], "&lt;=" &amp; $A196, Table2[HomeTeam], L$1)</f>
        <v>1</v>
      </c>
      <c r="M196" s="145">
        <f>SUMIFS(Table2[NewPointsAway],Table2[GameDate], "&lt;=" &amp; $A196, Table2[AwayTeam], M$1)+SUMIFS(Table2[NewPointsHome],Table2[GameDate], "&lt;=" &amp; $A196, Table2[HomeTeam], M$1)</f>
        <v>2</v>
      </c>
      <c r="N196" s="145">
        <f>SUMIFS(Table2[NewPointsAway],Table2[GameDate], "&lt;=" &amp; $A196, Table2[AwayTeam], N$1)+SUMIFS(Table2[NewPointsHome],Table2[GameDate], "&lt;=" &amp; $A196, Table2[HomeTeam], N$1)</f>
        <v>2</v>
      </c>
      <c r="O196" s="145">
        <f>SUMIFS(Table2[NewPointsAway],Table2[GameDate], "&lt;=" &amp; $A196, Table2[AwayTeam], O$1)+SUMIFS(Table2[NewPointsHome],Table2[GameDate], "&lt;=" &amp; $A196, Table2[HomeTeam], O$1)</f>
        <v>0</v>
      </c>
      <c r="P196" s="145">
        <f>SUMIFS(Table2[NewPointsAway],Table2[GameDate], "&lt;=" &amp; $A196, Table2[AwayTeam], P$1)+SUMIFS(Table2[NewPointsHome],Table2[GameDate], "&lt;=" &amp; $A196, Table2[HomeTeam], P$1)</f>
        <v>0</v>
      </c>
      <c r="Q196" s="145">
        <f>SUMIFS(Table2[NewPointsAway],Table2[GameDate], "&lt;=" &amp; $A196, Table2[AwayTeam], Q$1)+SUMIFS(Table2[NewPointsHome],Table2[GameDate], "&lt;=" &amp; $A196, Table2[HomeTeam], Q$1)</f>
        <v>0</v>
      </c>
      <c r="R196" s="145">
        <f>SUMIFS(Table2[NewPointsAway],Table2[GameDate], "&lt;=" &amp; $A196, Table2[AwayTeam], R$1)+SUMIFS(Table2[NewPointsHome],Table2[GameDate], "&lt;=" &amp; $A196, Table2[HomeTeam], R$1)</f>
        <v>0</v>
      </c>
      <c r="S196" s="145">
        <f>SUMIFS(Table2[NewPointsAway],Table2[GameDate], "&lt;=" &amp; $A196, Table2[AwayTeam], S$1)+SUMIFS(Table2[NewPointsHome],Table2[GameDate], "&lt;=" &amp; $A196, Table2[HomeTeam], S$1)</f>
        <v>0</v>
      </c>
      <c r="T196" s="145">
        <f>SUMIFS(Table2[NewPointsAway],Table2[GameDate], "&lt;=" &amp; $A196, Table2[AwayTeam], T$1)+SUMIFS(Table2[NewPointsHome],Table2[GameDate], "&lt;=" &amp; $A196, Table2[HomeTeam], T$1)</f>
        <v>0</v>
      </c>
      <c r="U196" s="145">
        <f>SUMIFS(Table2[NewPointsAway],Table2[GameDate], "&lt;=" &amp; $A196, Table2[AwayTeam], U$1)+SUMIFS(Table2[NewPointsHome],Table2[GameDate], "&lt;=" &amp; $A196, Table2[HomeTeam], U$1)</f>
        <v>0</v>
      </c>
      <c r="V196" s="145">
        <f>SUMIFS(Table2[NewPointsAway],Table2[GameDate], "&lt;=" &amp; $A196, Table2[AwayTeam], V$1)+SUMIFS(Table2[NewPointsHome],Table2[GameDate], "&lt;=" &amp; $A196, Table2[HomeTeam], V$1)</f>
        <v>0</v>
      </c>
      <c r="W196" s="145">
        <f>SUMIFS(Table2[NewPointsAway],Table2[GameDate], "&lt;=" &amp; $A196, Table2[AwayTeam], W$1)+SUMIFS(Table2[NewPointsHome],Table2[GameDate], "&lt;=" &amp; $A196, Table2[HomeTeam], W$1)</f>
        <v>2</v>
      </c>
      <c r="X196" s="145">
        <f>SUMIFS(Table2[NewPointsAway],Table2[GameDate], "&lt;=" &amp; $A196, Table2[AwayTeam], X$1)+SUMIFS(Table2[NewPointsHome],Table2[GameDate], "&lt;=" &amp; $A196, Table2[HomeTeam], X$1)</f>
        <v>0</v>
      </c>
      <c r="Y196" s="145">
        <f>SUMIFS(Table2[NewPointsAway],Table2[GameDate], "&lt;=" &amp; $A196, Table2[AwayTeam], Y$1)+SUMIFS(Table2[NewPointsHome],Table2[GameDate], "&lt;=" &amp; $A196, Table2[HomeTeam], Y$1)</f>
        <v>0</v>
      </c>
      <c r="Z196" s="145">
        <f>SUMIFS(Table2[NewPointsAway],Table2[GameDate], "&lt;=" &amp; $A196, Table2[AwayTeam], Z$1)+SUMIFS(Table2[NewPointsHome],Table2[GameDate], "&lt;=" &amp; $A196, Table2[HomeTeam], Z$1)</f>
        <v>0</v>
      </c>
      <c r="AA196" s="145">
        <f>SUMIFS(Table2[NewPointsAway],Table2[GameDate], "&lt;=" &amp; $A196, Table2[AwayTeam], AA$1)+SUMIFS(Table2[NewPointsHome],Table2[GameDate], "&lt;=" &amp; $A196, Table2[HomeTeam], AA$1)</f>
        <v>0</v>
      </c>
      <c r="AB196" s="145">
        <f>SUMIFS(Table2[NewPointsAway],Table2[GameDate], "&lt;=" &amp; $A196, Table2[AwayTeam], AB$1)+SUMIFS(Table2[NewPointsHome],Table2[GameDate], "&lt;=" &amp; $A196, Table2[HomeTeam], AB$1)</f>
        <v>2</v>
      </c>
      <c r="AC196" s="145">
        <f>SUMIFS(Table2[NewPointsAway],Table2[GameDate], "&lt;=" &amp; $A196, Table2[AwayTeam], AC$1)+SUMIFS(Table2[NewPointsHome],Table2[GameDate], "&lt;=" &amp; $A196, Table2[HomeTeam], AC$1)</f>
        <v>0</v>
      </c>
      <c r="AD196" s="145">
        <f>SUMIFS(Table2[NewPointsAway],Table2[GameDate], "&lt;=" &amp; $A196, Table2[AwayTeam], AD$1)+SUMIFS(Table2[NewPointsHome],Table2[GameDate], "&lt;=" &amp; $A196, Table2[HomeTeam], AD$1)</f>
        <v>0</v>
      </c>
      <c r="AE196" s="145">
        <f>SUMIFS(Table2[NewPointsAway],Table2[GameDate], "&lt;=" &amp; $A196, Table2[AwayTeam], AE$1)+SUMIFS(Table2[NewPointsHome],Table2[GameDate], "&lt;=" &amp; $A196, Table2[HomeTeam], AE$1)</f>
        <v>1</v>
      </c>
      <c r="AF196" s="145">
        <f>SUMIFS(Table2[NewPointsAway],Table2[GameDate], "&lt;=" &amp; $A196, Table2[AwayTeam], AF$1)+SUMIFS(Table2[NewPointsHome],Table2[GameDate], "&lt;=" &amp; $A196, Table2[HomeTeam], AF$1)</f>
        <v>0</v>
      </c>
      <c r="AG196" s="145">
        <f>SUMIFS(Table2[NewPointsAway],Table2[GameDate], "&lt;=" &amp; $A196, Table2[AwayTeam], AG$1)+SUMIFS(Table2[NewPointsHome],Table2[GameDate], "&lt;=" &amp; $A196, Table2[HomeTeam], AG$1)</f>
        <v>0</v>
      </c>
    </row>
    <row r="197" spans="1:33" x14ac:dyDescent="0.25">
      <c r="A197" s="3">
        <v>46128</v>
      </c>
      <c r="B197" s="145">
        <f>SUMIFS(Table2[NewPointsAway],Table2[GameDate], "&lt;=" &amp; $A197, Table2[AwayTeam], B$1)+SUMIFS(Table2[NewPointsHome],Table2[GameDate], "&lt;=" &amp; $A197, Table2[HomeTeam], B$1)</f>
        <v>0</v>
      </c>
      <c r="C197" s="145">
        <f>SUMIFS(Table2[NewPointsAway],Table2[GameDate], "&lt;=" &amp; $A197, Table2[AwayTeam], C$1)+SUMIFS(Table2[NewPointsHome],Table2[GameDate], "&lt;=" &amp; $A197, Table2[HomeTeam], C$1)</f>
        <v>2</v>
      </c>
      <c r="D197" s="145">
        <f>SUMIFS(Table2[NewPointsAway],Table2[GameDate], "&lt;=" &amp; $A197, Table2[AwayTeam], D$1)+SUMIFS(Table2[NewPointsHome],Table2[GameDate], "&lt;=" &amp; $A197, Table2[HomeTeam], D$1)</f>
        <v>0</v>
      </c>
      <c r="E197" s="145">
        <f>SUMIFS(Table2[NewPointsAway],Table2[GameDate], "&lt;=" &amp; $A197, Table2[AwayTeam], E$1)+SUMIFS(Table2[NewPointsHome],Table2[GameDate], "&lt;=" &amp; $A197, Table2[HomeTeam], E$1)</f>
        <v>0</v>
      </c>
      <c r="F197" s="145">
        <f>SUMIFS(Table2[NewPointsAway],Table2[GameDate], "&lt;=" &amp; $A197, Table2[AwayTeam], F$1)+SUMIFS(Table2[NewPointsHome],Table2[GameDate], "&lt;=" &amp; $A197, Table2[HomeTeam], F$1)</f>
        <v>0</v>
      </c>
      <c r="G197" s="145">
        <f>SUMIFS(Table2[NewPointsAway],Table2[GameDate], "&lt;=" &amp; $A197, Table2[AwayTeam], G$1)+SUMIFS(Table2[NewPointsHome],Table2[GameDate], "&lt;=" &amp; $A197, Table2[HomeTeam], G$1)</f>
        <v>2</v>
      </c>
      <c r="H197" s="145">
        <f>SUMIFS(Table2[NewPointsAway],Table2[GameDate], "&lt;=" &amp; $A197, Table2[AwayTeam], H$1)+SUMIFS(Table2[NewPointsHome],Table2[GameDate], "&lt;=" &amp; $A197, Table2[HomeTeam], H$1)</f>
        <v>0</v>
      </c>
      <c r="I197" s="145">
        <f>SUMIFS(Table2[NewPointsAway],Table2[GameDate], "&lt;=" &amp; $A197, Table2[AwayTeam], I$1)+SUMIFS(Table2[NewPointsHome],Table2[GameDate], "&lt;=" &amp; $A197, Table2[HomeTeam], I$1)</f>
        <v>2</v>
      </c>
      <c r="J197" s="145">
        <f>SUMIFS(Table2[NewPointsAway],Table2[GameDate], "&lt;=" &amp; $A197, Table2[AwayTeam], J$1)+SUMIFS(Table2[NewPointsHome],Table2[GameDate], "&lt;=" &amp; $A197, Table2[HomeTeam], J$1)</f>
        <v>0</v>
      </c>
      <c r="K197" s="145">
        <f>SUMIFS(Table2[NewPointsAway],Table2[GameDate], "&lt;=" &amp; $A197, Table2[AwayTeam], K$1)+SUMIFS(Table2[NewPointsHome],Table2[GameDate], "&lt;=" &amp; $A197, Table2[HomeTeam], K$1)</f>
        <v>0</v>
      </c>
      <c r="L197" s="145">
        <f>SUMIFS(Table2[NewPointsAway],Table2[GameDate], "&lt;=" &amp; $A197, Table2[AwayTeam], L$1)+SUMIFS(Table2[NewPointsHome],Table2[GameDate], "&lt;=" &amp; $A197, Table2[HomeTeam], L$1)</f>
        <v>1</v>
      </c>
      <c r="M197" s="145">
        <f>SUMIFS(Table2[NewPointsAway],Table2[GameDate], "&lt;=" &amp; $A197, Table2[AwayTeam], M$1)+SUMIFS(Table2[NewPointsHome],Table2[GameDate], "&lt;=" &amp; $A197, Table2[HomeTeam], M$1)</f>
        <v>2</v>
      </c>
      <c r="N197" s="145">
        <f>SUMIFS(Table2[NewPointsAway],Table2[GameDate], "&lt;=" &amp; $A197, Table2[AwayTeam], N$1)+SUMIFS(Table2[NewPointsHome],Table2[GameDate], "&lt;=" &amp; $A197, Table2[HomeTeam], N$1)</f>
        <v>2</v>
      </c>
      <c r="O197" s="145">
        <f>SUMIFS(Table2[NewPointsAway],Table2[GameDate], "&lt;=" &amp; $A197, Table2[AwayTeam], O$1)+SUMIFS(Table2[NewPointsHome],Table2[GameDate], "&lt;=" &amp; $A197, Table2[HomeTeam], O$1)</f>
        <v>0</v>
      </c>
      <c r="P197" s="145">
        <f>SUMIFS(Table2[NewPointsAway],Table2[GameDate], "&lt;=" &amp; $A197, Table2[AwayTeam], P$1)+SUMIFS(Table2[NewPointsHome],Table2[GameDate], "&lt;=" &amp; $A197, Table2[HomeTeam], P$1)</f>
        <v>0</v>
      </c>
      <c r="Q197" s="145">
        <f>SUMIFS(Table2[NewPointsAway],Table2[GameDate], "&lt;=" &amp; $A197, Table2[AwayTeam], Q$1)+SUMIFS(Table2[NewPointsHome],Table2[GameDate], "&lt;=" &amp; $A197, Table2[HomeTeam], Q$1)</f>
        <v>0</v>
      </c>
      <c r="R197" s="145">
        <f>SUMIFS(Table2[NewPointsAway],Table2[GameDate], "&lt;=" &amp; $A197, Table2[AwayTeam], R$1)+SUMIFS(Table2[NewPointsHome],Table2[GameDate], "&lt;=" &amp; $A197, Table2[HomeTeam], R$1)</f>
        <v>0</v>
      </c>
      <c r="S197" s="145">
        <f>SUMIFS(Table2[NewPointsAway],Table2[GameDate], "&lt;=" &amp; $A197, Table2[AwayTeam], S$1)+SUMIFS(Table2[NewPointsHome],Table2[GameDate], "&lt;=" &amp; $A197, Table2[HomeTeam], S$1)</f>
        <v>0</v>
      </c>
      <c r="T197" s="145">
        <f>SUMIFS(Table2[NewPointsAway],Table2[GameDate], "&lt;=" &amp; $A197, Table2[AwayTeam], T$1)+SUMIFS(Table2[NewPointsHome],Table2[GameDate], "&lt;=" &amp; $A197, Table2[HomeTeam], T$1)</f>
        <v>0</v>
      </c>
      <c r="U197" s="145">
        <f>SUMIFS(Table2[NewPointsAway],Table2[GameDate], "&lt;=" &amp; $A197, Table2[AwayTeam], U$1)+SUMIFS(Table2[NewPointsHome],Table2[GameDate], "&lt;=" &amp; $A197, Table2[HomeTeam], U$1)</f>
        <v>0</v>
      </c>
      <c r="V197" s="145">
        <f>SUMIFS(Table2[NewPointsAway],Table2[GameDate], "&lt;=" &amp; $A197, Table2[AwayTeam], V$1)+SUMIFS(Table2[NewPointsHome],Table2[GameDate], "&lt;=" &amp; $A197, Table2[HomeTeam], V$1)</f>
        <v>0</v>
      </c>
      <c r="W197" s="145">
        <f>SUMIFS(Table2[NewPointsAway],Table2[GameDate], "&lt;=" &amp; $A197, Table2[AwayTeam], W$1)+SUMIFS(Table2[NewPointsHome],Table2[GameDate], "&lt;=" &amp; $A197, Table2[HomeTeam], W$1)</f>
        <v>2</v>
      </c>
      <c r="X197" s="145">
        <f>SUMIFS(Table2[NewPointsAway],Table2[GameDate], "&lt;=" &amp; $A197, Table2[AwayTeam], X$1)+SUMIFS(Table2[NewPointsHome],Table2[GameDate], "&lt;=" &amp; $A197, Table2[HomeTeam], X$1)</f>
        <v>0</v>
      </c>
      <c r="Y197" s="145">
        <f>SUMIFS(Table2[NewPointsAway],Table2[GameDate], "&lt;=" &amp; $A197, Table2[AwayTeam], Y$1)+SUMIFS(Table2[NewPointsHome],Table2[GameDate], "&lt;=" &amp; $A197, Table2[HomeTeam], Y$1)</f>
        <v>0</v>
      </c>
      <c r="Z197" s="145">
        <f>SUMIFS(Table2[NewPointsAway],Table2[GameDate], "&lt;=" &amp; $A197, Table2[AwayTeam], Z$1)+SUMIFS(Table2[NewPointsHome],Table2[GameDate], "&lt;=" &amp; $A197, Table2[HomeTeam], Z$1)</f>
        <v>0</v>
      </c>
      <c r="AA197" s="145">
        <f>SUMIFS(Table2[NewPointsAway],Table2[GameDate], "&lt;=" &amp; $A197, Table2[AwayTeam], AA$1)+SUMIFS(Table2[NewPointsHome],Table2[GameDate], "&lt;=" &amp; $A197, Table2[HomeTeam], AA$1)</f>
        <v>0</v>
      </c>
      <c r="AB197" s="145">
        <f>SUMIFS(Table2[NewPointsAway],Table2[GameDate], "&lt;=" &amp; $A197, Table2[AwayTeam], AB$1)+SUMIFS(Table2[NewPointsHome],Table2[GameDate], "&lt;=" &amp; $A197, Table2[HomeTeam], AB$1)</f>
        <v>2</v>
      </c>
      <c r="AC197" s="145">
        <f>SUMIFS(Table2[NewPointsAway],Table2[GameDate], "&lt;=" &amp; $A197, Table2[AwayTeam], AC$1)+SUMIFS(Table2[NewPointsHome],Table2[GameDate], "&lt;=" &amp; $A197, Table2[HomeTeam], AC$1)</f>
        <v>0</v>
      </c>
      <c r="AD197" s="145">
        <f>SUMIFS(Table2[NewPointsAway],Table2[GameDate], "&lt;=" &amp; $A197, Table2[AwayTeam], AD$1)+SUMIFS(Table2[NewPointsHome],Table2[GameDate], "&lt;=" &amp; $A197, Table2[HomeTeam], AD$1)</f>
        <v>0</v>
      </c>
      <c r="AE197" s="145">
        <f>SUMIFS(Table2[NewPointsAway],Table2[GameDate], "&lt;=" &amp; $A197, Table2[AwayTeam], AE$1)+SUMIFS(Table2[NewPointsHome],Table2[GameDate], "&lt;=" &amp; $A197, Table2[HomeTeam], AE$1)</f>
        <v>1</v>
      </c>
      <c r="AF197" s="145">
        <f>SUMIFS(Table2[NewPointsAway],Table2[GameDate], "&lt;=" &amp; $A197, Table2[AwayTeam], AF$1)+SUMIFS(Table2[NewPointsHome],Table2[GameDate], "&lt;=" &amp; $A197, Table2[HomeTeam], AF$1)</f>
        <v>0</v>
      </c>
      <c r="AG197" s="145">
        <f>SUMIFS(Table2[NewPointsAway],Table2[GameDate], "&lt;=" &amp; $A197, Table2[AwayTeam], AG$1)+SUMIFS(Table2[NewPointsHome],Table2[GameDate], "&lt;=" &amp; $A197, Table2[HomeTeam], AG$1)</f>
        <v>0</v>
      </c>
    </row>
    <row r="198" spans="1:33" x14ac:dyDescent="0.25">
      <c r="A198" s="3">
        <v>46129</v>
      </c>
      <c r="B198" s="145">
        <f>SUMIFS(Table2[NewPointsAway],Table2[GameDate], "&lt;=" &amp; $A198, Table2[AwayTeam], B$1)+SUMIFS(Table2[NewPointsHome],Table2[GameDate], "&lt;=" &amp; $A198, Table2[HomeTeam], B$1)</f>
        <v>0</v>
      </c>
      <c r="C198" s="145">
        <f>SUMIFS(Table2[NewPointsAway],Table2[GameDate], "&lt;=" &amp; $A198, Table2[AwayTeam], C$1)+SUMIFS(Table2[NewPointsHome],Table2[GameDate], "&lt;=" &amp; $A198, Table2[HomeTeam], C$1)</f>
        <v>2</v>
      </c>
      <c r="D198" s="145">
        <f>SUMIFS(Table2[NewPointsAway],Table2[GameDate], "&lt;=" &amp; $A198, Table2[AwayTeam], D$1)+SUMIFS(Table2[NewPointsHome],Table2[GameDate], "&lt;=" &amp; $A198, Table2[HomeTeam], D$1)</f>
        <v>0</v>
      </c>
      <c r="E198" s="145">
        <f>SUMIFS(Table2[NewPointsAway],Table2[GameDate], "&lt;=" &amp; $A198, Table2[AwayTeam], E$1)+SUMIFS(Table2[NewPointsHome],Table2[GameDate], "&lt;=" &amp; $A198, Table2[HomeTeam], E$1)</f>
        <v>0</v>
      </c>
      <c r="F198" s="145">
        <f>SUMIFS(Table2[NewPointsAway],Table2[GameDate], "&lt;=" &amp; $A198, Table2[AwayTeam], F$1)+SUMIFS(Table2[NewPointsHome],Table2[GameDate], "&lt;=" &amp; $A198, Table2[HomeTeam], F$1)</f>
        <v>0</v>
      </c>
      <c r="G198" s="145">
        <f>SUMIFS(Table2[NewPointsAway],Table2[GameDate], "&lt;=" &amp; $A198, Table2[AwayTeam], G$1)+SUMIFS(Table2[NewPointsHome],Table2[GameDate], "&lt;=" &amp; $A198, Table2[HomeTeam], G$1)</f>
        <v>2</v>
      </c>
      <c r="H198" s="145">
        <f>SUMIFS(Table2[NewPointsAway],Table2[GameDate], "&lt;=" &amp; $A198, Table2[AwayTeam], H$1)+SUMIFS(Table2[NewPointsHome],Table2[GameDate], "&lt;=" &amp; $A198, Table2[HomeTeam], H$1)</f>
        <v>0</v>
      </c>
      <c r="I198" s="145">
        <f>SUMIFS(Table2[NewPointsAway],Table2[GameDate], "&lt;=" &amp; $A198, Table2[AwayTeam], I$1)+SUMIFS(Table2[NewPointsHome],Table2[GameDate], "&lt;=" &amp; $A198, Table2[HomeTeam], I$1)</f>
        <v>2</v>
      </c>
      <c r="J198" s="145">
        <f>SUMIFS(Table2[NewPointsAway],Table2[GameDate], "&lt;=" &amp; $A198, Table2[AwayTeam], J$1)+SUMIFS(Table2[NewPointsHome],Table2[GameDate], "&lt;=" &amp; $A198, Table2[HomeTeam], J$1)</f>
        <v>0</v>
      </c>
      <c r="K198" s="145">
        <f>SUMIFS(Table2[NewPointsAway],Table2[GameDate], "&lt;=" &amp; $A198, Table2[AwayTeam], K$1)+SUMIFS(Table2[NewPointsHome],Table2[GameDate], "&lt;=" &amp; $A198, Table2[HomeTeam], K$1)</f>
        <v>0</v>
      </c>
      <c r="L198" s="145">
        <f>SUMIFS(Table2[NewPointsAway],Table2[GameDate], "&lt;=" &amp; $A198, Table2[AwayTeam], L$1)+SUMIFS(Table2[NewPointsHome],Table2[GameDate], "&lt;=" &amp; $A198, Table2[HomeTeam], L$1)</f>
        <v>1</v>
      </c>
      <c r="M198" s="145">
        <f>SUMIFS(Table2[NewPointsAway],Table2[GameDate], "&lt;=" &amp; $A198, Table2[AwayTeam], M$1)+SUMIFS(Table2[NewPointsHome],Table2[GameDate], "&lt;=" &amp; $A198, Table2[HomeTeam], M$1)</f>
        <v>2</v>
      </c>
      <c r="N198" s="145">
        <f>SUMIFS(Table2[NewPointsAway],Table2[GameDate], "&lt;=" &amp; $A198, Table2[AwayTeam], N$1)+SUMIFS(Table2[NewPointsHome],Table2[GameDate], "&lt;=" &amp; $A198, Table2[HomeTeam], N$1)</f>
        <v>2</v>
      </c>
      <c r="O198" s="145">
        <f>SUMIFS(Table2[NewPointsAway],Table2[GameDate], "&lt;=" &amp; $A198, Table2[AwayTeam], O$1)+SUMIFS(Table2[NewPointsHome],Table2[GameDate], "&lt;=" &amp; $A198, Table2[HomeTeam], O$1)</f>
        <v>0</v>
      </c>
      <c r="P198" s="145">
        <f>SUMIFS(Table2[NewPointsAway],Table2[GameDate], "&lt;=" &amp; $A198, Table2[AwayTeam], P$1)+SUMIFS(Table2[NewPointsHome],Table2[GameDate], "&lt;=" &amp; $A198, Table2[HomeTeam], P$1)</f>
        <v>0</v>
      </c>
      <c r="Q198" s="145">
        <f>SUMIFS(Table2[NewPointsAway],Table2[GameDate], "&lt;=" &amp; $A198, Table2[AwayTeam], Q$1)+SUMIFS(Table2[NewPointsHome],Table2[GameDate], "&lt;=" &amp; $A198, Table2[HomeTeam], Q$1)</f>
        <v>0</v>
      </c>
      <c r="R198" s="145">
        <f>SUMIFS(Table2[NewPointsAway],Table2[GameDate], "&lt;=" &amp; $A198, Table2[AwayTeam], R$1)+SUMIFS(Table2[NewPointsHome],Table2[GameDate], "&lt;=" &amp; $A198, Table2[HomeTeam], R$1)</f>
        <v>0</v>
      </c>
      <c r="S198" s="145">
        <f>SUMIFS(Table2[NewPointsAway],Table2[GameDate], "&lt;=" &amp; $A198, Table2[AwayTeam], S$1)+SUMIFS(Table2[NewPointsHome],Table2[GameDate], "&lt;=" &amp; $A198, Table2[HomeTeam], S$1)</f>
        <v>0</v>
      </c>
      <c r="T198" s="145">
        <f>SUMIFS(Table2[NewPointsAway],Table2[GameDate], "&lt;=" &amp; $A198, Table2[AwayTeam], T$1)+SUMIFS(Table2[NewPointsHome],Table2[GameDate], "&lt;=" &amp; $A198, Table2[HomeTeam], T$1)</f>
        <v>0</v>
      </c>
      <c r="U198" s="145">
        <f>SUMIFS(Table2[NewPointsAway],Table2[GameDate], "&lt;=" &amp; $A198, Table2[AwayTeam], U$1)+SUMIFS(Table2[NewPointsHome],Table2[GameDate], "&lt;=" &amp; $A198, Table2[HomeTeam], U$1)</f>
        <v>0</v>
      </c>
      <c r="V198" s="145">
        <f>SUMIFS(Table2[NewPointsAway],Table2[GameDate], "&lt;=" &amp; $A198, Table2[AwayTeam], V$1)+SUMIFS(Table2[NewPointsHome],Table2[GameDate], "&lt;=" &amp; $A198, Table2[HomeTeam], V$1)</f>
        <v>0</v>
      </c>
      <c r="W198" s="145">
        <f>SUMIFS(Table2[NewPointsAway],Table2[GameDate], "&lt;=" &amp; $A198, Table2[AwayTeam], W$1)+SUMIFS(Table2[NewPointsHome],Table2[GameDate], "&lt;=" &amp; $A198, Table2[HomeTeam], W$1)</f>
        <v>2</v>
      </c>
      <c r="X198" s="145">
        <f>SUMIFS(Table2[NewPointsAway],Table2[GameDate], "&lt;=" &amp; $A198, Table2[AwayTeam], X$1)+SUMIFS(Table2[NewPointsHome],Table2[GameDate], "&lt;=" &amp; $A198, Table2[HomeTeam], X$1)</f>
        <v>0</v>
      </c>
      <c r="Y198" s="145">
        <f>SUMIFS(Table2[NewPointsAway],Table2[GameDate], "&lt;=" &amp; $A198, Table2[AwayTeam], Y$1)+SUMIFS(Table2[NewPointsHome],Table2[GameDate], "&lt;=" &amp; $A198, Table2[HomeTeam], Y$1)</f>
        <v>0</v>
      </c>
      <c r="Z198" s="145">
        <f>SUMIFS(Table2[NewPointsAway],Table2[GameDate], "&lt;=" &amp; $A198, Table2[AwayTeam], Z$1)+SUMIFS(Table2[NewPointsHome],Table2[GameDate], "&lt;=" &amp; $A198, Table2[HomeTeam], Z$1)</f>
        <v>0</v>
      </c>
      <c r="AA198" s="145">
        <f>SUMIFS(Table2[NewPointsAway],Table2[GameDate], "&lt;=" &amp; $A198, Table2[AwayTeam], AA$1)+SUMIFS(Table2[NewPointsHome],Table2[GameDate], "&lt;=" &amp; $A198, Table2[HomeTeam], AA$1)</f>
        <v>0</v>
      </c>
      <c r="AB198" s="145">
        <f>SUMIFS(Table2[NewPointsAway],Table2[GameDate], "&lt;=" &amp; $A198, Table2[AwayTeam], AB$1)+SUMIFS(Table2[NewPointsHome],Table2[GameDate], "&lt;=" &amp; $A198, Table2[HomeTeam], AB$1)</f>
        <v>2</v>
      </c>
      <c r="AC198" s="145">
        <f>SUMIFS(Table2[NewPointsAway],Table2[GameDate], "&lt;=" &amp; $A198, Table2[AwayTeam], AC$1)+SUMIFS(Table2[NewPointsHome],Table2[GameDate], "&lt;=" &amp; $A198, Table2[HomeTeam], AC$1)</f>
        <v>0</v>
      </c>
      <c r="AD198" s="145">
        <f>SUMIFS(Table2[NewPointsAway],Table2[GameDate], "&lt;=" &amp; $A198, Table2[AwayTeam], AD$1)+SUMIFS(Table2[NewPointsHome],Table2[GameDate], "&lt;=" &amp; $A198, Table2[HomeTeam], AD$1)</f>
        <v>0</v>
      </c>
      <c r="AE198" s="145">
        <f>SUMIFS(Table2[NewPointsAway],Table2[GameDate], "&lt;=" &amp; $A198, Table2[AwayTeam], AE$1)+SUMIFS(Table2[NewPointsHome],Table2[GameDate], "&lt;=" &amp; $A198, Table2[HomeTeam], AE$1)</f>
        <v>1</v>
      </c>
      <c r="AF198" s="145">
        <f>SUMIFS(Table2[NewPointsAway],Table2[GameDate], "&lt;=" &amp; $A198, Table2[AwayTeam], AF$1)+SUMIFS(Table2[NewPointsHome],Table2[GameDate], "&lt;=" &amp; $A198, Table2[HomeTeam], AF$1)</f>
        <v>0</v>
      </c>
      <c r="AG198" s="145">
        <f>SUMIFS(Table2[NewPointsAway],Table2[GameDate], "&lt;=" &amp; $A198, Table2[AwayTeam], AG$1)+SUMIFS(Table2[NewPointsHome],Table2[GameDate], "&lt;=" &amp; $A198, Table2[HomeTeam], AG$1)</f>
        <v>0</v>
      </c>
    </row>
    <row r="199" spans="1:33" x14ac:dyDescent="0.25">
      <c r="A199" s="3">
        <v>46130</v>
      </c>
      <c r="B199" s="145">
        <f>SUMIFS(Table2[NewPointsAway],Table2[GameDate], "&lt;=" &amp; $A199, Table2[AwayTeam], B$1)+SUMIFS(Table2[NewPointsHome],Table2[GameDate], "&lt;=" &amp; $A199, Table2[HomeTeam], B$1)</f>
        <v>0</v>
      </c>
      <c r="C199" s="145">
        <f>SUMIFS(Table2[NewPointsAway],Table2[GameDate], "&lt;=" &amp; $A199, Table2[AwayTeam], C$1)+SUMIFS(Table2[NewPointsHome],Table2[GameDate], "&lt;=" &amp; $A199, Table2[HomeTeam], C$1)</f>
        <v>2</v>
      </c>
      <c r="D199" s="145">
        <f>SUMIFS(Table2[NewPointsAway],Table2[GameDate], "&lt;=" &amp; $A199, Table2[AwayTeam], D$1)+SUMIFS(Table2[NewPointsHome],Table2[GameDate], "&lt;=" &amp; $A199, Table2[HomeTeam], D$1)</f>
        <v>0</v>
      </c>
      <c r="E199" s="145">
        <f>SUMIFS(Table2[NewPointsAway],Table2[GameDate], "&lt;=" &amp; $A199, Table2[AwayTeam], E$1)+SUMIFS(Table2[NewPointsHome],Table2[GameDate], "&lt;=" &amp; $A199, Table2[HomeTeam], E$1)</f>
        <v>0</v>
      </c>
      <c r="F199" s="145">
        <f>SUMIFS(Table2[NewPointsAway],Table2[GameDate], "&lt;=" &amp; $A199, Table2[AwayTeam], F$1)+SUMIFS(Table2[NewPointsHome],Table2[GameDate], "&lt;=" &amp; $A199, Table2[HomeTeam], F$1)</f>
        <v>0</v>
      </c>
      <c r="G199" s="145">
        <f>SUMIFS(Table2[NewPointsAway],Table2[GameDate], "&lt;=" &amp; $A199, Table2[AwayTeam], G$1)+SUMIFS(Table2[NewPointsHome],Table2[GameDate], "&lt;=" &amp; $A199, Table2[HomeTeam], G$1)</f>
        <v>2</v>
      </c>
      <c r="H199" s="145">
        <f>SUMIFS(Table2[NewPointsAway],Table2[GameDate], "&lt;=" &amp; $A199, Table2[AwayTeam], H$1)+SUMIFS(Table2[NewPointsHome],Table2[GameDate], "&lt;=" &amp; $A199, Table2[HomeTeam], H$1)</f>
        <v>0</v>
      </c>
      <c r="I199" s="145">
        <f>SUMIFS(Table2[NewPointsAway],Table2[GameDate], "&lt;=" &amp; $A199, Table2[AwayTeam], I$1)+SUMIFS(Table2[NewPointsHome],Table2[GameDate], "&lt;=" &amp; $A199, Table2[HomeTeam], I$1)</f>
        <v>2</v>
      </c>
      <c r="J199" s="145">
        <f>SUMIFS(Table2[NewPointsAway],Table2[GameDate], "&lt;=" &amp; $A199, Table2[AwayTeam], J$1)+SUMIFS(Table2[NewPointsHome],Table2[GameDate], "&lt;=" &amp; $A199, Table2[HomeTeam], J$1)</f>
        <v>0</v>
      </c>
      <c r="K199" s="145">
        <f>SUMIFS(Table2[NewPointsAway],Table2[GameDate], "&lt;=" &amp; $A199, Table2[AwayTeam], K$1)+SUMIFS(Table2[NewPointsHome],Table2[GameDate], "&lt;=" &amp; $A199, Table2[HomeTeam], K$1)</f>
        <v>0</v>
      </c>
      <c r="L199" s="145">
        <f>SUMIFS(Table2[NewPointsAway],Table2[GameDate], "&lt;=" &amp; $A199, Table2[AwayTeam], L$1)+SUMIFS(Table2[NewPointsHome],Table2[GameDate], "&lt;=" &amp; $A199, Table2[HomeTeam], L$1)</f>
        <v>1</v>
      </c>
      <c r="M199" s="145">
        <f>SUMIFS(Table2[NewPointsAway],Table2[GameDate], "&lt;=" &amp; $A199, Table2[AwayTeam], M$1)+SUMIFS(Table2[NewPointsHome],Table2[GameDate], "&lt;=" &amp; $A199, Table2[HomeTeam], M$1)</f>
        <v>2</v>
      </c>
      <c r="N199" s="145">
        <f>SUMIFS(Table2[NewPointsAway],Table2[GameDate], "&lt;=" &amp; $A199, Table2[AwayTeam], N$1)+SUMIFS(Table2[NewPointsHome],Table2[GameDate], "&lt;=" &amp; $A199, Table2[HomeTeam], N$1)</f>
        <v>2</v>
      </c>
      <c r="O199" s="145">
        <f>SUMIFS(Table2[NewPointsAway],Table2[GameDate], "&lt;=" &amp; $A199, Table2[AwayTeam], O$1)+SUMIFS(Table2[NewPointsHome],Table2[GameDate], "&lt;=" &amp; $A199, Table2[HomeTeam], O$1)</f>
        <v>0</v>
      </c>
      <c r="P199" s="145">
        <f>SUMIFS(Table2[NewPointsAway],Table2[GameDate], "&lt;=" &amp; $A199, Table2[AwayTeam], P$1)+SUMIFS(Table2[NewPointsHome],Table2[GameDate], "&lt;=" &amp; $A199, Table2[HomeTeam], P$1)</f>
        <v>0</v>
      </c>
      <c r="Q199" s="145">
        <f>SUMIFS(Table2[NewPointsAway],Table2[GameDate], "&lt;=" &amp; $A199, Table2[AwayTeam], Q$1)+SUMIFS(Table2[NewPointsHome],Table2[GameDate], "&lt;=" &amp; $A199, Table2[HomeTeam], Q$1)</f>
        <v>0</v>
      </c>
      <c r="R199" s="145">
        <f>SUMIFS(Table2[NewPointsAway],Table2[GameDate], "&lt;=" &amp; $A199, Table2[AwayTeam], R$1)+SUMIFS(Table2[NewPointsHome],Table2[GameDate], "&lt;=" &amp; $A199, Table2[HomeTeam], R$1)</f>
        <v>0</v>
      </c>
      <c r="S199" s="145">
        <f>SUMIFS(Table2[NewPointsAway],Table2[GameDate], "&lt;=" &amp; $A199, Table2[AwayTeam], S$1)+SUMIFS(Table2[NewPointsHome],Table2[GameDate], "&lt;=" &amp; $A199, Table2[HomeTeam], S$1)</f>
        <v>0</v>
      </c>
      <c r="T199" s="145">
        <f>SUMIFS(Table2[NewPointsAway],Table2[GameDate], "&lt;=" &amp; $A199, Table2[AwayTeam], T$1)+SUMIFS(Table2[NewPointsHome],Table2[GameDate], "&lt;=" &amp; $A199, Table2[HomeTeam], T$1)</f>
        <v>0</v>
      </c>
      <c r="U199" s="145">
        <f>SUMIFS(Table2[NewPointsAway],Table2[GameDate], "&lt;=" &amp; $A199, Table2[AwayTeam], U$1)+SUMIFS(Table2[NewPointsHome],Table2[GameDate], "&lt;=" &amp; $A199, Table2[HomeTeam], U$1)</f>
        <v>0</v>
      </c>
      <c r="V199" s="145">
        <f>SUMIFS(Table2[NewPointsAway],Table2[GameDate], "&lt;=" &amp; $A199, Table2[AwayTeam], V$1)+SUMIFS(Table2[NewPointsHome],Table2[GameDate], "&lt;=" &amp; $A199, Table2[HomeTeam], V$1)</f>
        <v>0</v>
      </c>
      <c r="W199" s="145">
        <f>SUMIFS(Table2[NewPointsAway],Table2[GameDate], "&lt;=" &amp; $A199, Table2[AwayTeam], W$1)+SUMIFS(Table2[NewPointsHome],Table2[GameDate], "&lt;=" &amp; $A199, Table2[HomeTeam], W$1)</f>
        <v>2</v>
      </c>
      <c r="X199" s="145">
        <f>SUMIFS(Table2[NewPointsAway],Table2[GameDate], "&lt;=" &amp; $A199, Table2[AwayTeam], X$1)+SUMIFS(Table2[NewPointsHome],Table2[GameDate], "&lt;=" &amp; $A199, Table2[HomeTeam], X$1)</f>
        <v>0</v>
      </c>
      <c r="Y199" s="145">
        <f>SUMIFS(Table2[NewPointsAway],Table2[GameDate], "&lt;=" &amp; $A199, Table2[AwayTeam], Y$1)+SUMIFS(Table2[NewPointsHome],Table2[GameDate], "&lt;=" &amp; $A199, Table2[HomeTeam], Y$1)</f>
        <v>0</v>
      </c>
      <c r="Z199" s="145">
        <f>SUMIFS(Table2[NewPointsAway],Table2[GameDate], "&lt;=" &amp; $A199, Table2[AwayTeam], Z$1)+SUMIFS(Table2[NewPointsHome],Table2[GameDate], "&lt;=" &amp; $A199, Table2[HomeTeam], Z$1)</f>
        <v>0</v>
      </c>
      <c r="AA199" s="145">
        <f>SUMIFS(Table2[NewPointsAway],Table2[GameDate], "&lt;=" &amp; $A199, Table2[AwayTeam], AA$1)+SUMIFS(Table2[NewPointsHome],Table2[GameDate], "&lt;=" &amp; $A199, Table2[HomeTeam], AA$1)</f>
        <v>0</v>
      </c>
      <c r="AB199" s="145">
        <f>SUMIFS(Table2[NewPointsAway],Table2[GameDate], "&lt;=" &amp; $A199, Table2[AwayTeam], AB$1)+SUMIFS(Table2[NewPointsHome],Table2[GameDate], "&lt;=" &amp; $A199, Table2[HomeTeam], AB$1)</f>
        <v>2</v>
      </c>
      <c r="AC199" s="145">
        <f>SUMIFS(Table2[NewPointsAway],Table2[GameDate], "&lt;=" &amp; $A199, Table2[AwayTeam], AC$1)+SUMIFS(Table2[NewPointsHome],Table2[GameDate], "&lt;=" &amp; $A199, Table2[HomeTeam], AC$1)</f>
        <v>0</v>
      </c>
      <c r="AD199" s="145">
        <f>SUMIFS(Table2[NewPointsAway],Table2[GameDate], "&lt;=" &amp; $A199, Table2[AwayTeam], AD$1)+SUMIFS(Table2[NewPointsHome],Table2[GameDate], "&lt;=" &amp; $A199, Table2[HomeTeam], AD$1)</f>
        <v>0</v>
      </c>
      <c r="AE199" s="145">
        <f>SUMIFS(Table2[NewPointsAway],Table2[GameDate], "&lt;=" &amp; $A199, Table2[AwayTeam], AE$1)+SUMIFS(Table2[NewPointsHome],Table2[GameDate], "&lt;=" &amp; $A199, Table2[HomeTeam], AE$1)</f>
        <v>1</v>
      </c>
      <c r="AF199" s="145">
        <f>SUMIFS(Table2[NewPointsAway],Table2[GameDate], "&lt;=" &amp; $A199, Table2[AwayTeam], AF$1)+SUMIFS(Table2[NewPointsHome],Table2[GameDate], "&lt;=" &amp; $A199, Table2[HomeTeam], AF$1)</f>
        <v>0</v>
      </c>
      <c r="AG199" s="145">
        <f>SUMIFS(Table2[NewPointsAway],Table2[GameDate], "&lt;=" &amp; $A199, Table2[AwayTeam], AG$1)+SUMIFS(Table2[NewPointsHome],Table2[GameDate], "&lt;=" &amp; $A199, Table2[HomeTeam], AG$1)</f>
        <v>0</v>
      </c>
    </row>
    <row r="200" spans="1:33" x14ac:dyDescent="0.25">
      <c r="A200" s="3">
        <v>46131</v>
      </c>
      <c r="B200" s="145">
        <f>SUMIFS(Table2[NewPointsAway],Table2[GameDate], "&lt;=" &amp; $A200, Table2[AwayTeam], B$1)+SUMIFS(Table2[NewPointsHome],Table2[GameDate], "&lt;=" &amp; $A200, Table2[HomeTeam], B$1)</f>
        <v>0</v>
      </c>
      <c r="C200" s="145">
        <f>SUMIFS(Table2[NewPointsAway],Table2[GameDate], "&lt;=" &amp; $A200, Table2[AwayTeam], C$1)+SUMIFS(Table2[NewPointsHome],Table2[GameDate], "&lt;=" &amp; $A200, Table2[HomeTeam], C$1)</f>
        <v>2</v>
      </c>
      <c r="D200" s="145">
        <f>SUMIFS(Table2[NewPointsAway],Table2[GameDate], "&lt;=" &amp; $A200, Table2[AwayTeam], D$1)+SUMIFS(Table2[NewPointsHome],Table2[GameDate], "&lt;=" &amp; $A200, Table2[HomeTeam], D$1)</f>
        <v>0</v>
      </c>
      <c r="E200" s="145">
        <f>SUMIFS(Table2[NewPointsAway],Table2[GameDate], "&lt;=" &amp; $A200, Table2[AwayTeam], E$1)+SUMIFS(Table2[NewPointsHome],Table2[GameDate], "&lt;=" &amp; $A200, Table2[HomeTeam], E$1)</f>
        <v>0</v>
      </c>
      <c r="F200" s="145">
        <f>SUMIFS(Table2[NewPointsAway],Table2[GameDate], "&lt;=" &amp; $A200, Table2[AwayTeam], F$1)+SUMIFS(Table2[NewPointsHome],Table2[GameDate], "&lt;=" &amp; $A200, Table2[HomeTeam], F$1)</f>
        <v>0</v>
      </c>
      <c r="G200" s="145">
        <f>SUMIFS(Table2[NewPointsAway],Table2[GameDate], "&lt;=" &amp; $A200, Table2[AwayTeam], G$1)+SUMIFS(Table2[NewPointsHome],Table2[GameDate], "&lt;=" &amp; $A200, Table2[HomeTeam], G$1)</f>
        <v>2</v>
      </c>
      <c r="H200" s="145">
        <f>SUMIFS(Table2[NewPointsAway],Table2[GameDate], "&lt;=" &amp; $A200, Table2[AwayTeam], H$1)+SUMIFS(Table2[NewPointsHome],Table2[GameDate], "&lt;=" &amp; $A200, Table2[HomeTeam], H$1)</f>
        <v>0</v>
      </c>
      <c r="I200" s="145">
        <f>SUMIFS(Table2[NewPointsAway],Table2[GameDate], "&lt;=" &amp; $A200, Table2[AwayTeam], I$1)+SUMIFS(Table2[NewPointsHome],Table2[GameDate], "&lt;=" &amp; $A200, Table2[HomeTeam], I$1)</f>
        <v>2</v>
      </c>
      <c r="J200" s="145">
        <f>SUMIFS(Table2[NewPointsAway],Table2[GameDate], "&lt;=" &amp; $A200, Table2[AwayTeam], J$1)+SUMIFS(Table2[NewPointsHome],Table2[GameDate], "&lt;=" &amp; $A200, Table2[HomeTeam], J$1)</f>
        <v>0</v>
      </c>
      <c r="K200" s="145">
        <f>SUMIFS(Table2[NewPointsAway],Table2[GameDate], "&lt;=" &amp; $A200, Table2[AwayTeam], K$1)+SUMIFS(Table2[NewPointsHome],Table2[GameDate], "&lt;=" &amp; $A200, Table2[HomeTeam], K$1)</f>
        <v>0</v>
      </c>
      <c r="L200" s="145">
        <f>SUMIFS(Table2[NewPointsAway],Table2[GameDate], "&lt;=" &amp; $A200, Table2[AwayTeam], L$1)+SUMIFS(Table2[NewPointsHome],Table2[GameDate], "&lt;=" &amp; $A200, Table2[HomeTeam], L$1)</f>
        <v>1</v>
      </c>
      <c r="M200" s="145">
        <f>SUMIFS(Table2[NewPointsAway],Table2[GameDate], "&lt;=" &amp; $A200, Table2[AwayTeam], M$1)+SUMIFS(Table2[NewPointsHome],Table2[GameDate], "&lt;=" &amp; $A200, Table2[HomeTeam], M$1)</f>
        <v>2</v>
      </c>
      <c r="N200" s="145">
        <f>SUMIFS(Table2[NewPointsAway],Table2[GameDate], "&lt;=" &amp; $A200, Table2[AwayTeam], N$1)+SUMIFS(Table2[NewPointsHome],Table2[GameDate], "&lt;=" &amp; $A200, Table2[HomeTeam], N$1)</f>
        <v>2</v>
      </c>
      <c r="O200" s="145">
        <f>SUMIFS(Table2[NewPointsAway],Table2[GameDate], "&lt;=" &amp; $A200, Table2[AwayTeam], O$1)+SUMIFS(Table2[NewPointsHome],Table2[GameDate], "&lt;=" &amp; $A200, Table2[HomeTeam], O$1)</f>
        <v>0</v>
      </c>
      <c r="P200" s="145">
        <f>SUMIFS(Table2[NewPointsAway],Table2[GameDate], "&lt;=" &amp; $A200, Table2[AwayTeam], P$1)+SUMIFS(Table2[NewPointsHome],Table2[GameDate], "&lt;=" &amp; $A200, Table2[HomeTeam], P$1)</f>
        <v>0</v>
      </c>
      <c r="Q200" s="145">
        <f>SUMIFS(Table2[NewPointsAway],Table2[GameDate], "&lt;=" &amp; $A200, Table2[AwayTeam], Q$1)+SUMIFS(Table2[NewPointsHome],Table2[GameDate], "&lt;=" &amp; $A200, Table2[HomeTeam], Q$1)</f>
        <v>0</v>
      </c>
      <c r="R200" s="145">
        <f>SUMIFS(Table2[NewPointsAway],Table2[GameDate], "&lt;=" &amp; $A200, Table2[AwayTeam], R$1)+SUMIFS(Table2[NewPointsHome],Table2[GameDate], "&lt;=" &amp; $A200, Table2[HomeTeam], R$1)</f>
        <v>0</v>
      </c>
      <c r="S200" s="145">
        <f>SUMIFS(Table2[NewPointsAway],Table2[GameDate], "&lt;=" &amp; $A200, Table2[AwayTeam], S$1)+SUMIFS(Table2[NewPointsHome],Table2[GameDate], "&lt;=" &amp; $A200, Table2[HomeTeam], S$1)</f>
        <v>0</v>
      </c>
      <c r="T200" s="145">
        <f>SUMIFS(Table2[NewPointsAway],Table2[GameDate], "&lt;=" &amp; $A200, Table2[AwayTeam], T$1)+SUMIFS(Table2[NewPointsHome],Table2[GameDate], "&lt;=" &amp; $A200, Table2[HomeTeam], T$1)</f>
        <v>0</v>
      </c>
      <c r="U200" s="145">
        <f>SUMIFS(Table2[NewPointsAway],Table2[GameDate], "&lt;=" &amp; $A200, Table2[AwayTeam], U$1)+SUMIFS(Table2[NewPointsHome],Table2[GameDate], "&lt;=" &amp; $A200, Table2[HomeTeam], U$1)</f>
        <v>0</v>
      </c>
      <c r="V200" s="145">
        <f>SUMIFS(Table2[NewPointsAway],Table2[GameDate], "&lt;=" &amp; $A200, Table2[AwayTeam], V$1)+SUMIFS(Table2[NewPointsHome],Table2[GameDate], "&lt;=" &amp; $A200, Table2[HomeTeam], V$1)</f>
        <v>0</v>
      </c>
      <c r="W200" s="145">
        <f>SUMIFS(Table2[NewPointsAway],Table2[GameDate], "&lt;=" &amp; $A200, Table2[AwayTeam], W$1)+SUMIFS(Table2[NewPointsHome],Table2[GameDate], "&lt;=" &amp; $A200, Table2[HomeTeam], W$1)</f>
        <v>2</v>
      </c>
      <c r="X200" s="145">
        <f>SUMIFS(Table2[NewPointsAway],Table2[GameDate], "&lt;=" &amp; $A200, Table2[AwayTeam], X$1)+SUMIFS(Table2[NewPointsHome],Table2[GameDate], "&lt;=" &amp; $A200, Table2[HomeTeam], X$1)</f>
        <v>0</v>
      </c>
      <c r="Y200" s="145">
        <f>SUMIFS(Table2[NewPointsAway],Table2[GameDate], "&lt;=" &amp; $A200, Table2[AwayTeam], Y$1)+SUMIFS(Table2[NewPointsHome],Table2[GameDate], "&lt;=" &amp; $A200, Table2[HomeTeam], Y$1)</f>
        <v>0</v>
      </c>
      <c r="Z200" s="145">
        <f>SUMIFS(Table2[NewPointsAway],Table2[GameDate], "&lt;=" &amp; $A200, Table2[AwayTeam], Z$1)+SUMIFS(Table2[NewPointsHome],Table2[GameDate], "&lt;=" &amp; $A200, Table2[HomeTeam], Z$1)</f>
        <v>0</v>
      </c>
      <c r="AA200" s="145">
        <f>SUMIFS(Table2[NewPointsAway],Table2[GameDate], "&lt;=" &amp; $A200, Table2[AwayTeam], AA$1)+SUMIFS(Table2[NewPointsHome],Table2[GameDate], "&lt;=" &amp; $A200, Table2[HomeTeam], AA$1)</f>
        <v>0</v>
      </c>
      <c r="AB200" s="145">
        <f>SUMIFS(Table2[NewPointsAway],Table2[GameDate], "&lt;=" &amp; $A200, Table2[AwayTeam], AB$1)+SUMIFS(Table2[NewPointsHome],Table2[GameDate], "&lt;=" &amp; $A200, Table2[HomeTeam], AB$1)</f>
        <v>2</v>
      </c>
      <c r="AC200" s="145">
        <f>SUMIFS(Table2[NewPointsAway],Table2[GameDate], "&lt;=" &amp; $A200, Table2[AwayTeam], AC$1)+SUMIFS(Table2[NewPointsHome],Table2[GameDate], "&lt;=" &amp; $A200, Table2[HomeTeam], AC$1)</f>
        <v>0</v>
      </c>
      <c r="AD200" s="145">
        <f>SUMIFS(Table2[NewPointsAway],Table2[GameDate], "&lt;=" &amp; $A200, Table2[AwayTeam], AD$1)+SUMIFS(Table2[NewPointsHome],Table2[GameDate], "&lt;=" &amp; $A200, Table2[HomeTeam], AD$1)</f>
        <v>0</v>
      </c>
      <c r="AE200" s="145">
        <f>SUMIFS(Table2[NewPointsAway],Table2[GameDate], "&lt;=" &amp; $A200, Table2[AwayTeam], AE$1)+SUMIFS(Table2[NewPointsHome],Table2[GameDate], "&lt;=" &amp; $A200, Table2[HomeTeam], AE$1)</f>
        <v>1</v>
      </c>
      <c r="AF200" s="145">
        <f>SUMIFS(Table2[NewPointsAway],Table2[GameDate], "&lt;=" &amp; $A200, Table2[AwayTeam], AF$1)+SUMIFS(Table2[NewPointsHome],Table2[GameDate], "&lt;=" &amp; $A200, Table2[HomeTeam], AF$1)</f>
        <v>0</v>
      </c>
      <c r="AG200" s="145">
        <f>SUMIFS(Table2[NewPointsAway],Table2[GameDate], "&lt;=" &amp; $A200, Table2[AwayTeam], AG$1)+SUMIFS(Table2[NewPointsHome],Table2[GameDate], "&lt;=" &amp; $A200, Table2[HomeTeam], AG$1)</f>
        <v>0</v>
      </c>
    </row>
    <row r="201" spans="1:33" x14ac:dyDescent="0.25">
      <c r="A201" s="3">
        <v>46132</v>
      </c>
      <c r="B201" s="145">
        <f>SUMIFS(Table2[NewPointsAway],Table2[GameDate], "&lt;=" &amp; $A201, Table2[AwayTeam], B$1)+SUMIFS(Table2[NewPointsHome],Table2[GameDate], "&lt;=" &amp; $A201, Table2[HomeTeam], B$1)</f>
        <v>0</v>
      </c>
      <c r="C201" s="145">
        <f>SUMIFS(Table2[NewPointsAway],Table2[GameDate], "&lt;=" &amp; $A201, Table2[AwayTeam], C$1)+SUMIFS(Table2[NewPointsHome],Table2[GameDate], "&lt;=" &amp; $A201, Table2[HomeTeam], C$1)</f>
        <v>2</v>
      </c>
      <c r="D201" s="145">
        <f>SUMIFS(Table2[NewPointsAway],Table2[GameDate], "&lt;=" &amp; $A201, Table2[AwayTeam], D$1)+SUMIFS(Table2[NewPointsHome],Table2[GameDate], "&lt;=" &amp; $A201, Table2[HomeTeam], D$1)</f>
        <v>0</v>
      </c>
      <c r="E201" s="145">
        <f>SUMIFS(Table2[NewPointsAway],Table2[GameDate], "&lt;=" &amp; $A201, Table2[AwayTeam], E$1)+SUMIFS(Table2[NewPointsHome],Table2[GameDate], "&lt;=" &amp; $A201, Table2[HomeTeam], E$1)</f>
        <v>0</v>
      </c>
      <c r="F201" s="145">
        <f>SUMIFS(Table2[NewPointsAway],Table2[GameDate], "&lt;=" &amp; $A201, Table2[AwayTeam], F$1)+SUMIFS(Table2[NewPointsHome],Table2[GameDate], "&lt;=" &amp; $A201, Table2[HomeTeam], F$1)</f>
        <v>0</v>
      </c>
      <c r="G201" s="145">
        <f>SUMIFS(Table2[NewPointsAway],Table2[GameDate], "&lt;=" &amp; $A201, Table2[AwayTeam], G$1)+SUMIFS(Table2[NewPointsHome],Table2[GameDate], "&lt;=" &amp; $A201, Table2[HomeTeam], G$1)</f>
        <v>2</v>
      </c>
      <c r="H201" s="145">
        <f>SUMIFS(Table2[NewPointsAway],Table2[GameDate], "&lt;=" &amp; $A201, Table2[AwayTeam], H$1)+SUMIFS(Table2[NewPointsHome],Table2[GameDate], "&lt;=" &amp; $A201, Table2[HomeTeam], H$1)</f>
        <v>0</v>
      </c>
      <c r="I201" s="145">
        <f>SUMIFS(Table2[NewPointsAway],Table2[GameDate], "&lt;=" &amp; $A201, Table2[AwayTeam], I$1)+SUMIFS(Table2[NewPointsHome],Table2[GameDate], "&lt;=" &amp; $A201, Table2[HomeTeam], I$1)</f>
        <v>2</v>
      </c>
      <c r="J201" s="145">
        <f>SUMIFS(Table2[NewPointsAway],Table2[GameDate], "&lt;=" &amp; $A201, Table2[AwayTeam], J$1)+SUMIFS(Table2[NewPointsHome],Table2[GameDate], "&lt;=" &amp; $A201, Table2[HomeTeam], J$1)</f>
        <v>0</v>
      </c>
      <c r="K201" s="145">
        <f>SUMIFS(Table2[NewPointsAway],Table2[GameDate], "&lt;=" &amp; $A201, Table2[AwayTeam], K$1)+SUMIFS(Table2[NewPointsHome],Table2[GameDate], "&lt;=" &amp; $A201, Table2[HomeTeam], K$1)</f>
        <v>0</v>
      </c>
      <c r="L201" s="145">
        <f>SUMIFS(Table2[NewPointsAway],Table2[GameDate], "&lt;=" &amp; $A201, Table2[AwayTeam], L$1)+SUMIFS(Table2[NewPointsHome],Table2[GameDate], "&lt;=" &amp; $A201, Table2[HomeTeam], L$1)</f>
        <v>1</v>
      </c>
      <c r="M201" s="145">
        <f>SUMIFS(Table2[NewPointsAway],Table2[GameDate], "&lt;=" &amp; $A201, Table2[AwayTeam], M$1)+SUMIFS(Table2[NewPointsHome],Table2[GameDate], "&lt;=" &amp; $A201, Table2[HomeTeam], M$1)</f>
        <v>2</v>
      </c>
      <c r="N201" s="145">
        <f>SUMIFS(Table2[NewPointsAway],Table2[GameDate], "&lt;=" &amp; $A201, Table2[AwayTeam], N$1)+SUMIFS(Table2[NewPointsHome],Table2[GameDate], "&lt;=" &amp; $A201, Table2[HomeTeam], N$1)</f>
        <v>2</v>
      </c>
      <c r="O201" s="145">
        <f>SUMIFS(Table2[NewPointsAway],Table2[GameDate], "&lt;=" &amp; $A201, Table2[AwayTeam], O$1)+SUMIFS(Table2[NewPointsHome],Table2[GameDate], "&lt;=" &amp; $A201, Table2[HomeTeam], O$1)</f>
        <v>0</v>
      </c>
      <c r="P201" s="145">
        <f>SUMIFS(Table2[NewPointsAway],Table2[GameDate], "&lt;=" &amp; $A201, Table2[AwayTeam], P$1)+SUMIFS(Table2[NewPointsHome],Table2[GameDate], "&lt;=" &amp; $A201, Table2[HomeTeam], P$1)</f>
        <v>0</v>
      </c>
      <c r="Q201" s="145">
        <f>SUMIFS(Table2[NewPointsAway],Table2[GameDate], "&lt;=" &amp; $A201, Table2[AwayTeam], Q$1)+SUMIFS(Table2[NewPointsHome],Table2[GameDate], "&lt;=" &amp; $A201, Table2[HomeTeam], Q$1)</f>
        <v>0</v>
      </c>
      <c r="R201" s="145">
        <f>SUMIFS(Table2[NewPointsAway],Table2[GameDate], "&lt;=" &amp; $A201, Table2[AwayTeam], R$1)+SUMIFS(Table2[NewPointsHome],Table2[GameDate], "&lt;=" &amp; $A201, Table2[HomeTeam], R$1)</f>
        <v>0</v>
      </c>
      <c r="S201" s="145">
        <f>SUMIFS(Table2[NewPointsAway],Table2[GameDate], "&lt;=" &amp; $A201, Table2[AwayTeam], S$1)+SUMIFS(Table2[NewPointsHome],Table2[GameDate], "&lt;=" &amp; $A201, Table2[HomeTeam], S$1)</f>
        <v>0</v>
      </c>
      <c r="T201" s="145">
        <f>SUMIFS(Table2[NewPointsAway],Table2[GameDate], "&lt;=" &amp; $A201, Table2[AwayTeam], T$1)+SUMIFS(Table2[NewPointsHome],Table2[GameDate], "&lt;=" &amp; $A201, Table2[HomeTeam], T$1)</f>
        <v>0</v>
      </c>
      <c r="U201" s="145">
        <f>SUMIFS(Table2[NewPointsAway],Table2[GameDate], "&lt;=" &amp; $A201, Table2[AwayTeam], U$1)+SUMIFS(Table2[NewPointsHome],Table2[GameDate], "&lt;=" &amp; $A201, Table2[HomeTeam], U$1)</f>
        <v>0</v>
      </c>
      <c r="V201" s="145">
        <f>SUMIFS(Table2[NewPointsAway],Table2[GameDate], "&lt;=" &amp; $A201, Table2[AwayTeam], V$1)+SUMIFS(Table2[NewPointsHome],Table2[GameDate], "&lt;=" &amp; $A201, Table2[HomeTeam], V$1)</f>
        <v>0</v>
      </c>
      <c r="W201" s="145">
        <f>SUMIFS(Table2[NewPointsAway],Table2[GameDate], "&lt;=" &amp; $A201, Table2[AwayTeam], W$1)+SUMIFS(Table2[NewPointsHome],Table2[GameDate], "&lt;=" &amp; $A201, Table2[HomeTeam], W$1)</f>
        <v>2</v>
      </c>
      <c r="X201" s="145">
        <f>SUMIFS(Table2[NewPointsAway],Table2[GameDate], "&lt;=" &amp; $A201, Table2[AwayTeam], X$1)+SUMIFS(Table2[NewPointsHome],Table2[GameDate], "&lt;=" &amp; $A201, Table2[HomeTeam], X$1)</f>
        <v>0</v>
      </c>
      <c r="Y201" s="145">
        <f>SUMIFS(Table2[NewPointsAway],Table2[GameDate], "&lt;=" &amp; $A201, Table2[AwayTeam], Y$1)+SUMIFS(Table2[NewPointsHome],Table2[GameDate], "&lt;=" &amp; $A201, Table2[HomeTeam], Y$1)</f>
        <v>0</v>
      </c>
      <c r="Z201" s="145">
        <f>SUMIFS(Table2[NewPointsAway],Table2[GameDate], "&lt;=" &amp; $A201, Table2[AwayTeam], Z$1)+SUMIFS(Table2[NewPointsHome],Table2[GameDate], "&lt;=" &amp; $A201, Table2[HomeTeam], Z$1)</f>
        <v>0</v>
      </c>
      <c r="AA201" s="145">
        <f>SUMIFS(Table2[NewPointsAway],Table2[GameDate], "&lt;=" &amp; $A201, Table2[AwayTeam], AA$1)+SUMIFS(Table2[NewPointsHome],Table2[GameDate], "&lt;=" &amp; $A201, Table2[HomeTeam], AA$1)</f>
        <v>0</v>
      </c>
      <c r="AB201" s="145">
        <f>SUMIFS(Table2[NewPointsAway],Table2[GameDate], "&lt;=" &amp; $A201, Table2[AwayTeam], AB$1)+SUMIFS(Table2[NewPointsHome],Table2[GameDate], "&lt;=" &amp; $A201, Table2[HomeTeam], AB$1)</f>
        <v>2</v>
      </c>
      <c r="AC201" s="145">
        <f>SUMIFS(Table2[NewPointsAway],Table2[GameDate], "&lt;=" &amp; $A201, Table2[AwayTeam], AC$1)+SUMIFS(Table2[NewPointsHome],Table2[GameDate], "&lt;=" &amp; $A201, Table2[HomeTeam], AC$1)</f>
        <v>0</v>
      </c>
      <c r="AD201" s="145">
        <f>SUMIFS(Table2[NewPointsAway],Table2[GameDate], "&lt;=" &amp; $A201, Table2[AwayTeam], AD$1)+SUMIFS(Table2[NewPointsHome],Table2[GameDate], "&lt;=" &amp; $A201, Table2[HomeTeam], AD$1)</f>
        <v>0</v>
      </c>
      <c r="AE201" s="145">
        <f>SUMIFS(Table2[NewPointsAway],Table2[GameDate], "&lt;=" &amp; $A201, Table2[AwayTeam], AE$1)+SUMIFS(Table2[NewPointsHome],Table2[GameDate], "&lt;=" &amp; $A201, Table2[HomeTeam], AE$1)</f>
        <v>1</v>
      </c>
      <c r="AF201" s="145">
        <f>SUMIFS(Table2[NewPointsAway],Table2[GameDate], "&lt;=" &amp; $A201, Table2[AwayTeam], AF$1)+SUMIFS(Table2[NewPointsHome],Table2[GameDate], "&lt;=" &amp; $A201, Table2[HomeTeam], AF$1)</f>
        <v>0</v>
      </c>
      <c r="AG201" s="145">
        <f>SUMIFS(Table2[NewPointsAway],Table2[GameDate], "&lt;=" &amp; $A201, Table2[AwayTeam], AG$1)+SUMIFS(Table2[NewPointsHome],Table2[GameDate], "&lt;=" &amp; $A201, Table2[HomeTeam], AG$1)</f>
        <v>0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workbookViewId="0">
      <pane xSplit="1" topLeftCell="B1" activePane="topRight" state="frozen"/>
      <selection pane="topRight" activeCell="I2" sqref="I2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722</v>
      </c>
      <c r="E1" s="22" t="s">
        <v>723</v>
      </c>
      <c r="F1" s="22" t="s">
        <v>725</v>
      </c>
      <c r="G1" s="22" t="s">
        <v>724</v>
      </c>
      <c r="H1" s="22" t="s">
        <v>548</v>
      </c>
      <c r="I1" s="22" t="s">
        <v>549</v>
      </c>
      <c r="J1" s="22" t="s">
        <v>550</v>
      </c>
      <c r="K1" s="22" t="s">
        <v>551</v>
      </c>
      <c r="L1" s="22" t="s">
        <v>552</v>
      </c>
      <c r="M1" s="22" t="s">
        <v>553</v>
      </c>
      <c r="N1" s="22" t="s">
        <v>554</v>
      </c>
      <c r="O1" s="22" t="s">
        <v>555</v>
      </c>
      <c r="P1" s="22" t="s">
        <v>556</v>
      </c>
      <c r="Q1" s="22" t="s">
        <v>557</v>
      </c>
      <c r="R1" s="22" t="s">
        <v>558</v>
      </c>
      <c r="S1" s="22" t="s">
        <v>559</v>
      </c>
      <c r="T1" s="22" t="s">
        <v>560</v>
      </c>
      <c r="U1" s="22" t="s">
        <v>561</v>
      </c>
      <c r="V1" s="22" t="s">
        <v>562</v>
      </c>
      <c r="W1" s="22" t="s">
        <v>563</v>
      </c>
      <c r="X1" s="22" t="s">
        <v>564</v>
      </c>
      <c r="Y1" s="22" t="s">
        <v>565</v>
      </c>
      <c r="Z1" s="22" t="s">
        <v>566</v>
      </c>
      <c r="AA1" s="22" t="s">
        <v>567</v>
      </c>
      <c r="AB1" s="22" t="s">
        <v>568</v>
      </c>
      <c r="AC1" s="22" t="s">
        <v>569</v>
      </c>
      <c r="AD1" s="22" t="s">
        <v>570</v>
      </c>
      <c r="AE1" s="22" t="s">
        <v>571</v>
      </c>
      <c r="AF1" s="22" t="s">
        <v>572</v>
      </c>
      <c r="AG1" s="22" t="s">
        <v>573</v>
      </c>
      <c r="AH1" s="22" t="s">
        <v>574</v>
      </c>
      <c r="AI1" s="22" t="s">
        <v>575</v>
      </c>
      <c r="AJ1" s="22" t="s">
        <v>576</v>
      </c>
      <c r="AK1" s="22" t="s">
        <v>577</v>
      </c>
      <c r="AL1" s="22" t="s">
        <v>578</v>
      </c>
      <c r="AM1" s="22" t="s">
        <v>579</v>
      </c>
      <c r="AN1" s="22" t="s">
        <v>580</v>
      </c>
      <c r="AO1" s="22" t="s">
        <v>581</v>
      </c>
      <c r="AP1" s="22" t="s">
        <v>582</v>
      </c>
      <c r="AQ1" s="22" t="s">
        <v>583</v>
      </c>
      <c r="AR1" s="22" t="s">
        <v>584</v>
      </c>
      <c r="AS1" s="22" t="s">
        <v>585</v>
      </c>
      <c r="AT1" s="22" t="s">
        <v>586</v>
      </c>
      <c r="AU1" s="22" t="s">
        <v>587</v>
      </c>
      <c r="AV1" s="22" t="s">
        <v>588</v>
      </c>
      <c r="AW1" s="22" t="s">
        <v>589</v>
      </c>
      <c r="AX1" s="22" t="s">
        <v>590</v>
      </c>
      <c r="AY1" s="22" t="s">
        <v>591</v>
      </c>
      <c r="AZ1" s="22" t="s">
        <v>592</v>
      </c>
      <c r="BA1" s="22" t="s">
        <v>593</v>
      </c>
      <c r="BB1" s="22" t="s">
        <v>594</v>
      </c>
      <c r="BC1" s="22" t="s">
        <v>595</v>
      </c>
      <c r="BD1" s="22" t="s">
        <v>596</v>
      </c>
      <c r="BE1" s="22" t="s">
        <v>597</v>
      </c>
      <c r="BF1" s="22" t="s">
        <v>598</v>
      </c>
      <c r="BG1" s="22" t="s">
        <v>599</v>
      </c>
      <c r="BH1" s="22" t="s">
        <v>600</v>
      </c>
      <c r="BI1" s="22" t="s">
        <v>601</v>
      </c>
      <c r="BJ1" s="22" t="s">
        <v>602</v>
      </c>
      <c r="BK1" s="22" t="s">
        <v>726</v>
      </c>
      <c r="BL1" s="22" t="s">
        <v>603</v>
      </c>
      <c r="BM1" s="22" t="s">
        <v>604</v>
      </c>
      <c r="BN1" s="22" t="s">
        <v>605</v>
      </c>
      <c r="BO1" s="22" t="s">
        <v>606</v>
      </c>
      <c r="BP1" s="22" t="s">
        <v>607</v>
      </c>
      <c r="BQ1" s="22" t="s">
        <v>608</v>
      </c>
      <c r="BR1" s="22" t="s">
        <v>609</v>
      </c>
      <c r="BS1" s="22" t="s">
        <v>610</v>
      </c>
      <c r="BT1" s="22" t="s">
        <v>611</v>
      </c>
      <c r="BU1" s="22" t="s">
        <v>612</v>
      </c>
      <c r="BV1" s="22" t="s">
        <v>613</v>
      </c>
      <c r="BW1" s="22" t="s">
        <v>614</v>
      </c>
      <c r="BX1" s="22" t="s">
        <v>615</v>
      </c>
      <c r="BY1" s="22" t="s">
        <v>616</v>
      </c>
      <c r="BZ1" s="22" t="s">
        <v>617</v>
      </c>
      <c r="CA1" s="22" t="s">
        <v>618</v>
      </c>
      <c r="CB1" s="22" t="s">
        <v>619</v>
      </c>
      <c r="CC1" s="22" t="s">
        <v>620</v>
      </c>
      <c r="CD1" s="22" t="s">
        <v>621</v>
      </c>
      <c r="CE1" s="22" t="s">
        <v>622</v>
      </c>
      <c r="CF1" s="22" t="s">
        <v>623</v>
      </c>
      <c r="CG1" s="22" t="s">
        <v>624</v>
      </c>
      <c r="CH1" s="22" t="s">
        <v>625</v>
      </c>
      <c r="CI1" s="22" t="s">
        <v>727</v>
      </c>
      <c r="CJ1" s="22" t="s">
        <v>728</v>
      </c>
      <c r="CK1" s="22" t="s">
        <v>626</v>
      </c>
      <c r="CL1" s="22" t="s">
        <v>627</v>
      </c>
      <c r="CM1" s="22" t="s">
        <v>628</v>
      </c>
      <c r="CN1" s="22" t="s">
        <v>629</v>
      </c>
      <c r="CO1" s="22" t="s">
        <v>630</v>
      </c>
      <c r="CP1" s="22" t="s">
        <v>631</v>
      </c>
      <c r="CQ1" s="22" t="s">
        <v>632</v>
      </c>
      <c r="CR1" s="22" t="s">
        <v>633</v>
      </c>
      <c r="CS1" s="22" t="s">
        <v>634</v>
      </c>
      <c r="CT1" s="22" t="s">
        <v>635</v>
      </c>
      <c r="CU1" s="22" t="s">
        <v>636</v>
      </c>
      <c r="CV1" s="22" t="s">
        <v>637</v>
      </c>
      <c r="CW1" s="22" t="s">
        <v>638</v>
      </c>
      <c r="CX1" s="22" t="s">
        <v>639</v>
      </c>
      <c r="CY1" s="22" t="s">
        <v>640</v>
      </c>
      <c r="CZ1" s="22" t="s">
        <v>641</v>
      </c>
      <c r="DA1" s="22" t="s">
        <v>642</v>
      </c>
      <c r="DB1" s="22" t="s">
        <v>643</v>
      </c>
      <c r="DC1" s="22" t="s">
        <v>644</v>
      </c>
      <c r="DD1" s="22" t="s">
        <v>645</v>
      </c>
      <c r="DE1" s="22" t="s">
        <v>646</v>
      </c>
      <c r="DF1" s="22" t="s">
        <v>647</v>
      </c>
      <c r="DG1" s="22" t="s">
        <v>648</v>
      </c>
      <c r="DH1" s="22" t="s">
        <v>649</v>
      </c>
      <c r="DI1" s="22" t="s">
        <v>650</v>
      </c>
      <c r="DJ1" s="22" t="s">
        <v>651</v>
      </c>
      <c r="DK1" s="22" t="s">
        <v>652</v>
      </c>
      <c r="DL1" s="22" t="s">
        <v>653</v>
      </c>
      <c r="DM1" s="22" t="s">
        <v>654</v>
      </c>
      <c r="DN1" s="22" t="s">
        <v>655</v>
      </c>
      <c r="DO1" s="22" t="s">
        <v>656</v>
      </c>
      <c r="DP1" s="22" t="s">
        <v>657</v>
      </c>
      <c r="DQ1" s="22" t="s">
        <v>658</v>
      </c>
      <c r="DR1" s="22" t="s">
        <v>659</v>
      </c>
      <c r="DS1" s="22" t="s">
        <v>660</v>
      </c>
      <c r="DT1" s="22" t="s">
        <v>661</v>
      </c>
      <c r="DU1" s="22" t="s">
        <v>662</v>
      </c>
      <c r="DV1" s="22" t="s">
        <v>663</v>
      </c>
      <c r="DW1" s="22" t="s">
        <v>664</v>
      </c>
      <c r="DX1" s="22" t="s">
        <v>665</v>
      </c>
      <c r="DY1" s="22" t="s">
        <v>666</v>
      </c>
      <c r="DZ1" s="22" t="s">
        <v>667</v>
      </c>
      <c r="EA1" s="22" t="s">
        <v>729</v>
      </c>
      <c r="EB1" s="22" t="s">
        <v>730</v>
      </c>
      <c r="EC1" s="22" t="s">
        <v>731</v>
      </c>
      <c r="ED1" s="22" t="s">
        <v>732</v>
      </c>
      <c r="EE1" s="22" t="s">
        <v>733</v>
      </c>
      <c r="EF1" s="22" t="s">
        <v>734</v>
      </c>
      <c r="EG1" s="22" t="s">
        <v>735</v>
      </c>
      <c r="EH1" s="22" t="s">
        <v>736</v>
      </c>
      <c r="EI1" s="22" t="s">
        <v>737</v>
      </c>
      <c r="EJ1" s="22" t="s">
        <v>738</v>
      </c>
      <c r="EK1" s="22" t="s">
        <v>739</v>
      </c>
      <c r="EL1" s="22" t="s">
        <v>740</v>
      </c>
      <c r="EM1" s="22" t="s">
        <v>741</v>
      </c>
      <c r="EN1" s="22" t="s">
        <v>742</v>
      </c>
      <c r="EO1" s="22" t="s">
        <v>743</v>
      </c>
      <c r="EP1" s="22" t="s">
        <v>744</v>
      </c>
      <c r="EQ1" s="22" t="s">
        <v>745</v>
      </c>
      <c r="ER1" s="22" t="s">
        <v>746</v>
      </c>
      <c r="ES1" s="22" t="s">
        <v>747</v>
      </c>
      <c r="ET1" s="22" t="s">
        <v>668</v>
      </c>
      <c r="EU1" s="22" t="s">
        <v>669</v>
      </c>
      <c r="EV1" s="22" t="s">
        <v>670</v>
      </c>
      <c r="EW1" s="22" t="s">
        <v>671</v>
      </c>
      <c r="EX1" s="22" t="s">
        <v>672</v>
      </c>
      <c r="EY1" s="22" t="s">
        <v>673</v>
      </c>
      <c r="EZ1" s="22" t="s">
        <v>674</v>
      </c>
      <c r="FA1" s="22" t="s">
        <v>675</v>
      </c>
      <c r="FB1" s="22" t="s">
        <v>676</v>
      </c>
      <c r="FC1" s="22" t="s">
        <v>677</v>
      </c>
      <c r="FD1" s="22" t="s">
        <v>678</v>
      </c>
      <c r="FE1" s="22" t="s">
        <v>679</v>
      </c>
      <c r="FF1" s="22" t="s">
        <v>680</v>
      </c>
      <c r="FG1" s="22" t="s">
        <v>681</v>
      </c>
      <c r="FH1" s="22" t="s">
        <v>682</v>
      </c>
      <c r="FI1" s="22" t="s">
        <v>683</v>
      </c>
      <c r="FJ1" s="22" t="s">
        <v>684</v>
      </c>
      <c r="FK1" s="22" t="s">
        <v>685</v>
      </c>
      <c r="FL1" s="22" t="s">
        <v>686</v>
      </c>
      <c r="FM1" s="22" t="s">
        <v>687</v>
      </c>
      <c r="FN1" s="22" t="s">
        <v>688</v>
      </c>
      <c r="FO1" s="22" t="s">
        <v>689</v>
      </c>
      <c r="FP1" s="22" t="s">
        <v>690</v>
      </c>
      <c r="FQ1" s="22" t="s">
        <v>691</v>
      </c>
      <c r="FR1" s="22" t="s">
        <v>692</v>
      </c>
      <c r="FS1" s="22" t="s">
        <v>693</v>
      </c>
      <c r="FT1" s="22" t="s">
        <v>694</v>
      </c>
      <c r="FU1" s="22" t="s">
        <v>695</v>
      </c>
      <c r="FV1" s="22" t="s">
        <v>696</v>
      </c>
      <c r="FW1" s="22" t="s">
        <v>697</v>
      </c>
      <c r="FX1" s="22" t="s">
        <v>698</v>
      </c>
      <c r="FY1" s="22" t="s">
        <v>699</v>
      </c>
      <c r="FZ1" s="22" t="s">
        <v>700</v>
      </c>
      <c r="GA1" s="22" t="s">
        <v>701</v>
      </c>
      <c r="GB1" s="22" t="s">
        <v>702</v>
      </c>
      <c r="GC1" s="22" t="s">
        <v>703</v>
      </c>
      <c r="GD1" s="22" t="s">
        <v>704</v>
      </c>
      <c r="GE1" s="22" t="s">
        <v>705</v>
      </c>
      <c r="GF1" s="22" t="s">
        <v>706</v>
      </c>
      <c r="GG1" s="22" t="s">
        <v>707</v>
      </c>
      <c r="GH1" s="22" t="s">
        <v>708</v>
      </c>
      <c r="GI1" s="22" t="s">
        <v>709</v>
      </c>
      <c r="GJ1" s="22" t="s">
        <v>710</v>
      </c>
      <c r="GK1" s="22" t="s">
        <v>711</v>
      </c>
      <c r="GL1" s="22" t="s">
        <v>712</v>
      </c>
      <c r="GM1" s="22" t="s">
        <v>713</v>
      </c>
      <c r="GN1" s="22" t="s">
        <v>714</v>
      </c>
      <c r="GO1" s="22" t="s">
        <v>715</v>
      </c>
      <c r="GP1" s="22" t="s">
        <v>716</v>
      </c>
      <c r="GQ1" s="22" t="s">
        <v>717</v>
      </c>
      <c r="GR1" s="22" t="s">
        <v>718</v>
      </c>
      <c r="GS1" s="22" t="s">
        <v>748</v>
      </c>
      <c r="GT1" s="22" t="s">
        <v>749</v>
      </c>
      <c r="GU1" s="22" t="s">
        <v>750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17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0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2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2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2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2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2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2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2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2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2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2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2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2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2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2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2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2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2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2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2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2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2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2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2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2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2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2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2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2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2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2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2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2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2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2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2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2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2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2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2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2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2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2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2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2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2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2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2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2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2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2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2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2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2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2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2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2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2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2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2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2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2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2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2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2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2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2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2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2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2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2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2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2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2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2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2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2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2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2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2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2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2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2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2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2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2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2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2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2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2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2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2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2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2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2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2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2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2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2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2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2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2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2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2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2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2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2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2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2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2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2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2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2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2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2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2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2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2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2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2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2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2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2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2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2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2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2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2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2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2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2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2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2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2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2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2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2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2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2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2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2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2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2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2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2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2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2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2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2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2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2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2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2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2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2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2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2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2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2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2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2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2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2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2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2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2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2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2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2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2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2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2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2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2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2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2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2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2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2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2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2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2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2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2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2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2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2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2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2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2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2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2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2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2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2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2</v>
      </c>
    </row>
    <row r="3" spans="1:275" x14ac:dyDescent="0.25">
      <c r="A3" t="s">
        <v>40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0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0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0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0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0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0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0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0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0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0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0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0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0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0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0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0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0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0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0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0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0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0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0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0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0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0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0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0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0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0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0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0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0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0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0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0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0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0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0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0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0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0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0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0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0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0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0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0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0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0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0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0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0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0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0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0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0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0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0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0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0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0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0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0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0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0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0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0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0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0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0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0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0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0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0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0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0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0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0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0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0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0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0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0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0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0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0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0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0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0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0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0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0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0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0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0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0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0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0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0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0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0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0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0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0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0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0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0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0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0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0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0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0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0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0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0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0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0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0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0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0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0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0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0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0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0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0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0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0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0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0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0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0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0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0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0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0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0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0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0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0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0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0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0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0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0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0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0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0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0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0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0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0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0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0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0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0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0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0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0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0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0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0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0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0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0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0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0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0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0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0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0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0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0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0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0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0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0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0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0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0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0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0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0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0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0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0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0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0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0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0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0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0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0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0</v>
      </c>
    </row>
    <row r="4" spans="1:275" x14ac:dyDescent="0.25">
      <c r="A4" t="s">
        <v>13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2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2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2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2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2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2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2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2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2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2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2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2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2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2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2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2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2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2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2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2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2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2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2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2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2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2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2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2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2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2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2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2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2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2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2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2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2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2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2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2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2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2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2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2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2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2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2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2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2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2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2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2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2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2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2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2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2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2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2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2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2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2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2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2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2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2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2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2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2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2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2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2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2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2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2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2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2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2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2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2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2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2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2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2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2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2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2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2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2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2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2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2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2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2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2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2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2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2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2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2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2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2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2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2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2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2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2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2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2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2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2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2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2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2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2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2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2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2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2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2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2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2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2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2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2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2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2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2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2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2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2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2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2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2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2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2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2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2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2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2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2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2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2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2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2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2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2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2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2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2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2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2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2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2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2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2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2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2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2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2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2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2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2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2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2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2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2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2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2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2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2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2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2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2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2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2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2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2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2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2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2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2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2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2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2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2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2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2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2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2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2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2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2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2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2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2</v>
      </c>
    </row>
    <row r="5" spans="1:275" x14ac:dyDescent="0.25">
      <c r="A5" t="s">
        <v>29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0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0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0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0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0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0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0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0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0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0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0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0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0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0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0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0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0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0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0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0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0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0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0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0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0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0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0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0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0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0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0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0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0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0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0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0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0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0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0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0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0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0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0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0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0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0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0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0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0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0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0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0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0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0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0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0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0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0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0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0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0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0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0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0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0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0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0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0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0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0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0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0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0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0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0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0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0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0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0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0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0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0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0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0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0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0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0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0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0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0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0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0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0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0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0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0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0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0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0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0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0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0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0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0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0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0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0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0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0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0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0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0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0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0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0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0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0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0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0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0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0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0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0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0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0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0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0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0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0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0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0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0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0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0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0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0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0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0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0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0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0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0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0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0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0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0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0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0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0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0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0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0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0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0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0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0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0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0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0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0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0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0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0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0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0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0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0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0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0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0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0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0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0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0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0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0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0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0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0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0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0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0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0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0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0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0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0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0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0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0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0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0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0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0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0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0</v>
      </c>
    </row>
    <row r="6" spans="1:275" x14ac:dyDescent="0.25">
      <c r="A6" t="s">
        <v>18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0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0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0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0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0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0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0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0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0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0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0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0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0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0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0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0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0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0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0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0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0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0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0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0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0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0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0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0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0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0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0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0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0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0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0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0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0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0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0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0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0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0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0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0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0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0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0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0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0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0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0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0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0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0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0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0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0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0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0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0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0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0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0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0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0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0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0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0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0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0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0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0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0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0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0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0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0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0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0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0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0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0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0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0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0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0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0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0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0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0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0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0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0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0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0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0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0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0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0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0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0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0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0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0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0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0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0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0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0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0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0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0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0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0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0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0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0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0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0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0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0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0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0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0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0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0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0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0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0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0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0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0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0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0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0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0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0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0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0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0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0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0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0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0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0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0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0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0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0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0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0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0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0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0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0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0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0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0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0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0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0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0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0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0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0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0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0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0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0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0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0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0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0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0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0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0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0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0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0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0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0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0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0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0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0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0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0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0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0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0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0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0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0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0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0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0</v>
      </c>
    </row>
    <row r="7" spans="1:275" x14ac:dyDescent="0.25">
      <c r="A7" t="s">
        <v>30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0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0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0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0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0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0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0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0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0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0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0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0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0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0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0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0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0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0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0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0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0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0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0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0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0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0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0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0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0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0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0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0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0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0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0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0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0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0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0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0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0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0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0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0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0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0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0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0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0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0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0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0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0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0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0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0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0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0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0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0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0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0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0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0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0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0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0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0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0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0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0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0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0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0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0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0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0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0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0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0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0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0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0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0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0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0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0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0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0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0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0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0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0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0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0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0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0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0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0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0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0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0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0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0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0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0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0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0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0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0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0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0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0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0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0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0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0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0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0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0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0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0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0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0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0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0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0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0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0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0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0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0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0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0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0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0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0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0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0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0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0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0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0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0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0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0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0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0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0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0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0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0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0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0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0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0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0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0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0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0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0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0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0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0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0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0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0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0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0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0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0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0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0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0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0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0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0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0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0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0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0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0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0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0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0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0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0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0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0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0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0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0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0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0</v>
      </c>
    </row>
    <row r="8" spans="1:275" x14ac:dyDescent="0.25">
      <c r="A8" t="s">
        <v>28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0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0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0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0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0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0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0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0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0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0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0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0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0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0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0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0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0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0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0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0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0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0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0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0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0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0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0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0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0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0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0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0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0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0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0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0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0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0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0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0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0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0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0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0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0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0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0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0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0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0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0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0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0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0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0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0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0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0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0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0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0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0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0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0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0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0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0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0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0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0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0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0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0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0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0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0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0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0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0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0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0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0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0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0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0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0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0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0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0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0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0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0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0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0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0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0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0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0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0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0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0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0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0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0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0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0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0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0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0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0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0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0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0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0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0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0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0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0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0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0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0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0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0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0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0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0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0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0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0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0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0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0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0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0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0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0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0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0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0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0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0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0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0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0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0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0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0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0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0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0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0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0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0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0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0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0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0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0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0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0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0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0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0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0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0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0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0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0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0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0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0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0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0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0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0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0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0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0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0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0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0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0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0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0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0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0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0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0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0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0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0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0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0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0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0</v>
      </c>
    </row>
    <row r="9" spans="1:275" x14ac:dyDescent="0.25">
      <c r="A9" t="s">
        <v>15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2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2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2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2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2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2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2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2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2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2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2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2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2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2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2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2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2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2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2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2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2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2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2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2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2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2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2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2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2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2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2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2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2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2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2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2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2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2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2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2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2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2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2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2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2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2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2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2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2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2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2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2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2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2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2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2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2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2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2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2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2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2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2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2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2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2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2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2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2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2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2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2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2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2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2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2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2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2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2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2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2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2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2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2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2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2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2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2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2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2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2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2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2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2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2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2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2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2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2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2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2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2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2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2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2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2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2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2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2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2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2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2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2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2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2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2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2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2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2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2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2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2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2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2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2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2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2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2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2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2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2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2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2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2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2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2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2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2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2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2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2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2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2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2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2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2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2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2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2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2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2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2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2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2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2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2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2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2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2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2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2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2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2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2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2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2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2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2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2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2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2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2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2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2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2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2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2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2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2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2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2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2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2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2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2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2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2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2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2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2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2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2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2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2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2</v>
      </c>
    </row>
    <row r="10" spans="1:275" x14ac:dyDescent="0.25">
      <c r="A10" t="s">
        <v>43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0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0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0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0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0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0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0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0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0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0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0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0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0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0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0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0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0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0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0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0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0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0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0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0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0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0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0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0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0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0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0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0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0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0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0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0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0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0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0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0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0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0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0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0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0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0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0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0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0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0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0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0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0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0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0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0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0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0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0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0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0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0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0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0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0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0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0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0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0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0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0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0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0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0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0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0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0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0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0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0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0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0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0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0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0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0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0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0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0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0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0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0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0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0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0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0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0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0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0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0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0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0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0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0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0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0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0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0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0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0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0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0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0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0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0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0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0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0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0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0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0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0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0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0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0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0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0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0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0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0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0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0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0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0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0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0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0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0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0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0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0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0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0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0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0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0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0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0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0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0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0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0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0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0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0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0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0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0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0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0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0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0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0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0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0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0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0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0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0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0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0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0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0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0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0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0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0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0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0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0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0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0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0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0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0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0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0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0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0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0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0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0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0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0</v>
      </c>
    </row>
    <row r="11" spans="1:275" x14ac:dyDescent="0.25">
      <c r="A11" t="s">
        <v>41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0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0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0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0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0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0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0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0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0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0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0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0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0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0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0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0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0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0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0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0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0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0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0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0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0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0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0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0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0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0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0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0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0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0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0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0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0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0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0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0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0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0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0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0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0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0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0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0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0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0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0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0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0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0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0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0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0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0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0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0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0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0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0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0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0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0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0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0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0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0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0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0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0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0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0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0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0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0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0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0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0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0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0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0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0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0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0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0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0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0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0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0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0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0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0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0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0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0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0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0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0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0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0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0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0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0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0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0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0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0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0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0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0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0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0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0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0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0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0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0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0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0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0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0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0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0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0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0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0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0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0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0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0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0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0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0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0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0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0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0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0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0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0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0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0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0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0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0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0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0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0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0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0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0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0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0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0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0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0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0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0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0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0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0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0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0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0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0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0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0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0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0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0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0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0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0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0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0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0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0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0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0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0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0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0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0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0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0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0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0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0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0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0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0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0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0</v>
      </c>
    </row>
    <row r="12" spans="1:275" x14ac:dyDescent="0.25">
      <c r="A12" t="s">
        <v>31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0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0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0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0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0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0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0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0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0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0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0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0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0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0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0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0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0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0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0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0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0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0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0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0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0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0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0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0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0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0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0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0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0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0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0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0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0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0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0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0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0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0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0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0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0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0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0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0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0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0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0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0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0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0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0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0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0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0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0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0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0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0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0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0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0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0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0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0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0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0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0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0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0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0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0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0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0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0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0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0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0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0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0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0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0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0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0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0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0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0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0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0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0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0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0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0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0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0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0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0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0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0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0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0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0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0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0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0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0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0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0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0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0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0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0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0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0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0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0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0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0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0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0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0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0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0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0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0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0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0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0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0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0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0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0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0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0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0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0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0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0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0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0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0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0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0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0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0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0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0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0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0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0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0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0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0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0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0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0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0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0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0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0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0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0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0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0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0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0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0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0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0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0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0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0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0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0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0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0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0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0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0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0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0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0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0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0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0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0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0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0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0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0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0</v>
      </c>
    </row>
    <row r="13" spans="1:275" x14ac:dyDescent="0.25">
      <c r="A13" t="s">
        <v>35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0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0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0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0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0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0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0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0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0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0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0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0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0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0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0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0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0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0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0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0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0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0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0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0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0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0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0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0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0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0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0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0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0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0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0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0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0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0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0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0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0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0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0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0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0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0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0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0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0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0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0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0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0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0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0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0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0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0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0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0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0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0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0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0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0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0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0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0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0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0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0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0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0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0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0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0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0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0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0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0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0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0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0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0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0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0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0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0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0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0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0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0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0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0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0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0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0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0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0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0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0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0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0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0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0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0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0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0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0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0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0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0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0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0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0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0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0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0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0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0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0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0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0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0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0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0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0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0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0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0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0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0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0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0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0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0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0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0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0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0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0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0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0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0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0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0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0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0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0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0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0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0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0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0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0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0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0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0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0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0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0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0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0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0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0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0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0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0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0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0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0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0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0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0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0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0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0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0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0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0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0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0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0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0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0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0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0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0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0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0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0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0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0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0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0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0</v>
      </c>
    </row>
    <row r="14" spans="1:275" x14ac:dyDescent="0.25">
      <c r="A14" t="s">
        <v>19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0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0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0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0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0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0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0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0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0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0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0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0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0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0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0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0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0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0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0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0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0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0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0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0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0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0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0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0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0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0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0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0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0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0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0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0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0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0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0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0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0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0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0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0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0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0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0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0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0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0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0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0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0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0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0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0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0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0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0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0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0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0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0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0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0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0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0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0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0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0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0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0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0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0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0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0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0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0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0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0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0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0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0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0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0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0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0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0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0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0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0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0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0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0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0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0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0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0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0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0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0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0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0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0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0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0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0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0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0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0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0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0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0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0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0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0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0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0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0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0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0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0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0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0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0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0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0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0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0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0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0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0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0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0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0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0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0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0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0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0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0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0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0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0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0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0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0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0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0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0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0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0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0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0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0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0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0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0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0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0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0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0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0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0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0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0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0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0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0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0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0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0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0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0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0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0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0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0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0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0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0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0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0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0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0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0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0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0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0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0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0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0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0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0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0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0</v>
      </c>
    </row>
    <row r="15" spans="1:275" x14ac:dyDescent="0.25">
      <c r="A15" t="s">
        <v>32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0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0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0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0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0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0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0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0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0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0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0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0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0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0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0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0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0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0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0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0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0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0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0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0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0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0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0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0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0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0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0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0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0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0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0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0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0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0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0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0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0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0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0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0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0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0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0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0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0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0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0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0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0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0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0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0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0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0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0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0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0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0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0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0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0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0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0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0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0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0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0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0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0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0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0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0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0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0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0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0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0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0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0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0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0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0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0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0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0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0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0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0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0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0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0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0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0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0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0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0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0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0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0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0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0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0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0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0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0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0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0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0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0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0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0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0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0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0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0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0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0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0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0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0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0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0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0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0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0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0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0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0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0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0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0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0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0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0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0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0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0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0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0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0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0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0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0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0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0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0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0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0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0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0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0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0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0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0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0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0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0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0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0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0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0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0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0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0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0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0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0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0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0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0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0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0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0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0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0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0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0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0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0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0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0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0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0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0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0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0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0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0</v>
      </c>
    </row>
    <row r="16" spans="1:275" x14ac:dyDescent="0.25">
      <c r="A16" t="s">
        <v>20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2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2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2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2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2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2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2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2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2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2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2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2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2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2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2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2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2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2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2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2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2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2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2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2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2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2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2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2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2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2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2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2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2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2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2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2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2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2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2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2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2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2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2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2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2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2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2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2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2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2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2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2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2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2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2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2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2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2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2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2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2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2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2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2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2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2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2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2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2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2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2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2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2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2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2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2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2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2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2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2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2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2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2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2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2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2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2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2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2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2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2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2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2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2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2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2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2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2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2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2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2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2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2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2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2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2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2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2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2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2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2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2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2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2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2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2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2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2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2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2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2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2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2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2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2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2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2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2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2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2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2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2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2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2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2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2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2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2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2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2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2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2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2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2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2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2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2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2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2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2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2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2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2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2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2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2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2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2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2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2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2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2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2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2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2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2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2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2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2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2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2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2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2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2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2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2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2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2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2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2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2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2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2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2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2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2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2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2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2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2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2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2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2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2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2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2</v>
      </c>
    </row>
    <row r="17" spans="1:203" x14ac:dyDescent="0.25">
      <c r="A17" t="s">
        <v>42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0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0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0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0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0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0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0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0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0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0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0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0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0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0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0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0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0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0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0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0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0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0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0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0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0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0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0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0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0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0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0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0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0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0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0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0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0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0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0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0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0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0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0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0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0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0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0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0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0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0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0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0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0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0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0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0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0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0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0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0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0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0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0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0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0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0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0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0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0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0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0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0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0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0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0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0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0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0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0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0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0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0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0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0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0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0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0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0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0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0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0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0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0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0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0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0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0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0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0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0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0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0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0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0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0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0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0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0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0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0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0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0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0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0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0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0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0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0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0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0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0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0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0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0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0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0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0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0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0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0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0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0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0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0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0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0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0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0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0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0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0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0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0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0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0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0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0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0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0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0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0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0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0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0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0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0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0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0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0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0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0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0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0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0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0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0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0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0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0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0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0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0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0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0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0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0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0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0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0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0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0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0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0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0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0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0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0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0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0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0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0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0</v>
      </c>
    </row>
    <row r="18" spans="1:203" x14ac:dyDescent="0.25">
      <c r="A18" t="s">
        <v>21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0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0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0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0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0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0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0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0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0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0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0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0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0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0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0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0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0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0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0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0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0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0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0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0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0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0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0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0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0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0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0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0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0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0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0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0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0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0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0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0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0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0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0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0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0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0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0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0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0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0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0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0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0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0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0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0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0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0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0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0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0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0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0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0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0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0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0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0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0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0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0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0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0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0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0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0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0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0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0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0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0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0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0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0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0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0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0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0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0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0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0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0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0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0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0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0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0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0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0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0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0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0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0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0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0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0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0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0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0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0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0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0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0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0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0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0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0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0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0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0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0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0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0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0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0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0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0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0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0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0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0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0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0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0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0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0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0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0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0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0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0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0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0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0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0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0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0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0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0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0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0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0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0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0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0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0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0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0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0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0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0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0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0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0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0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0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0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0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0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0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0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0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0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0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0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0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0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0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0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0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0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0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0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0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0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0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0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0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0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0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0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0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0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0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0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0</v>
      </c>
    </row>
    <row r="19" spans="1:203" x14ac:dyDescent="0.25">
      <c r="A19" t="s">
        <v>33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0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0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0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0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0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0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0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0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0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0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0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0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0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0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0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0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0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0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0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0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0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0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0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0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0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0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0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0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0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0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0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0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0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0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0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0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0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0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0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0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0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0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0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0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0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0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0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0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0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0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0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0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0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0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0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0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0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0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0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0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0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0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0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0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0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0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0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0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0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0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0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0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0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0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0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0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0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0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0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0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0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0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0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0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0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0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0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0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0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0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0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0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0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0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0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0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0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0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0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0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0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0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0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0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0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0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0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0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0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0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0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0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0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0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0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0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0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0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0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0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0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0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0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0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0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0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0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0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0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0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0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0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0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0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0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0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0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0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0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0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0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0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0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0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0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0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0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0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0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0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0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0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0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0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0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0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0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0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0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0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0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0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0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0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0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0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0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0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0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0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0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0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0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0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0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0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0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0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0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0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0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0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0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0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0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0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0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0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0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0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0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0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0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0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0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0</v>
      </c>
    </row>
    <row r="20" spans="1:203" x14ac:dyDescent="0.25">
      <c r="A20" t="s">
        <v>25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2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2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2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2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2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2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2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2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2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2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2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2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2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2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2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2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2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2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2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2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2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2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2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2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2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2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2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2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2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2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2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2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2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2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2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2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2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2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2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2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2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2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2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2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2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2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2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2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2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2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2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2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2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2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2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2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2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2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2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2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2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2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2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2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2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2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2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2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2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2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2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2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2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2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2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2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2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2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2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2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2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2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2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2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2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2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2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2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2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2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2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2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2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2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2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2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2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2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2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2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2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2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2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2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2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2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2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2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2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2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2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2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2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2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2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2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2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2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2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2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2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2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2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2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2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2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2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2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2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2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2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2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2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2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2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2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2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2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2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2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2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2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2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2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2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2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2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2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2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2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2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2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2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2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2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2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2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2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2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2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2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2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2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2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2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2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2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2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2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2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2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2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2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2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2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2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2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2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2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2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2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2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2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2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2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2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2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2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2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2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2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2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2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2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2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2</v>
      </c>
    </row>
    <row r="21" spans="1:203" x14ac:dyDescent="0.25">
      <c r="A21" t="s">
        <v>36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0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0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0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0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0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0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0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0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0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0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0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0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0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0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0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0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0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0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0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0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0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0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0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0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0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0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0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0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0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0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0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0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0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0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0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0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0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0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0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0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0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0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0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0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0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0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0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0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0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0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0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0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0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0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0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0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0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0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0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0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0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0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0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0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0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0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0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0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0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0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0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0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0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0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0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0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0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0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0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0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0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0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0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0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0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0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0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0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0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0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0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0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0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0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0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0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0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0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0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0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0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0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0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0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0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0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0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0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0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0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0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0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0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0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0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0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0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0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0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0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0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0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0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0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0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0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0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0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0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0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0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0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0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0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0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0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0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0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0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0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0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0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0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0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0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0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0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0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0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0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0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0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0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0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0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0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0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0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0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0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0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0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0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0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0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0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0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0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0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0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0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0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0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0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0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0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0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0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0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0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0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0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0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0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0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0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0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0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0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0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0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0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0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0</v>
      </c>
    </row>
    <row r="22" spans="1:203" x14ac:dyDescent="0.25">
      <c r="A22" t="s">
        <v>12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0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0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0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0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0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0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0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0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0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0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0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0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0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0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0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0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0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0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0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0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0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0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0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0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0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0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0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0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0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0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0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0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0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0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0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0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0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0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0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0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0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0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0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0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0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0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0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0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0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0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0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0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0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0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0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0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0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0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0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0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0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0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0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0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0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0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0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0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0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0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0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0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0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0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0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0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0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0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0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0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0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0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0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0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0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0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0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0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0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0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0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0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0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0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0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0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0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0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0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0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0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0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0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0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0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0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0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0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0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0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0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0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0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0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0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0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0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0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0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0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0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0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0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0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0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0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0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0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0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0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0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0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0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0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0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0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0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0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0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0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0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0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0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0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0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0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0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0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0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0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0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0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0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0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0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0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0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0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0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0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0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0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0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0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0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0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0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0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0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0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0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0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0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0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0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0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0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0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0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0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0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0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0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0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0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0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0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0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0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0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0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0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0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0</v>
      </c>
    </row>
    <row r="23" spans="1:203" x14ac:dyDescent="0.25">
      <c r="A23" t="s">
        <v>14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0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0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0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0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0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0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0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0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0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0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0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0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0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0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0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0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0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0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0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0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0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0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0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0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0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0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0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0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0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0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0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0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0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0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0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0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0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0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0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0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0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0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0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0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0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0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0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0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0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0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0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0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0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0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0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0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0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0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0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0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0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0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0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0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0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0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0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0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0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0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0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0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0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0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0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0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0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0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0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0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0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0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0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0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0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0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0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0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0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0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0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0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0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0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0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0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0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0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0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0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0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0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0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0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0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0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0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0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0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0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0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0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0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0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0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0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0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0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0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0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0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0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0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0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0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0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0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0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0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0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0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0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0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0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0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0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0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0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0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0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0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0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0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0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0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0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0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0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0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0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0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0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0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0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0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0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0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0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0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0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0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0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0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0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0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0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0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0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0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0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0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0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0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0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0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0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0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0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0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0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0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0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0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0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0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0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0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0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0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0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0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0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0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0</v>
      </c>
    </row>
    <row r="24" spans="1:203" x14ac:dyDescent="0.25">
      <c r="A24" t="s">
        <v>34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0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0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0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0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0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0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0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0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0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0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0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0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0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0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0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0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0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0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0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0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0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0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0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0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0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0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0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0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0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0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0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0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0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0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0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0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0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0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0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0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0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0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0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0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0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0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0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0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0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0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0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0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0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0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0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0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0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0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0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0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0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0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0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0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0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0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0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0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0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0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0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0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0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0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0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0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0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0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0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0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0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0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0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0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0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0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0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0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0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0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0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0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0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0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0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0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0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0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0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0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0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0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0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0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0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0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0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0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0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0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0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0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0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0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0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0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0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0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0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0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0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0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0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0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0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0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0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0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0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0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0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0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0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0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0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0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0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0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0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0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0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0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0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0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0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0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0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0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0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0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0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0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0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0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0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0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0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0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0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0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0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0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0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0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0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0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0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0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0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0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0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0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0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0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0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0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0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0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0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0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0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0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0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0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0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0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0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0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0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0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0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0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0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0</v>
      </c>
    </row>
    <row r="25" spans="1:203" x14ac:dyDescent="0.25">
      <c r="A25" t="s">
        <v>16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0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0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0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0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0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0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0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0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0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0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0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0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0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0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0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0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0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0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0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0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0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0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0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0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0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0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0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0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0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0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0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0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0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0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0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0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0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0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0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0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0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0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0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0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0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0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0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0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0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0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0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0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0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0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0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0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0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0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0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0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0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0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0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0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0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0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0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0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0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0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0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0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0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0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0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0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0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0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0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0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0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0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0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0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0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0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0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0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0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0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0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0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0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0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0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0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0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0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0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0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0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0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0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0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0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0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0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0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0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0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0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0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0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0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0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0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0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0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0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0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0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0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0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0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0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0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0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0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0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0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0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0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0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0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0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0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0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0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0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0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0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0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0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0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0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0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0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0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0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0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0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0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0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0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0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0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0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0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0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0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0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0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0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0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0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0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0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0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0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0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0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0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0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0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0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0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0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0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0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0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0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0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0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0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0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0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0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0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0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0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0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0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0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0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1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1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1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1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1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1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1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1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1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1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1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1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1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1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1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1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1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1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1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1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1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1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1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1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1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1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1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1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1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1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1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1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1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1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1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1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1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1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1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1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1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1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1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1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1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1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1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1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1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1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1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1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1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1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1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1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1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1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1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1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1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1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1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1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1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1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1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1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1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1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1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1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1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1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1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1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1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1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1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1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1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1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1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1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1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1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1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1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1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1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1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1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1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1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1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1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1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1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1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1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1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1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1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1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1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1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1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1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1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1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1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1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1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1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1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1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1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1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1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1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1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1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1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1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1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1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1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1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1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1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1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1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1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1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1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1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1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1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1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1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1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1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1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1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1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1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1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1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1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1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1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1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1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1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1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1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1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1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1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1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1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1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1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1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1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1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1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1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1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1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1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1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1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1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1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1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1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1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1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1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1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1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1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1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1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1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1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1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1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1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1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1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1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1</v>
      </c>
    </row>
    <row r="27" spans="1:203" x14ac:dyDescent="0.25">
      <c r="A27" t="s">
        <v>27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2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2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2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2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2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2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2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2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2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2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2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2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2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2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2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2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2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2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2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2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2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2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2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2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2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2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2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2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2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2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2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2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2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2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2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2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2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2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2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2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2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2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2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2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2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2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2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2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2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2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2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2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2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2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2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2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2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2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2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2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2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2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2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2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2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2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2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2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2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2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2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2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2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2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2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2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2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2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2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2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2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2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2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2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2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2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2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2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2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2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2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2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2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2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2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2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2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2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2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2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2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2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2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2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2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2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2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2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2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2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2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2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2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2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2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2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2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2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2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2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2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2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2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2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2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2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2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2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2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2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2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2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2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2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2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2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2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2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2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2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2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2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2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2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2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2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2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2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2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2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2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2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2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2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2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2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2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2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2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2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2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2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2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2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2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2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2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2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2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2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2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2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2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2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2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2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2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2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2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2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2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2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2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2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2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2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2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2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2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2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2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2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2</v>
      </c>
    </row>
    <row r="28" spans="1:203" x14ac:dyDescent="0.25">
      <c r="A28" t="s">
        <v>22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1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1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1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1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1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1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1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1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1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1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1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1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1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1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1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1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1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1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1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1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1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1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1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1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1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1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1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1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1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1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1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1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1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1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1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1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1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1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1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1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1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1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1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1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1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1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1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1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1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1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1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1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1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1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1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1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1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1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1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1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1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1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1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1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1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1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1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1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1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1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1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1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1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1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1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1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1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1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1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1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1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1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1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1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1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1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1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1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1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1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1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1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1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1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1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1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1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1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1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1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1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1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1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1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1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1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1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1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1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1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1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1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1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1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1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1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1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1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1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1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1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1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1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1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1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1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1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1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1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1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1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1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1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1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1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1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1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1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1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1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1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1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1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1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1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1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1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1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1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1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1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1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1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1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1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1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1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1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1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1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1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1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1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1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1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1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1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1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1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1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1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1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1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1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1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1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1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1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1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1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1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1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1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1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1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1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1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1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1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1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1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1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1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1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1</v>
      </c>
    </row>
    <row r="29" spans="1:203" x14ac:dyDescent="0.25">
      <c r="A29" t="s">
        <v>23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2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2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2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2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2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2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2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2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2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2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2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2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2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2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2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2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2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2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2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2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2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2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2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2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2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2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2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2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2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2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2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2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2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2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2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2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2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2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2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2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2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2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2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2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2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2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2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2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2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2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2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2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2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2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2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2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2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2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2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2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2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2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2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2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2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2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2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2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2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2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2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2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2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2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2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2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2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2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2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2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2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2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2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2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2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2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2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2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2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2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2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2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2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2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2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2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2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2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2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2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2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2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2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2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2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2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2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2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2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2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2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2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2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2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2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2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2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2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2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2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2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2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2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2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2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2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2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2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2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2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2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2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2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2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2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2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2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2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2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2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2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2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2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2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2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2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2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2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2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2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2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2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2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2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2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2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2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2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2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2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2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2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2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2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2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2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2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2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2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2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2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2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2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2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2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2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2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2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2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2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2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2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2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2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2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2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2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2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2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2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2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2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2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2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2</v>
      </c>
    </row>
    <row r="30" spans="1:203" x14ac:dyDescent="0.25">
      <c r="A30" t="s">
        <v>24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0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0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0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0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0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0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0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0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0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0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0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0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0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0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0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0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0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0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0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0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0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0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0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0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0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0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0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0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0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0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0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0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0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0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0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0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0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0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0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0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0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0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0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0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0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0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0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0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0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0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0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0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0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0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0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0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0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0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0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0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0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0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0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0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0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0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0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0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0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0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0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0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0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0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0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0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0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0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0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0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0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0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0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0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0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0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0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0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0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0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0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0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0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0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0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0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0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0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0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0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0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0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0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0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0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0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0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0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0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0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0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0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0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0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0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0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0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0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0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0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0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0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0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0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0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0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0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0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0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0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0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0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0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0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0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0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0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0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0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0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0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0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0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0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0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0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0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0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0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0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0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0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0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0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0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0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0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0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0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0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0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0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0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0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0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0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0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0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0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0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0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0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0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0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0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0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0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0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0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0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0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0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0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0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0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0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0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0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0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0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0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0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0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0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0</v>
      </c>
    </row>
    <row r="31" spans="1:203" x14ac:dyDescent="0.25">
      <c r="A31" t="s">
        <v>44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0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0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0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0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0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0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0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0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0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0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0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0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0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0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0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0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0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0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0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0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0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0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0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0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0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0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0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0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0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0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0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0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0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0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0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0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0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0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0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0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0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0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0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0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0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0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0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0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0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0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0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0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0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0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0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0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0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0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0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0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0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0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0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0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0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0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0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0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0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0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0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0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0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0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0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0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0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0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0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0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0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0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0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0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0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0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0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0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0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0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0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0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0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0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0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0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0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0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0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0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0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0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0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0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0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0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0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0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0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0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0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0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0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0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0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0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0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0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0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0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0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0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0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0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0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0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0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0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0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0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0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0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0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0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0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0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0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0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0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0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0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0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0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0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0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0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0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0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0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0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0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0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0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0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0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0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0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0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0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0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0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0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0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0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0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0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0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0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0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0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0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0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0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0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0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0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0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0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0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0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0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0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0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0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0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0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0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0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0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0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0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0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0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0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0</v>
      </c>
    </row>
    <row r="32" spans="1:203" x14ac:dyDescent="0.25">
      <c r="A32" t="s">
        <v>11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0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0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0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0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0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0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0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0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0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0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0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0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0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0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0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0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0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0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0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0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0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0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0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0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0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0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0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0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0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0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0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0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0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0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0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0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0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0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0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0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0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0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0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0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0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0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0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0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0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0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0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0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0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0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0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0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0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0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0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0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0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0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0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0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0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0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0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0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0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0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0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0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0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0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0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0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0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0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0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0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0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0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0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0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0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0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0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0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0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0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0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0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0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0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0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0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0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0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0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0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0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0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0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0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0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0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0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0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0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0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0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0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0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0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0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0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0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0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0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0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0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0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0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0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0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0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0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0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0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0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0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0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0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0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0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0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0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0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0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0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0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0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0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0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0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0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0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0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0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0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0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0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0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0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0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0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0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0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0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0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0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0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0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0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0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0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0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0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0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0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0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0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0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0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0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0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0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0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0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0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0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0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0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0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0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0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0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0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0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0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0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0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0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0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0</v>
      </c>
    </row>
    <row r="33" spans="1:275" x14ac:dyDescent="0.25">
      <c r="A33" t="s">
        <v>37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0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0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0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0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0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0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0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0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0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0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0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0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0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0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0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0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0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0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0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0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0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0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0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0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0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0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0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0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0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0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0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0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0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0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0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0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0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0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0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0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0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0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0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0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0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0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0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0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0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0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0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0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0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0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0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0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0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0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0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0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0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0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0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0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0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0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0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0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0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0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0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0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0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0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0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0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0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0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0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0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0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0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0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0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0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0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0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0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0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0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0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0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0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0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0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0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0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0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0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0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0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0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0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0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0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0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0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0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0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0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0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0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0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0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0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0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0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0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0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0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0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0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0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0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0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0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0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0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0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0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0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0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0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0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0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0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0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0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0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0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0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0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0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0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0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0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0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0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0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0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0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0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0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0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0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0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0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0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0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0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0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0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0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0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0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0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0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0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0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0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0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0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0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0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0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0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0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0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0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0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0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0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0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0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0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0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0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0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0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0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0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0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0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0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0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0.5</v>
      </c>
      <c r="K34">
        <f>SUBTOTAL(101,Table4[2025-10-10])</f>
        <v>0.5</v>
      </c>
      <c r="L34">
        <f>SUBTOTAL(101,Table4[2025-10-11])</f>
        <v>0.5</v>
      </c>
      <c r="M34">
        <f>SUBTOTAL(101,Table4[2025-10-12])</f>
        <v>0.5</v>
      </c>
      <c r="N34">
        <f>SUBTOTAL(101,Table4[2025-10-13])</f>
        <v>0.5</v>
      </c>
      <c r="O34">
        <f>SUBTOTAL(101,Table4[2025-10-14])</f>
        <v>0.5</v>
      </c>
      <c r="P34">
        <f>SUBTOTAL(101,Table4[2025-10-15])</f>
        <v>0.5</v>
      </c>
      <c r="Q34">
        <f>SUBTOTAL(101,Table4[2025-10-16])</f>
        <v>0.5</v>
      </c>
      <c r="R34">
        <f>SUBTOTAL(101,Table4[2025-10-17])</f>
        <v>0.5</v>
      </c>
      <c r="S34">
        <f>SUBTOTAL(101,Table4[2025-10-18])</f>
        <v>0.5</v>
      </c>
      <c r="T34">
        <f>SUBTOTAL(101,Table4[2025-10-19])</f>
        <v>0.5</v>
      </c>
      <c r="U34">
        <f>SUBTOTAL(101,Table4[2025-10-20])</f>
        <v>0.5</v>
      </c>
      <c r="V34">
        <f>SUBTOTAL(101,Table4[2025-10-21])</f>
        <v>0.5</v>
      </c>
      <c r="W34">
        <f>SUBTOTAL(101,Table4[2025-10-22])</f>
        <v>0.5</v>
      </c>
      <c r="X34">
        <f>SUBTOTAL(101,Table4[2025-10-23])</f>
        <v>0.5</v>
      </c>
      <c r="Y34">
        <f>SUBTOTAL(101,Table4[2025-10-24])</f>
        <v>0.5</v>
      </c>
      <c r="Z34">
        <f>SUBTOTAL(101,Table4[2025-10-25])</f>
        <v>0.5</v>
      </c>
      <c r="AA34">
        <f>SUBTOTAL(101,Table4[2025-10-26])</f>
        <v>0.5</v>
      </c>
      <c r="AB34">
        <f>SUBTOTAL(101,Table4[2025-10-27])</f>
        <v>0.5</v>
      </c>
      <c r="AC34">
        <f>SUBTOTAL(101,Table4[2025-10-28])</f>
        <v>0.5</v>
      </c>
      <c r="AD34">
        <f>SUBTOTAL(101,Table4[2025-10-29])</f>
        <v>0.5</v>
      </c>
      <c r="AE34">
        <f>SUBTOTAL(101,Table4[2025-10-30])</f>
        <v>0.5</v>
      </c>
      <c r="AF34">
        <f>SUBTOTAL(101,Table4[2025-10-31])</f>
        <v>0.5</v>
      </c>
      <c r="AG34">
        <f>SUBTOTAL(101,Table4[2025-11-01])</f>
        <v>0.5</v>
      </c>
      <c r="AH34">
        <f>SUBTOTAL(101,Table4[2025-11-02])</f>
        <v>0.5</v>
      </c>
      <c r="AI34">
        <f>SUBTOTAL(101,Table4[2025-11-03])</f>
        <v>0.5</v>
      </c>
      <c r="AJ34">
        <f>SUBTOTAL(101,Table4[2025-11-04])</f>
        <v>0.5</v>
      </c>
      <c r="AK34">
        <f>SUBTOTAL(101,Table4[2025-11-05])</f>
        <v>0.5</v>
      </c>
      <c r="AL34">
        <f>SUBTOTAL(101,Table4[2025-11-06])</f>
        <v>0.5</v>
      </c>
      <c r="AM34">
        <f>SUBTOTAL(101,Table4[2025-11-07])</f>
        <v>0.5</v>
      </c>
      <c r="AN34">
        <f>SUBTOTAL(101,Table4[2025-11-08])</f>
        <v>0.5</v>
      </c>
      <c r="AO34">
        <f>SUBTOTAL(101,Table4[2025-11-09])</f>
        <v>0.5</v>
      </c>
      <c r="AP34">
        <f>SUBTOTAL(101,Table4[2025-11-10])</f>
        <v>0.5</v>
      </c>
      <c r="AQ34">
        <f>SUBTOTAL(101,Table4[2025-11-11])</f>
        <v>0.5</v>
      </c>
      <c r="AR34">
        <f>SUBTOTAL(101,Table4[2025-11-12])</f>
        <v>0.5</v>
      </c>
      <c r="AS34">
        <f>SUBTOTAL(101,Table4[2025-11-13])</f>
        <v>0.5</v>
      </c>
      <c r="AT34">
        <f>SUBTOTAL(101,Table4[2025-11-14])</f>
        <v>0.5</v>
      </c>
      <c r="AU34">
        <f>SUBTOTAL(101,Table4[2025-11-15])</f>
        <v>0.5</v>
      </c>
      <c r="AV34">
        <f>SUBTOTAL(101,Table4[2025-11-16])</f>
        <v>0.5</v>
      </c>
      <c r="AW34">
        <f>SUBTOTAL(101,Table4[2025-11-17])</f>
        <v>0.5</v>
      </c>
      <c r="AX34">
        <f>SUBTOTAL(101,Table4[2025-11-18])</f>
        <v>0.5</v>
      </c>
      <c r="AY34">
        <f>SUBTOTAL(101,Table4[2025-11-19])</f>
        <v>0.5</v>
      </c>
      <c r="AZ34">
        <f>SUBTOTAL(101,Table4[2025-11-20])</f>
        <v>0.5</v>
      </c>
      <c r="BA34">
        <f>SUBTOTAL(101,Table4[2025-11-21])</f>
        <v>0.5</v>
      </c>
      <c r="BB34">
        <f>SUBTOTAL(101,Table4[2025-11-22])</f>
        <v>0.5</v>
      </c>
      <c r="BC34">
        <f>SUBTOTAL(101,Table4[2025-11-23])</f>
        <v>0.5</v>
      </c>
      <c r="BD34">
        <f>SUBTOTAL(101,Table4[2025-11-24])</f>
        <v>0.5</v>
      </c>
      <c r="BE34">
        <f>SUBTOTAL(101,Table4[2025-11-25])</f>
        <v>0.5</v>
      </c>
      <c r="BF34">
        <f>SUBTOTAL(101,Table4[2025-11-26])</f>
        <v>0.5</v>
      </c>
      <c r="BG34">
        <f>SUBTOTAL(101,Table4[2025-11-27])</f>
        <v>0.5</v>
      </c>
      <c r="BH34">
        <f>SUBTOTAL(101,Table4[2025-11-28])</f>
        <v>0.5</v>
      </c>
      <c r="BI34">
        <f>SUBTOTAL(101,Table4[2025-11-29])</f>
        <v>0.5</v>
      </c>
      <c r="BJ34">
        <f>SUBTOTAL(101,Table4[2025-11-30])</f>
        <v>0.5</v>
      </c>
      <c r="BK34">
        <f>SUBTOTAL(101,Table4[2025-12-01])</f>
        <v>0.5</v>
      </c>
      <c r="BL34">
        <f>SUBTOTAL(101,Table4[2025-12-02])</f>
        <v>0.5</v>
      </c>
      <c r="BM34">
        <f>SUBTOTAL(101,Table4[2025-12-03])</f>
        <v>0.5</v>
      </c>
      <c r="BN34">
        <f>SUBTOTAL(101,Table4[2025-12-04])</f>
        <v>0.5</v>
      </c>
      <c r="BO34">
        <f>SUBTOTAL(101,Table4[2025-12-05])</f>
        <v>0.5</v>
      </c>
      <c r="BP34">
        <f>SUBTOTAL(101,Table4[2025-12-06])</f>
        <v>0.5</v>
      </c>
      <c r="BQ34">
        <f>SUBTOTAL(101,Table4[2025-12-07])</f>
        <v>0.5</v>
      </c>
      <c r="BR34">
        <f>SUBTOTAL(101,Table4[2025-12-08])</f>
        <v>0.5</v>
      </c>
      <c r="BS34">
        <f>SUBTOTAL(101,Table4[2025-12-09])</f>
        <v>0.5</v>
      </c>
      <c r="BT34">
        <f>SUBTOTAL(101,Table4[2025-12-10])</f>
        <v>0.5</v>
      </c>
      <c r="BU34">
        <f>SUBTOTAL(101,Table4[2025-12-11])</f>
        <v>0.5</v>
      </c>
      <c r="BV34">
        <f>SUBTOTAL(101,Table4[2025-12-12])</f>
        <v>0.5</v>
      </c>
      <c r="BW34">
        <f>SUBTOTAL(101,Table4[2025-12-13])</f>
        <v>0.5</v>
      </c>
      <c r="BX34">
        <f>SUBTOTAL(101,Table4[2025-12-14])</f>
        <v>0.5</v>
      </c>
      <c r="BY34">
        <f>SUBTOTAL(101,Table4[2025-12-15])</f>
        <v>0.5</v>
      </c>
      <c r="BZ34">
        <f>SUBTOTAL(101,Table4[2025-12-16])</f>
        <v>0.5</v>
      </c>
      <c r="CA34">
        <f>SUBTOTAL(101,Table4[2025-12-17])</f>
        <v>0.5</v>
      </c>
      <c r="CB34">
        <f>SUBTOTAL(101,Table4[2025-12-18])</f>
        <v>0.5</v>
      </c>
      <c r="CC34">
        <f>SUBTOTAL(101,Table4[2025-12-19])</f>
        <v>0.5</v>
      </c>
      <c r="CD34">
        <f>SUBTOTAL(101,Table4[2025-12-20])</f>
        <v>0.5</v>
      </c>
      <c r="CE34">
        <f>SUBTOTAL(101,Table4[2025-12-21])</f>
        <v>0.5</v>
      </c>
      <c r="CF34">
        <f>SUBTOTAL(101,Table4[2025-12-22])</f>
        <v>0.5</v>
      </c>
      <c r="CG34">
        <f>SUBTOTAL(101,Table4[2025-12-23])</f>
        <v>0.5</v>
      </c>
      <c r="CH34">
        <f>SUBTOTAL(101,Table4[2025-12-24])</f>
        <v>0.5</v>
      </c>
      <c r="CI34">
        <f>SUBTOTAL(101,Table4[2025-12-25])</f>
        <v>0.5</v>
      </c>
      <c r="CJ34">
        <f>SUBTOTAL(101,Table4[2025-12-26])</f>
        <v>0.5</v>
      </c>
      <c r="CK34">
        <f>SUBTOTAL(101,Table4[2025-12-27])</f>
        <v>0.5</v>
      </c>
      <c r="CL34">
        <f>SUBTOTAL(101,Table4[2025-12-28])</f>
        <v>0.5</v>
      </c>
      <c r="CM34">
        <f>SUBTOTAL(101,Table4[2025-12-29])</f>
        <v>0.5</v>
      </c>
      <c r="CN34">
        <f>SUBTOTAL(101,Table4[2025-12-30])</f>
        <v>0.5</v>
      </c>
      <c r="CO34">
        <f>SUBTOTAL(101,Table4[2025-12-31])</f>
        <v>0.5</v>
      </c>
      <c r="CP34">
        <f>SUBTOTAL(101,Table4[2026-01-01])</f>
        <v>0.5</v>
      </c>
      <c r="CQ34">
        <f>SUBTOTAL(101,Table4[2026-01-02])</f>
        <v>0.5</v>
      </c>
      <c r="CR34">
        <f>SUBTOTAL(101,Table4[2026-01-03])</f>
        <v>0.5</v>
      </c>
      <c r="CS34">
        <f>SUBTOTAL(101,Table4[2026-01-04])</f>
        <v>0.5</v>
      </c>
      <c r="CT34">
        <f>SUBTOTAL(101,Table4[2026-01-05])</f>
        <v>0.5</v>
      </c>
      <c r="CU34">
        <f>SUBTOTAL(101,Table4[2026-01-06])</f>
        <v>0.5</v>
      </c>
      <c r="CV34">
        <f>SUBTOTAL(101,Table4[2026-01-07])</f>
        <v>0.5</v>
      </c>
      <c r="CW34">
        <f>SUBTOTAL(101,Table4[2026-01-08])</f>
        <v>0.5</v>
      </c>
      <c r="CX34">
        <f>SUBTOTAL(101,Table4[2026-01-09])</f>
        <v>0.5</v>
      </c>
      <c r="CY34">
        <f>SUBTOTAL(101,Table4[2026-01-10])</f>
        <v>0.5</v>
      </c>
      <c r="CZ34">
        <f>SUBTOTAL(101,Table4[2026-01-11])</f>
        <v>0.5</v>
      </c>
      <c r="DA34">
        <f>SUBTOTAL(101,Table4[2026-01-12])</f>
        <v>0.5</v>
      </c>
      <c r="DB34">
        <f>SUBTOTAL(101,Table4[2026-01-13])</f>
        <v>0.5</v>
      </c>
      <c r="DC34">
        <f>SUBTOTAL(101,Table4[2026-01-14])</f>
        <v>0.5</v>
      </c>
      <c r="DD34">
        <f>SUBTOTAL(101,Table4[2026-01-15])</f>
        <v>0.5</v>
      </c>
      <c r="DE34">
        <f>SUBTOTAL(101,Table4[2026-01-16])</f>
        <v>0.5</v>
      </c>
      <c r="DF34">
        <f>SUBTOTAL(101,Table4[2026-01-17])</f>
        <v>0.5</v>
      </c>
      <c r="DG34">
        <f>SUBTOTAL(101,Table4[2026-01-18])</f>
        <v>0.5</v>
      </c>
      <c r="DH34">
        <f>SUBTOTAL(101,Table4[2026-01-19])</f>
        <v>0.5</v>
      </c>
      <c r="DI34">
        <f>SUBTOTAL(101,Table4[2026-01-20])</f>
        <v>0.5</v>
      </c>
      <c r="DJ34">
        <f>SUBTOTAL(101,Table4[2026-01-21])</f>
        <v>0.5</v>
      </c>
      <c r="DK34">
        <f>SUBTOTAL(101,Table4[2026-01-22])</f>
        <v>0.5</v>
      </c>
      <c r="DL34">
        <f>SUBTOTAL(101,Table4[2026-01-23])</f>
        <v>0.5</v>
      </c>
      <c r="DM34">
        <f>SUBTOTAL(101,Table4[2026-01-24])</f>
        <v>0.5</v>
      </c>
      <c r="DN34">
        <f>SUBTOTAL(101,Table4[2026-01-25])</f>
        <v>0.5</v>
      </c>
      <c r="DO34">
        <f>SUBTOTAL(101,Table4[2026-01-26])</f>
        <v>0.5</v>
      </c>
      <c r="DP34">
        <f>SUBTOTAL(101,Table4[2026-01-27])</f>
        <v>0.5</v>
      </c>
      <c r="DQ34">
        <f>SUBTOTAL(101,Table4[2026-01-28])</f>
        <v>0.5</v>
      </c>
      <c r="DR34">
        <f>SUBTOTAL(101,Table4[2026-01-29])</f>
        <v>0.5</v>
      </c>
      <c r="DS34">
        <f>SUBTOTAL(101,Table4[2026-01-30])</f>
        <v>0.5</v>
      </c>
      <c r="DT34">
        <f>SUBTOTAL(101,Table4[2026-01-31])</f>
        <v>0.5</v>
      </c>
      <c r="DU34">
        <f>SUBTOTAL(101,Table4[2026-02-01])</f>
        <v>0.5</v>
      </c>
      <c r="DV34">
        <f>SUBTOTAL(101,Table4[2026-02-02])</f>
        <v>0.5</v>
      </c>
      <c r="DW34">
        <f>SUBTOTAL(101,Table4[2026-02-03])</f>
        <v>0.5</v>
      </c>
      <c r="DX34">
        <f>SUBTOTAL(101,Table4[2026-02-04])</f>
        <v>0.5</v>
      </c>
      <c r="DY34">
        <f>SUBTOTAL(101,Table4[2026-02-05])</f>
        <v>0.5</v>
      </c>
      <c r="DZ34">
        <f>SUBTOTAL(101,Table4[2026-02-06])</f>
        <v>0.5</v>
      </c>
      <c r="EA34">
        <f>SUBTOTAL(101,Table4[2026-02-07])</f>
        <v>0.5</v>
      </c>
      <c r="EB34">
        <f>SUBTOTAL(101,Table4[2026-02-08])</f>
        <v>0.5</v>
      </c>
      <c r="EC34">
        <f>SUBTOTAL(101,Table4[2026-02-09])</f>
        <v>0.5</v>
      </c>
      <c r="ED34">
        <f>SUBTOTAL(101,Table4[2026-02-10])</f>
        <v>0.5</v>
      </c>
      <c r="EE34">
        <f>SUBTOTAL(101,Table4[2026-02-11])</f>
        <v>0.5</v>
      </c>
      <c r="EF34">
        <f>SUBTOTAL(101,Table4[2026-02-12])</f>
        <v>0.5</v>
      </c>
      <c r="EG34">
        <f>SUBTOTAL(101,Table4[2026-02-13])</f>
        <v>0.5</v>
      </c>
      <c r="EH34">
        <f>SUBTOTAL(101,Table4[2026-02-14])</f>
        <v>0.5</v>
      </c>
      <c r="EI34">
        <f>SUBTOTAL(101,Table4[2026-02-15])</f>
        <v>0.5</v>
      </c>
      <c r="EJ34">
        <f>SUBTOTAL(101,Table4[2026-02-16])</f>
        <v>0.5</v>
      </c>
      <c r="EK34">
        <f>SUBTOTAL(101,Table4[2026-02-17])</f>
        <v>0.5</v>
      </c>
      <c r="EL34">
        <f>SUBTOTAL(101,Table4[2026-02-18])</f>
        <v>0.5</v>
      </c>
      <c r="EM34">
        <f>SUBTOTAL(101,Table4[2026-02-19])</f>
        <v>0.5</v>
      </c>
      <c r="EN34">
        <f>SUBTOTAL(101,Table4[2026-02-20])</f>
        <v>0.5</v>
      </c>
      <c r="EO34">
        <f>SUBTOTAL(101,Table4[2026-02-21])</f>
        <v>0.5</v>
      </c>
      <c r="EP34">
        <f>SUBTOTAL(101,Table4[2026-02-22])</f>
        <v>0.5</v>
      </c>
      <c r="EQ34">
        <f>SUBTOTAL(101,Table4[2026-02-23])</f>
        <v>0.5</v>
      </c>
      <c r="ER34">
        <f>SUBTOTAL(101,Table4[2026-02-24])</f>
        <v>0.5</v>
      </c>
      <c r="ES34">
        <f>SUBTOTAL(101,Table4[2026-02-25])</f>
        <v>0.5</v>
      </c>
      <c r="ET34">
        <f>SUBTOTAL(101,Table4[2026-02-26])</f>
        <v>0.5</v>
      </c>
      <c r="EU34">
        <f>SUBTOTAL(101,Table4[2026-02-27])</f>
        <v>0.5</v>
      </c>
      <c r="EV34">
        <f>SUBTOTAL(101,Table4[2026-02-28])</f>
        <v>0.5</v>
      </c>
      <c r="EW34">
        <f>SUBTOTAL(101,Table4[2026-03-01])</f>
        <v>0.5</v>
      </c>
      <c r="EX34">
        <f>SUBTOTAL(101,Table4[2026-03-02])</f>
        <v>0.5</v>
      </c>
      <c r="EY34">
        <f>SUBTOTAL(101,Table4[2026-03-03])</f>
        <v>0.5</v>
      </c>
      <c r="EZ34">
        <f>SUBTOTAL(101,Table4[2026-03-04])</f>
        <v>0.5</v>
      </c>
      <c r="FA34">
        <f>SUBTOTAL(101,Table4[2026-03-05])</f>
        <v>0.5</v>
      </c>
      <c r="FB34">
        <f>SUBTOTAL(101,Table4[2026-03-06])</f>
        <v>0.5</v>
      </c>
      <c r="FC34">
        <f>SUBTOTAL(101,Table4[2026-03-07])</f>
        <v>0.5</v>
      </c>
      <c r="FD34">
        <f>SUBTOTAL(101,Table4[2026-03-08])</f>
        <v>0.5</v>
      </c>
      <c r="FE34">
        <f>SUBTOTAL(101,Table4[2026-03-09])</f>
        <v>0.5</v>
      </c>
      <c r="FF34">
        <f>SUBTOTAL(101,Table4[2026-03-10])</f>
        <v>0.5</v>
      </c>
      <c r="FG34">
        <f>SUBTOTAL(101,Table4[2026-03-11])</f>
        <v>0.5</v>
      </c>
      <c r="FH34">
        <f>SUBTOTAL(101,Table4[2026-03-12])</f>
        <v>0.5</v>
      </c>
      <c r="FI34">
        <f>SUBTOTAL(101,Table4[2026-03-13])</f>
        <v>0.5</v>
      </c>
      <c r="FJ34">
        <f>SUBTOTAL(101,Table4[2026-03-14])</f>
        <v>0.5</v>
      </c>
      <c r="FK34">
        <f>SUBTOTAL(101,Table4[2026-03-15])</f>
        <v>0.5</v>
      </c>
      <c r="FL34">
        <f>SUBTOTAL(101,Table4[2026-03-16])</f>
        <v>0.5</v>
      </c>
      <c r="FM34">
        <f>SUBTOTAL(101,Table4[2026-03-17])</f>
        <v>0.5</v>
      </c>
      <c r="FN34">
        <f>SUBTOTAL(101,Table4[2026-03-18])</f>
        <v>0.5</v>
      </c>
      <c r="FO34">
        <f>SUBTOTAL(101,Table4[2026-03-19])</f>
        <v>0.5</v>
      </c>
      <c r="FP34">
        <f>SUBTOTAL(101,Table4[2026-03-20])</f>
        <v>0.5</v>
      </c>
      <c r="FQ34">
        <f>SUBTOTAL(101,Table4[2026-03-21])</f>
        <v>0.5</v>
      </c>
      <c r="FR34">
        <f>SUBTOTAL(101,Table4[2026-03-22])</f>
        <v>0.5</v>
      </c>
      <c r="FS34">
        <f>SUBTOTAL(101,Table4[2026-03-23])</f>
        <v>0.5</v>
      </c>
      <c r="FT34">
        <f>SUBTOTAL(101,Table4[2026-03-24])</f>
        <v>0.5</v>
      </c>
      <c r="FU34">
        <f>SUBTOTAL(101,Table4[2026-03-25])</f>
        <v>0.5</v>
      </c>
      <c r="FV34">
        <f>SUBTOTAL(101,Table4[2026-03-26])</f>
        <v>0.5</v>
      </c>
      <c r="FW34">
        <f>SUBTOTAL(101,Table4[2026-03-27])</f>
        <v>0.5</v>
      </c>
      <c r="FX34">
        <f>SUBTOTAL(101,Table4[2026-03-28])</f>
        <v>0.5</v>
      </c>
      <c r="FY34">
        <f>SUBTOTAL(101,Table4[2026-03-29])</f>
        <v>0.5</v>
      </c>
      <c r="FZ34">
        <f>SUBTOTAL(101,Table4[2026-03-30])</f>
        <v>0.5</v>
      </c>
      <c r="GA34">
        <f>SUBTOTAL(101,Table4[2026-03-31])</f>
        <v>0.5</v>
      </c>
      <c r="GB34">
        <f>SUBTOTAL(101,Table4[2026-04-01])</f>
        <v>0.5</v>
      </c>
      <c r="GC34">
        <f>SUBTOTAL(101,Table4[2026-04-02])</f>
        <v>0.5</v>
      </c>
      <c r="GD34">
        <f>SUBTOTAL(101,Table4[2026-04-03])</f>
        <v>0.5</v>
      </c>
      <c r="GE34">
        <f>SUBTOTAL(101,Table4[2026-04-04])</f>
        <v>0.5</v>
      </c>
      <c r="GF34">
        <f>SUBTOTAL(101,Table4[2026-04-05])</f>
        <v>0.5</v>
      </c>
      <c r="GG34">
        <f>SUBTOTAL(101,Table4[2026-04-06])</f>
        <v>0.5</v>
      </c>
      <c r="GH34">
        <f>SUBTOTAL(101,Table4[2026-04-07])</f>
        <v>0.5</v>
      </c>
      <c r="GI34">
        <f>SUBTOTAL(101,Table4[2026-04-08])</f>
        <v>0.5</v>
      </c>
      <c r="GJ34">
        <f>SUBTOTAL(101,Table4[2026-04-09])</f>
        <v>0.5</v>
      </c>
      <c r="GK34">
        <f>SUBTOTAL(101,Table4[2026-04-10])</f>
        <v>0.5</v>
      </c>
      <c r="GL34">
        <f>SUBTOTAL(101,Table4[2026-04-11])</f>
        <v>0.5</v>
      </c>
      <c r="GM34">
        <f>SUBTOTAL(101,Table4[2026-04-12])</f>
        <v>0.5</v>
      </c>
      <c r="GN34">
        <f>SUBTOTAL(101,Table4[2026-04-13])</f>
        <v>0.5</v>
      </c>
      <c r="GO34">
        <f>SUBTOTAL(101,Table4[2026-04-14])</f>
        <v>0.5</v>
      </c>
      <c r="GP34">
        <f>SUBTOTAL(101,Table4[2026-04-15])</f>
        <v>0.5</v>
      </c>
      <c r="GQ34">
        <f>SUBTOTAL(101,Table4[2026-04-16])</f>
        <v>0.5</v>
      </c>
      <c r="GR34">
        <f>SUBTOTAL(101,Table4[2026-04-17])</f>
        <v>0.5</v>
      </c>
      <c r="GS34">
        <f>SUBTOTAL(101,Table4[2026-04-18])</f>
        <v>0.5</v>
      </c>
      <c r="GT34">
        <f>SUBTOTAL(101,Table4[2026-04-19])</f>
        <v>0.5</v>
      </c>
      <c r="GU34">
        <f>SUBTOTAL(101,Table4[2026-04-20])</f>
        <v>0.5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17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2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2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2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2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2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2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2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2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2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2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2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2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2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2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2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2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2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2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2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2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2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2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2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2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2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2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2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2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2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2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2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2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2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2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2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2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2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2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2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2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2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2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2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2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2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2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2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2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2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2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2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2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2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2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2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2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2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2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2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2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2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2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2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2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2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2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2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2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2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2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2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2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2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2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2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2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2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2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2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2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2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2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2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2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2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2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2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2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2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2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2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2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2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2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2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2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2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2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2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2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2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2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2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2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2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2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2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2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2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2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2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2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2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2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2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2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2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2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2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2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2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2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2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2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2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2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2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2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2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2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2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2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2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2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2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2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2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2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2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2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2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2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2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2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2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2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2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2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2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2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2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2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2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2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2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2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2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2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2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2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2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2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2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2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2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2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2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2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2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2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2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2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2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2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2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2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2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2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2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2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2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2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2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2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2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2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2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2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2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2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2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2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2</v>
      </c>
    </row>
    <row r="39" spans="1:275" x14ac:dyDescent="0.25">
      <c r="A39" t="s">
        <v>13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2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2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2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2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2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2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2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2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2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2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2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2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2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2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2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2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2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2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2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2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2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2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2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2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2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2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2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2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2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2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2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2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2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2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2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2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2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2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2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2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2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2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2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2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2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2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2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2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2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2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2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2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2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2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2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2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2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2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2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2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2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2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2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2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2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2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2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2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2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2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2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2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2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2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2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2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2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2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2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2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2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2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2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2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2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2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2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2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2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2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2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2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2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2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2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2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2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2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2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2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2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2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2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2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2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2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2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2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2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2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2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2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2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2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2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2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2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2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2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2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2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2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2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2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2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2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2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2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2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2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2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2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2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2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2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2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2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2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2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2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2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2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2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2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2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2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2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2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2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2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2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2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2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2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2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2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2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2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2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2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2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2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2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2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2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2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2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2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2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2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2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2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2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2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2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2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2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2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2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2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2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2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2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2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2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2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2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2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2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2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2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2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2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2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2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2</v>
      </c>
    </row>
    <row r="40" spans="1:275" x14ac:dyDescent="0.25">
      <c r="A40" t="s">
        <v>40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0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0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0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0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0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0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0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0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0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0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0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0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0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0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0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0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0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0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0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0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0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0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0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0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0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0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0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0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0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0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0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0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0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0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0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0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0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0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0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0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0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0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0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0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0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0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0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0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0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0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0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0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0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0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0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0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0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0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0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0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0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0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0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0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0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0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0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0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0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0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0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0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0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0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0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0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0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0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0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0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0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0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0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0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0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0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0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0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0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0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0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0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0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0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0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0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0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0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0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0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0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0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0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0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0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0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0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0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0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0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0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0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0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0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0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0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0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0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0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0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0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0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0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0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0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0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0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0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0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0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0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0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0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0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0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0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0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0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0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0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0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0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0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0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0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0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0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0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0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0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0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0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0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0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0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0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0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0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0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0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0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0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0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0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0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0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0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0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0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0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0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0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0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0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0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0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0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0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0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0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0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0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0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0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0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0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0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0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0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0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0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0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0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0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0</v>
      </c>
    </row>
    <row r="41" spans="1:275" x14ac:dyDescent="0.25">
      <c r="A41" t="s">
        <v>29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0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0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0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0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0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0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0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0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0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0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0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0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0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0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0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0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0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0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0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0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0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0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0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0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0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0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0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0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0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0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0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0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0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0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0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0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0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0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0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0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0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0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0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0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0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0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0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0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0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0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0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0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0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0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0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0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0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0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0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0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0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0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0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0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0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0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0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0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0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0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0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0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0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0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0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0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0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0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0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0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0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0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0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0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0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0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0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0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0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0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0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0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0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0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0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0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0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0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0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0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0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0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0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0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0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0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0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0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0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0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0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0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0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0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0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0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0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0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0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0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0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0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0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0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0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0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0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0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0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0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0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0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0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0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0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0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0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0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0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0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0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0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0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0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0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0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0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0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0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0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0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0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0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0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0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0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0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0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0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0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0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0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0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0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0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0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0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0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0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0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0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0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0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0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0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0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0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0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0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0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0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0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0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0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0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0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0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0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0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0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0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0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0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0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0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0</v>
      </c>
    </row>
    <row r="42" spans="1:275" x14ac:dyDescent="0.25">
      <c r="A42" t="s">
        <v>18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0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0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0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0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0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0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0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0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0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0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0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0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0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0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0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0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0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0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0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0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0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0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0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0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0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0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0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0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0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0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0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0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0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0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0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0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0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0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0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0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0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0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0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0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0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0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0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0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0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0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0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0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0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0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0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0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0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0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0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0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0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0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0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0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0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0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0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0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0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0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0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0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0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0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0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0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0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0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0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0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0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0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0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0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0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0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0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0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0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0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0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0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0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0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0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0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0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0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0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0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0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0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0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0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0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0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0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0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0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0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0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0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0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0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0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0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0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0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0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0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0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0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0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0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0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0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0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0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0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0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0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0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0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0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0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0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0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0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0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0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0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0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0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0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0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0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0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0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0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0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0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0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0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0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0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0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0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0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0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0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0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0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0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0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0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0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0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0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0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0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0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0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0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0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0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0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0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0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0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0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0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0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0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0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0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0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0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0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0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0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0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0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0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0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0</v>
      </c>
    </row>
    <row r="43" spans="1:275" x14ac:dyDescent="0.25">
      <c r="A43" t="s">
        <v>30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0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0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0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0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0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0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0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0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0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0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0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0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0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0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0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0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0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0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0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0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0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0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0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0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0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0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0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0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0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0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0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0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0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0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0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0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0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0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0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0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0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0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0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0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0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0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0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0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0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0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0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0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0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0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0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0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0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0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0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0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0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0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0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0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0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0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0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0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0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0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0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0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0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0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0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0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0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0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0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0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0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0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0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0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0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0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0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0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0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0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0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0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0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0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0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0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0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0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0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0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0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0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0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0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0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0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0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0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0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0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0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0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0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0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0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0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0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0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0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0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0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0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0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0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0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0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0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0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0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0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0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0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0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0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0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0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0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0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0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0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0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0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0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0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0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0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0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0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0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0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0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0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0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0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0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0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0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0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0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0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0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0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0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0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0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0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0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0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0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0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0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0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0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0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0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0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0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0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0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0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0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0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0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0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0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0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0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0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0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0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0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0</v>
      </c>
    </row>
    <row r="44" spans="1:275" x14ac:dyDescent="0.25">
      <c r="A44" t="s">
        <v>15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2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2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2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2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2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2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2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2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2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2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2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2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2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2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2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2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2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2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2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2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2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2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2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2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2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2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2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2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2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2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2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2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2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2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2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2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2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2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2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2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2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2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2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2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2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2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2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2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2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2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2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2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2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2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2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2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2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2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2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2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2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2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2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2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2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2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2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2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2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2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2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2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2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2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2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2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2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2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2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2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2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2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2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2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2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2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2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2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2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2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2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2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2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2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2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2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2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2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2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2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2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2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2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2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2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2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2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2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2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2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2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2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2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2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2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2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2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2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2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2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2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2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2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2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2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2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2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2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2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2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2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2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2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2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2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2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2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2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2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2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2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2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2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2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2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2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2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2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2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2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2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2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2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2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2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2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2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2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2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2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2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2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2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2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2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2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2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2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2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2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2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2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2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2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2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2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2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2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2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2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2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2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2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2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2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2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2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2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2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2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2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2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2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2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2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0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0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0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0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0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0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0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0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0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0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0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0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0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0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0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0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0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0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0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0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0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0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0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0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0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0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0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0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0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0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0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0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0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0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0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0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0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0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0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0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0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0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0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0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0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0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0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0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0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0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0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0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0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0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0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0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0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0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0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0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0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0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0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0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0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0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0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0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0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0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0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0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0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0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0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0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0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0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0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0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0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0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0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0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0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0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0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0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0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0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0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0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0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0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0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0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0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0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0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0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0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0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0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0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0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0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0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0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0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0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0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0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0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0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0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0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0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0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0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0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0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0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0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0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0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0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0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0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0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0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0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0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0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0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0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0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0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0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0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0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0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0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0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0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0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0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0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0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0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0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0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0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0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0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0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0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0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0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0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0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0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0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0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0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0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0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0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0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0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0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0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0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0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0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0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0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0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0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0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0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0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0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0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0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0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0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0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0</v>
      </c>
    </row>
    <row r="46" spans="1:275" x14ac:dyDescent="0.25">
      <c r="A46" t="s">
        <v>43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0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0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0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0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0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0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0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0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0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0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0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0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0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0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0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0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0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0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0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0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0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0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0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0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0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0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0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0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0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0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0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0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0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0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0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0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0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0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0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0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0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0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0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0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0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0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0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0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0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0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0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0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0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0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0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0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0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0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0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0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0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0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0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0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0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0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0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0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0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0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0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0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0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0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0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0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0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0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0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0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0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0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0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0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0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0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0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0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0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0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0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0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0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0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0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0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0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0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0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0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0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0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0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0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0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0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0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0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0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0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0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0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0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0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0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0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0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0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0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0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0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0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0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0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0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0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0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0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0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0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0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0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0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0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0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0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0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0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0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0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0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0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0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0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0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0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0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0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0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0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0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0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0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0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0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0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0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0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0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0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0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0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0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0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0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0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0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0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0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0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0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0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0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0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0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0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0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0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0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0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0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0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0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0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0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0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0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0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0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0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0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0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0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0</v>
      </c>
    </row>
    <row r="47" spans="1:275" x14ac:dyDescent="0.25">
      <c r="A47" t="s">
        <v>41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0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0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0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0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0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0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0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0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0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0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0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0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0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0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0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0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0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0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0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0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0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0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0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0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0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0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0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0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0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0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0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0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0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0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0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0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0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0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0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0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0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0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0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0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0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0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0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0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0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0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0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0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0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0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0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0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0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0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0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0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0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0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0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0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0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0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0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0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0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0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0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0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0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0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0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0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0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0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0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0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0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0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0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0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0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0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0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0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0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0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0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0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0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0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0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0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0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0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0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0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0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0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0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0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0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0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0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0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0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0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0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0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0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0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0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0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0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0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0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0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0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0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0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0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0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0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0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0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0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0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0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0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0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0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0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0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0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0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0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0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0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0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0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0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0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0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0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0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0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0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0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0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0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0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0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0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0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0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0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0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0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0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0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0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0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0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0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0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0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0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0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0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0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0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0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0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0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0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0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0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0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0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0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0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0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0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0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0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0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0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0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0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0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0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0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0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0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0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0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0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0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0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0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0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0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0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0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0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0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0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0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0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0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0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0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0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0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0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0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0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0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0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0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0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0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0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0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0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0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0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0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0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0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0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0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0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0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0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0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0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0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0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0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0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0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0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0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0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0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0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0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0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0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0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0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0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0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0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0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0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0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0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0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0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0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0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0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0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0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0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0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0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0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0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0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0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0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0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0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0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0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0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0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0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0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0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0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0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0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0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0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0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0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0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0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0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0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0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0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0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0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0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0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0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0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0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0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0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0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0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0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0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0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0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0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0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0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0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0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0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0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0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0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0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0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0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0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0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0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0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0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0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0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0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0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0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0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0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0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0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0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0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0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0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0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0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0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0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0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0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0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0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0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0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0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0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0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0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0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0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0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0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0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0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0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0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0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0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0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0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0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0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0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0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0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0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0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0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0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0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0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0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0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0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0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0</v>
      </c>
    </row>
    <row r="49" spans="1:203" x14ac:dyDescent="0.25">
      <c r="A49" t="s">
        <v>19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0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0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0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0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0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0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0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0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0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0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0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0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0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0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0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0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0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0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0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0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0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0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0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0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0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0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0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0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0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0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0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0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0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0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0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0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0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0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0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0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0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0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0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0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0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0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0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0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0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0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0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0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0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0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0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0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0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0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0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0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0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0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0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0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0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0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0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0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0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0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0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0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0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0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0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0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0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0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0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0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0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0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0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0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0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0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0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0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0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0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0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0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0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0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0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0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0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0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0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0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0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0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0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0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0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0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0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0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0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0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0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0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0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0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0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0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0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0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0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0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0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0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0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0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0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0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0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0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0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0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0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0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0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0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0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0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0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0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0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0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0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0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0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0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0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0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0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0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0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0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0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0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0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0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0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0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0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0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0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0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0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0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0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0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0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0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0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0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0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0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0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0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0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0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0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0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0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0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0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0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0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0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0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0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0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0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0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0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0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0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0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0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0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0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0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0</v>
      </c>
    </row>
    <row r="50" spans="1:203" x14ac:dyDescent="0.25">
      <c r="A50" t="s">
        <v>32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0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0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0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0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0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0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0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0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0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0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0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0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0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0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0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0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0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0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0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0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0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0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0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0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0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0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0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0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0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0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0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0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0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0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0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0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0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0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0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0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0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0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0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0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0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0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0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0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0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0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0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0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0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0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0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0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0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0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0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0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0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0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0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0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0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0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0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0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0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0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0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0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0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0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0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0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0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0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0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0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0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0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0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0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0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0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0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0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0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0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0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0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0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0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0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0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0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0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0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0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0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0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0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0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0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0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0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0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0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0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0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0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0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0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0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0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0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0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0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0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0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0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0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0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0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0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0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0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0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0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0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0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0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0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0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0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0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0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0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0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0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0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0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0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0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0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0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0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0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0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0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0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0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0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0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0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0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0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0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0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0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0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0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0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0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0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0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0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0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0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0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0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0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0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0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0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0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0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0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0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0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0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0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0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0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0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0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0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0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0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0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0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0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0</v>
      </c>
    </row>
    <row r="51" spans="1:203" x14ac:dyDescent="0.25">
      <c r="A51" t="s">
        <v>35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0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0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0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0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0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0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0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0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0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0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0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0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0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0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0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0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0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0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0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0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0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0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0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0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0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0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0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0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0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0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0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0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0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0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0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0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0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0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0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0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0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0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0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0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0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0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0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0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0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0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0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0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0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0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0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0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0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0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0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0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0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0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0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0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0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0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0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0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0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0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0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0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0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0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0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0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0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0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0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0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0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0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0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0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0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0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0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0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0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0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0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0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0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0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0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0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0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0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0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0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0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0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0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0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0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0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0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0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0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0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0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0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0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0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0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0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0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0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0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0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0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0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0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0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0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0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0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0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0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0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0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0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0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0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0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0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0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0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0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0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0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0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0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0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0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0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0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0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0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0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0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0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0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0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0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0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0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0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0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0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0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0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0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0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0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0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0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0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0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0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0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0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0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0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0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0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0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0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0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0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0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0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0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0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0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0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0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0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0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0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0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0</v>
      </c>
    </row>
    <row r="52" spans="1:203" x14ac:dyDescent="0.25">
      <c r="A52" t="s">
        <v>20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2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2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2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2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2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2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2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2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2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2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2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2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2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2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2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2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2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2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2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2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2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2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2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2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2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2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2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2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2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2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2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2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2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2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2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2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2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2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2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2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2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2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2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2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2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2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2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2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2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2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2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2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2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2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2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2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2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2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2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2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2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2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2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2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2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2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2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2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2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2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2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2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2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2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2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2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2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2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2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2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2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2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2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2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2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2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2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2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2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2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2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2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2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2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2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2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2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2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2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2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2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2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2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2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2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2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2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2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2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2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2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2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2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2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2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2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2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2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2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2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2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2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2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2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2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2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2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2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2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2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2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2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2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2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2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2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2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2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2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2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2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2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2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2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2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2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2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2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2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2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2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2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2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2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2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2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2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2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2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2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2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2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2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2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2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2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2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2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2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2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2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2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2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2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2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2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2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2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2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2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2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2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2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2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2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2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2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2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2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2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2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2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2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2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2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2</v>
      </c>
    </row>
    <row r="53" spans="1:203" x14ac:dyDescent="0.25">
      <c r="A53" t="s">
        <v>42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0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0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0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0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0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0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0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0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0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0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0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0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0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0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0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0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0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0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0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0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0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0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0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0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0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0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0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0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0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0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0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0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0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0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0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0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0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0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0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0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0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0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0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0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0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0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0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0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0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0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0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0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0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0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0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0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0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0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0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0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0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0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0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0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0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0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0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0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0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0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0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0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0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0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0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0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0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0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0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0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0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0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0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0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0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0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0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0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0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0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0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0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0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0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0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0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0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0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0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0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0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0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0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0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0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0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0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0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0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0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0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0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0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0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0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0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0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0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0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0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0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0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0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0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0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0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0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0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0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0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0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0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0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0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0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0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0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0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0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0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0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0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0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0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0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0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0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0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0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0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0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0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0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0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0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0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0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0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0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0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0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0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0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0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0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0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0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0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0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0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0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0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0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0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0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0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0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0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0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0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0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0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0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0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0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0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0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0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0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0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0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0</v>
      </c>
    </row>
    <row r="54" spans="1:203" x14ac:dyDescent="0.25">
      <c r="A54" t="s">
        <v>21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0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0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0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0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0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0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0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0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0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0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0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0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0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0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0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0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0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0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0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0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0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0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0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0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0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0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0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0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0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0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0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0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0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0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0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0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0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0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0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0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0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0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0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0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0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0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0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0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0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0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0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0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0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0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0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0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0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0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0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0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0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0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0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0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0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0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0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0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0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0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0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0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0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0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0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0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0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0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0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0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0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0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0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0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0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0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0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0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0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0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0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0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0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0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0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0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0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0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0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0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0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0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0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0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0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0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0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0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0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0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0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0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0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0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0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0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0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0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0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0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0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0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0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0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0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0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0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0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0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0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0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0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0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0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0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0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0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0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0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0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0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0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0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0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0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0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0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0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0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0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0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0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0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0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0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0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0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0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0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0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0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0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0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0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0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0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0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0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0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0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0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0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0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0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0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0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0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0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0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0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0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0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0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0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0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0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0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0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0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0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0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0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0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0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0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0</v>
      </c>
    </row>
    <row r="55" spans="1:203" x14ac:dyDescent="0.25">
      <c r="A55" t="s">
        <v>33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0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0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0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0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0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0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0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0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0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0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0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0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0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0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0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0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0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0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0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0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0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0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0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0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0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0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0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0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0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0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0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0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0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0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0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0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0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0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0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0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0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0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0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0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0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0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0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0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0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0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0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0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0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0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0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0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0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0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0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0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0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0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0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0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0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0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0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0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0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0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0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0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0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0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0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0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0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0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0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0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0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0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0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0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0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0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0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0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0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0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0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0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0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0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0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0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0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0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0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0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0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0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0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0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0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0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0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0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0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0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0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0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0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0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0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0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0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0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0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0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0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0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0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0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0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0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0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0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0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0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0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0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0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0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0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0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0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0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0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0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0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0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0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0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0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0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0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0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0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0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0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0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0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0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0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0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0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0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0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0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0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0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0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0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0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0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0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0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0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0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0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0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0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0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0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0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0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0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0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0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0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0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0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0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0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0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0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0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0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0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0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0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0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0</v>
      </c>
    </row>
    <row r="56" spans="1:203" x14ac:dyDescent="0.25">
      <c r="A56" t="s">
        <v>25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2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2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2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2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2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2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2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2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2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2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2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2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2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2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2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2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2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2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2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2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2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2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2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2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2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2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2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2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2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2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2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2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2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2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2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2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2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2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2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2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2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2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2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2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2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2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2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2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2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2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2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2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2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2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2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2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2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2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2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2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2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2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2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2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2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2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2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2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2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2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2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2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2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2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2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2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2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2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2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2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2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2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2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2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2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2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2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2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2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2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2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2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2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2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2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2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2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2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2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2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2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2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2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2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2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2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2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2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2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2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2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2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2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2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2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2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2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2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2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2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2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2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2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2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2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2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2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2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2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2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2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2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2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2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2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2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2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2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2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2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2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2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2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2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2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2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2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2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2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2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2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2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2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2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2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2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2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2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2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2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2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2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2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2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2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2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2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2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2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2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2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2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2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2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2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2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2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2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2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2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2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2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2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2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2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2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2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2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2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2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2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2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2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2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2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2</v>
      </c>
    </row>
    <row r="57" spans="1:203" x14ac:dyDescent="0.25">
      <c r="A57" t="s">
        <v>36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0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0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0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0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0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0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0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0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0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0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0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0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0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0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0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0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0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0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0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0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0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0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0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0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0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0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0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0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0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0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0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0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0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0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0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0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0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0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0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0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0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0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0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0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0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0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0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0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0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0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0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0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0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0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0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0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0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0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0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0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0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0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0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0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0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0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0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0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0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0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0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0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0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0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0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0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0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0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0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0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0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0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0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0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0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0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0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0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0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0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0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0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0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0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0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0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0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0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0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0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0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0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0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0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0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0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0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0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0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0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0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0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0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0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0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0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0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0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0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0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0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0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0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0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0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0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0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0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0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0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0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0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0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0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0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0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0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0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0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0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0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0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0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0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0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0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0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0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0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0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0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0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0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0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0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0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0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0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0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0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0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0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0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0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0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0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0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0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0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0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0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0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0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0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0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0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0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0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0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0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0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0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0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0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0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0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0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0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0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0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0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0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0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0</v>
      </c>
    </row>
    <row r="58" spans="1:203" x14ac:dyDescent="0.25">
      <c r="A58" t="s">
        <v>12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0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0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0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0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0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0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0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0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0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0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0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0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0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0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0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0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0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0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0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0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0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0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0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0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0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0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0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0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0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0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0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0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0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0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0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0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0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0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0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0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0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0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0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0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0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0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0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0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0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0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0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0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0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0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0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0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0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0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0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0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0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0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0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0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0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0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0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0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0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0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0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0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0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0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0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0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0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0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0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0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0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0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0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0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0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0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0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0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0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0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0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0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0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0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0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0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0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0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0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0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0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0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0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0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0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0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0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0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0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0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0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0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0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0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0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0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0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0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0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0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0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0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0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0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0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0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0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0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0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0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0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0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0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0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0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0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0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0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0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0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0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0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0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0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0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0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0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0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0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0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0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0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0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0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0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0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0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0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0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0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0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0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0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0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0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0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0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0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0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0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0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0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0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0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0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0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0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0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0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0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0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0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0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0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0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0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0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0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0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0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0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0</v>
      </c>
    </row>
    <row r="59" spans="1:203" x14ac:dyDescent="0.25">
      <c r="A59" t="s">
        <v>14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0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0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0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0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0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0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0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0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0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0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0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0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0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0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0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0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0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0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0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0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0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0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0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0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0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0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0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0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0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0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0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0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0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0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0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0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0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0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0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0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0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0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0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0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0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0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0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0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0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0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0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0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0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0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0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0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0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0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0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0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0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0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0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0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0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0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0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0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0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0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0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0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0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0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0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0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0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0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0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0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0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0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0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0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0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0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0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0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0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0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0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0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0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0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0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0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0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0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0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0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0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0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0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0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0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0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0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0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0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0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0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0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0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0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0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0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0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0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0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0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0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0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0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0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0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0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0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0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0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0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0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0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0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0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0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0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0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0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0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0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0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0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0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0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0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0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0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0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0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0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0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0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0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0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0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0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0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0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0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0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0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0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0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0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0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0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0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0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0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0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0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0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0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0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0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0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0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0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0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0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0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0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0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0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0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0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0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0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0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0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0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0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0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0</v>
      </c>
    </row>
    <row r="60" spans="1:203" x14ac:dyDescent="0.25">
      <c r="A60" t="s">
        <v>34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0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0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0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0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0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0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0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0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0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0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0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0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0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0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0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0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0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0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0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0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0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0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0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0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0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0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0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0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0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0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0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0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0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0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0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0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0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0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0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0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0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0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0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0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0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0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0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0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0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0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0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0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0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0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0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0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0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0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0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0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0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0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0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0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0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0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0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0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0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0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0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0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0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0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0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0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0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0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0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0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0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0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0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0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0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0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0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0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0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0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0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0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0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0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0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0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0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0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0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0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0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0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0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0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0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0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0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0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0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0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0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0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0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0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0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0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0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0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0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0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0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0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0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0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0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0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0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0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0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0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0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0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0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0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0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0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0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0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0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0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0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0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0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0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0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0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0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0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0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0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0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0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0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0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0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0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0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0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0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0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0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0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0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0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0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0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0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0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0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0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0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0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0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0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0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0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0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0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0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0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0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0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0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0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0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0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0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0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0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0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0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0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0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0</v>
      </c>
    </row>
    <row r="61" spans="1:203" x14ac:dyDescent="0.25">
      <c r="A61" t="s">
        <v>16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0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0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0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0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0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0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0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0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0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0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0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0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0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0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0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0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0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0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0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0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0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0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0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0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0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0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0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0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0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0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0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0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0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0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0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0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0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0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0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0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0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0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0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0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0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0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0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0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0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0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0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0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0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0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0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0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0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0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0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0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0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0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0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0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0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0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0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0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0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0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0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0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0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0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0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0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0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0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0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0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0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0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0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0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0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0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0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0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0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0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0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0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0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0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0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0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0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0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0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0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0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0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0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0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0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0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0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0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0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0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0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0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0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0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0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0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0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0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0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0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0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0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0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0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0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0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0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0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0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0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0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0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0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0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0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0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0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0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0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0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0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0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0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0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0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0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0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0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0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0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0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0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0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0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0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0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0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0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0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0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0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0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0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0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0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0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0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0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0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0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0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0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0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0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0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0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0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0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0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0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0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0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0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0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0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0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0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0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0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0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0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0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0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0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1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1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1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1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1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1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1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1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1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1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1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1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1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1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1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1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1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1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1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1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1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1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1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1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1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1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1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1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1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1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1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1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1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1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1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1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1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1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1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1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1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1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1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1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1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1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1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1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1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1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1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1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1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1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1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1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1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1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1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1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1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1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1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1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1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1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1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1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1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1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1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1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1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1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1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1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1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1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1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1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1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1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1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1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1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1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1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1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1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1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1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1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1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1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1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1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1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1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1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1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1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1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1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1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1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1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1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1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1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1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1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1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1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1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1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1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1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1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1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1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1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1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1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1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1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1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1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1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1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1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1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1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1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1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1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1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1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1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1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1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1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1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1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1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1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1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1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1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1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1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1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1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1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1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1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1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1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1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1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1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1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1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1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1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1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1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1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1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1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1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1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1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1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1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1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1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1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1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1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1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1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1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1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1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1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1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1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1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1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1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1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1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1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1</v>
      </c>
    </row>
    <row r="63" spans="1:203" x14ac:dyDescent="0.25">
      <c r="A63" t="s">
        <v>27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2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2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2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2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2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2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2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2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2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2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2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2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2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2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2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2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2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2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2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2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2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2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2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2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2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2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2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2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2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2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2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2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2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2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2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2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2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2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2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2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2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2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2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2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2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2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2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2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2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2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2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2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2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2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2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2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2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2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2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2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2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2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2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2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2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2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2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2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2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2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2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2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2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2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2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2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2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2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2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2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2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2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2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2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2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2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2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2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2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2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2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2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2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2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2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2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2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2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2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2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2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2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2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2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2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2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2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2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2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2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2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2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2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2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2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2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2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2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2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2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2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2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2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2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2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2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2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2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2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2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2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2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2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2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2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2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2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2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2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2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2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2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2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2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2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2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2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2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2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2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2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2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2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2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2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2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2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2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2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2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2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2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2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2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2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2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2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2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2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2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2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2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2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2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2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2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2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2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2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2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2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2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2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2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2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2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2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2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2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2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2</v>
      </c>
    </row>
    <row r="64" spans="1:203" x14ac:dyDescent="0.25">
      <c r="A64" t="s">
        <v>22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1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1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1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1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1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1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1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1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1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1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1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1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1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1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1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1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1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1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1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1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1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1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1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1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1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1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1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1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1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1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1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1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1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1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1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1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1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1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1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1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1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1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1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1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1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1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1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1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1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1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1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1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1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1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1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1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1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1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1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1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1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1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1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1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1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1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1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1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1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1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1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1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1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1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1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1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1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1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1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1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1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1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1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1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1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1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1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1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1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1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1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1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1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1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1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1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1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1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1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1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1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1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1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1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1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1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1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1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1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1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1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1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1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1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1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1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1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1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1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1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1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1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1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1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1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1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1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1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1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1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1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1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1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1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1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1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1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1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1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1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1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1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1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1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1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1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1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1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1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1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1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1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1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1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1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1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1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1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1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1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1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1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1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1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1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1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1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1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1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1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1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1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1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1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1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1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1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1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1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1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1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1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1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1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1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1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1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1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1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1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1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1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1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1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1</v>
      </c>
    </row>
    <row r="65" spans="1:275" x14ac:dyDescent="0.25">
      <c r="A65" t="s">
        <v>23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2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2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2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2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2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2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2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2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2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2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2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2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2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2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2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2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2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2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2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2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2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2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2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2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2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2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2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2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2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2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2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2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2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2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2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2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2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2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2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2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2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2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2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2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2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2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2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2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2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2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2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2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2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2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2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2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2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2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2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2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2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2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2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2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2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2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2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2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2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2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2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2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2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2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2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2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2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2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2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2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2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2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2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2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2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2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2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2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2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2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2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2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2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2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2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2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2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2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2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2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2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2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2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2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2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2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2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2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2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2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2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2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2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2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2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2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2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2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2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2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2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2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2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2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2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2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2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2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2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2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2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2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2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2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2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2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2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2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2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2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2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2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2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2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2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2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2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2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2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2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2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2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2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2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2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2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2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2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2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2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2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2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2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2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2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2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2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2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2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2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2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2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2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2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2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2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2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2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2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2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2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2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2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2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2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2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2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2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2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2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2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2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2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2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2</v>
      </c>
    </row>
    <row r="66" spans="1:275" x14ac:dyDescent="0.25">
      <c r="A66" t="s">
        <v>24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0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0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0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0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0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0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0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0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0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0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0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0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0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0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0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0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0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0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0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0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0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0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0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0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0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0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0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0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0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0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0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0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0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0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0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0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0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0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0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0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0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0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0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0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0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0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0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0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0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0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0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0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0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0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0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0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0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0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0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0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0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0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0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0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0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0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0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0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0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0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0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0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0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0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0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0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0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0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0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0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0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0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0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0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0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0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0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0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0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0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0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0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0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0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0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0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0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0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0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0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0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0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0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0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0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0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0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0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0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0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0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0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0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0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0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0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0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0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0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0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0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0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0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0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0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0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0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0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0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0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0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0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0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0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0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0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0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0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0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0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0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0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0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0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0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0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0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0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0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0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0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0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0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0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0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0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0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0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0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0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0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0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0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0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0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0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0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0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0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0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0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0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0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0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0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0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0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0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0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0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0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0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0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0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0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0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0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0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0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0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0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0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0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0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0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0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0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0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0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0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0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0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0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0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0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0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0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0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0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0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0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0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0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0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0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0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0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0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0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0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0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0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0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0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0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0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0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0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0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0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0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0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0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0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0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0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0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0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0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0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0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0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0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0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0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0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0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0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0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0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0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0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0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0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0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0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0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0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0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0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0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0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0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0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0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0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0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0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0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0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0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0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0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0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0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0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0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0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0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0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0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0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0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0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0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0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0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0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0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0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0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0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0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0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0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0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0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0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0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0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0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0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0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0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0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0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0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0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0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0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0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0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0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0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0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0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0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0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0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0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0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0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0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0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0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0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0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0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0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0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0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0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0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0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0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0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0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0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0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0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0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0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0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0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0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0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0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0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0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0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0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0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0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0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0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0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0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0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0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0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0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0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0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0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0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0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0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0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0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0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0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0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0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0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0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0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0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0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0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0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0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0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0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0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0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0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0</v>
      </c>
    </row>
    <row r="68" spans="1:275" x14ac:dyDescent="0.25">
      <c r="A68" t="s">
        <v>11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0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0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0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0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0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0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0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0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0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0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0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0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0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0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0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0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0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0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0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0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0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0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0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0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0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0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0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0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0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0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0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0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0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0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0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0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0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0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0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0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0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0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0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0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0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0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0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0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0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0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0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0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0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0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0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0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0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0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0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0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0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0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0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0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0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0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0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0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0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0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0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0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0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0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0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0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0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0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0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0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0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0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0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0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0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0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0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0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0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0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0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0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0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0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0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0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0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0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0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0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0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0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0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0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0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0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0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0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0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0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0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0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0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0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0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0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0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0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0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0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0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0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0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0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0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0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0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0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0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0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0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0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0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0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0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0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0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0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0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0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0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0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0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0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0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0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0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0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0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0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0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0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0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0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0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0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0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0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0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0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0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0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0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0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0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0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0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0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0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0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0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0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0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0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0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0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0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0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0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0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0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0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0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0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0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0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0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0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0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0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0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0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0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0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0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0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0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0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0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0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0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0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0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0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0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0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0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0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0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0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0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0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0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0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0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0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0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0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0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0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0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0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0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0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0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0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0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0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0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0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0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0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0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0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0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0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0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0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0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0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0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0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0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0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0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0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0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0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0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0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0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0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0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0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0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0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0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0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0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0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0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0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0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0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0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0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0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0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0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0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0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0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0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0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0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0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0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0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0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0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0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0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0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0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0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0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0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0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0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0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0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0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0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0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0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0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0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0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0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0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0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0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0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0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0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0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0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0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0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0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0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0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0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0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0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0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0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0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0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0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0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0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0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0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0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0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0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0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0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0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0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0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0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0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0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0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0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0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0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0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0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0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0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0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0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0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0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0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0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0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0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0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0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0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0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0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0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0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0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0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0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0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0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0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0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0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0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0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0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0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0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0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0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0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0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0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0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0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0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0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0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0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0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0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0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0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0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0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0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0.5</v>
      </c>
      <c r="K70">
        <f>SUBTOTAL(101,Table46[2024-10-10])</f>
        <v>0.5</v>
      </c>
      <c r="L70">
        <f>SUBTOTAL(101,Table46[2024-10-11])</f>
        <v>0.5</v>
      </c>
      <c r="M70">
        <f>SUBTOTAL(101,Table46[2024-10-12])</f>
        <v>0.5</v>
      </c>
      <c r="N70">
        <f>SUBTOTAL(101,Table46[2024-10-13])</f>
        <v>0.5</v>
      </c>
      <c r="O70">
        <f>SUBTOTAL(101,Table46[2024-10-14])</f>
        <v>0.5</v>
      </c>
      <c r="P70">
        <f>SUBTOTAL(101,Table46[2024-10-15])</f>
        <v>0.5</v>
      </c>
      <c r="Q70">
        <f>SUBTOTAL(101,Table46[2024-10-16])</f>
        <v>0.5</v>
      </c>
      <c r="R70">
        <f>SUBTOTAL(101,Table46[2024-10-17])</f>
        <v>0.5</v>
      </c>
      <c r="S70">
        <f>SUBTOTAL(101,Table46[2024-10-18])</f>
        <v>0.5</v>
      </c>
      <c r="T70">
        <f>SUBTOTAL(101,Table46[2024-10-19])</f>
        <v>0.5</v>
      </c>
      <c r="U70">
        <f>SUBTOTAL(101,Table46[2024-10-20])</f>
        <v>0.5</v>
      </c>
      <c r="V70">
        <f>SUBTOTAL(101,Table46[2024-10-21])</f>
        <v>0.5</v>
      </c>
      <c r="W70">
        <f>SUBTOTAL(101,Table46[2024-10-22])</f>
        <v>0.5</v>
      </c>
      <c r="X70">
        <f>SUBTOTAL(101,Table46[2024-10-23])</f>
        <v>0.5</v>
      </c>
      <c r="Y70">
        <f>SUBTOTAL(101,Table46[2024-10-24])</f>
        <v>0.5</v>
      </c>
      <c r="Z70">
        <f>SUBTOTAL(101,Table46[2024-10-25])</f>
        <v>0.5</v>
      </c>
      <c r="AA70">
        <f>SUBTOTAL(101,Table46[2024-10-26])</f>
        <v>0.5</v>
      </c>
      <c r="AB70">
        <f>SUBTOTAL(101,Table46[2024-10-27])</f>
        <v>0.5</v>
      </c>
      <c r="AC70">
        <f>SUBTOTAL(101,Table46[2024-10-28])</f>
        <v>0.5</v>
      </c>
      <c r="AD70">
        <f>SUBTOTAL(101,Table46[2024-10-29])</f>
        <v>0.5</v>
      </c>
      <c r="AE70">
        <f>SUBTOTAL(101,Table46[2024-10-30])</f>
        <v>0.5</v>
      </c>
      <c r="AF70">
        <f>SUBTOTAL(101,Table46[2024-10-31])</f>
        <v>0.5</v>
      </c>
      <c r="AG70">
        <f>SUBTOTAL(101,Table46[2024-11-01])</f>
        <v>0.5</v>
      </c>
      <c r="AH70">
        <f>SUBTOTAL(101,Table46[2024-11-02])</f>
        <v>0.5</v>
      </c>
      <c r="AI70">
        <f>SUBTOTAL(101,Table46[2024-11-03])</f>
        <v>0.5</v>
      </c>
      <c r="AJ70">
        <f>SUBTOTAL(101,Table46[2024-11-04])</f>
        <v>0.5</v>
      </c>
      <c r="AK70">
        <f>SUBTOTAL(101,Table46[2024-11-05])</f>
        <v>0.5</v>
      </c>
      <c r="AL70">
        <f>SUBTOTAL(101,Table46[2024-11-06])</f>
        <v>0.5</v>
      </c>
      <c r="AM70">
        <f>SUBTOTAL(101,Table46[2024-11-07])</f>
        <v>0.5</v>
      </c>
      <c r="AN70">
        <f>SUBTOTAL(101,Table46[2024-11-08])</f>
        <v>0.5</v>
      </c>
      <c r="AO70">
        <f>SUBTOTAL(101,Table46[2024-11-09])</f>
        <v>0.5</v>
      </c>
      <c r="AP70">
        <f>SUBTOTAL(101,Table46[2024-11-10])</f>
        <v>0.5</v>
      </c>
      <c r="AQ70">
        <f>SUBTOTAL(101,Table46[2024-11-11])</f>
        <v>0.5</v>
      </c>
      <c r="AR70">
        <f>SUBTOTAL(101,Table46[2024-11-12])</f>
        <v>0.5</v>
      </c>
      <c r="AS70">
        <f>SUBTOTAL(101,Table46[2024-11-13])</f>
        <v>0.5</v>
      </c>
      <c r="AT70">
        <f>SUBTOTAL(101,Table46[2024-11-14])</f>
        <v>0.5</v>
      </c>
      <c r="AU70">
        <f>SUBTOTAL(101,Table46[2024-11-15])</f>
        <v>0.5</v>
      </c>
      <c r="AV70">
        <f>SUBTOTAL(101,Table46[2024-11-16])</f>
        <v>0.5</v>
      </c>
      <c r="AW70">
        <f>SUBTOTAL(101,Table46[2024-11-17])</f>
        <v>0.5</v>
      </c>
      <c r="AX70">
        <f>SUBTOTAL(101,Table46[2024-11-18])</f>
        <v>0.5</v>
      </c>
      <c r="AY70">
        <f>SUBTOTAL(101,Table46[2024-11-19])</f>
        <v>0.5</v>
      </c>
      <c r="AZ70">
        <f>SUBTOTAL(101,Table46[2024-11-20])</f>
        <v>0.5</v>
      </c>
      <c r="BA70">
        <f>SUBTOTAL(101,Table46[2024-11-21])</f>
        <v>0.5</v>
      </c>
      <c r="BB70">
        <f>SUBTOTAL(101,Table46[2024-11-22])</f>
        <v>0.5</v>
      </c>
      <c r="BC70">
        <f>SUBTOTAL(101,Table46[2024-11-23])</f>
        <v>0.5</v>
      </c>
      <c r="BD70">
        <f>SUBTOTAL(101,Table46[2024-11-24])</f>
        <v>0.5</v>
      </c>
      <c r="BE70">
        <f>SUBTOTAL(101,Table46[2024-11-25])</f>
        <v>0.5</v>
      </c>
      <c r="BF70">
        <f>SUBTOTAL(101,Table46[2024-11-26])</f>
        <v>0.5</v>
      </c>
      <c r="BG70">
        <f>SUBTOTAL(101,Table46[2024-11-27])</f>
        <v>0.5</v>
      </c>
      <c r="BH70">
        <f>SUBTOTAL(101,Table46[2024-11-28])</f>
        <v>0.5</v>
      </c>
      <c r="BI70">
        <f>SUBTOTAL(101,Table46[2024-11-29])</f>
        <v>0.5</v>
      </c>
      <c r="BJ70">
        <f>SUBTOTAL(101,Table46[2024-11-30])</f>
        <v>0.5</v>
      </c>
      <c r="BK70">
        <f>SUBTOTAL(101,Table46[2024-12-01])</f>
        <v>0.5</v>
      </c>
      <c r="BL70">
        <f>SUBTOTAL(101,Table46[2024-12-02])</f>
        <v>0.5</v>
      </c>
      <c r="BM70">
        <f>SUBTOTAL(101,Table46[2024-12-03])</f>
        <v>0.5</v>
      </c>
      <c r="BN70">
        <f>SUBTOTAL(101,Table46[2024-12-04])</f>
        <v>0.5</v>
      </c>
      <c r="BO70">
        <f>SUBTOTAL(101,Table46[2024-12-05])</f>
        <v>0.5</v>
      </c>
      <c r="BP70">
        <f>SUBTOTAL(101,Table46[2024-12-06])</f>
        <v>0.5</v>
      </c>
      <c r="BQ70">
        <f>SUBTOTAL(101,Table46[2024-12-07])</f>
        <v>0.5</v>
      </c>
      <c r="BR70">
        <f>SUBTOTAL(101,Table46[2024-12-08])</f>
        <v>0.5</v>
      </c>
      <c r="BS70">
        <f>SUBTOTAL(101,Table46[2024-12-09])</f>
        <v>0.5</v>
      </c>
      <c r="BT70">
        <f>SUBTOTAL(101,Table46[2024-12-10])</f>
        <v>0.5</v>
      </c>
      <c r="BU70">
        <f>SUBTOTAL(101,Table46[2024-12-11])</f>
        <v>0.5</v>
      </c>
      <c r="BV70">
        <f>SUBTOTAL(101,Table46[2024-12-12])</f>
        <v>0.5</v>
      </c>
      <c r="BW70">
        <f>SUBTOTAL(101,Table46[2024-12-13])</f>
        <v>0.5</v>
      </c>
      <c r="BX70">
        <f>SUBTOTAL(101,Table46[2024-12-14])</f>
        <v>0.5</v>
      </c>
      <c r="BY70">
        <f>SUBTOTAL(101,Table46[2024-12-15])</f>
        <v>0.5</v>
      </c>
      <c r="BZ70">
        <f>SUBTOTAL(101,Table46[2024-12-16])</f>
        <v>0.5</v>
      </c>
      <c r="CA70">
        <f>SUBTOTAL(101,Table46[2024-12-17])</f>
        <v>0.5</v>
      </c>
      <c r="CB70">
        <f>SUBTOTAL(101,Table46[2024-12-18])</f>
        <v>0.5</v>
      </c>
      <c r="CC70">
        <f>SUBTOTAL(101,Table46[2024-12-19])</f>
        <v>0.5</v>
      </c>
      <c r="CD70">
        <f>SUBTOTAL(101,Table46[2024-12-20])</f>
        <v>0.5</v>
      </c>
      <c r="CE70">
        <f>SUBTOTAL(101,Table46[2024-12-21])</f>
        <v>0.5</v>
      </c>
      <c r="CF70">
        <f>SUBTOTAL(101,Table46[2024-12-22])</f>
        <v>0.5</v>
      </c>
      <c r="CG70">
        <f>SUBTOTAL(101,Table46[2024-12-23])</f>
        <v>0.5</v>
      </c>
      <c r="CH70">
        <f>SUBTOTAL(101,Table46[2024-12-24])</f>
        <v>0.5</v>
      </c>
      <c r="CI70">
        <f>SUBTOTAL(101,Table46[2024-12-25])</f>
        <v>0.5</v>
      </c>
      <c r="CJ70">
        <f>SUBTOTAL(101,Table46[2024-12-26])</f>
        <v>0.5</v>
      </c>
      <c r="CK70">
        <f>SUBTOTAL(101,Table46[2024-12-27])</f>
        <v>0.5</v>
      </c>
      <c r="CL70">
        <f>SUBTOTAL(101,Table46[2024-12-28])</f>
        <v>0.5</v>
      </c>
      <c r="CM70">
        <f>SUBTOTAL(101,Table46[2024-12-29])</f>
        <v>0.5</v>
      </c>
      <c r="CN70">
        <f>SUBTOTAL(101,Table46[2024-12-30])</f>
        <v>0.5</v>
      </c>
      <c r="CO70">
        <f>SUBTOTAL(101,Table46[2024-12-31])</f>
        <v>0.5</v>
      </c>
      <c r="CP70">
        <f>SUBTOTAL(101,Table46[2025-01-01])</f>
        <v>0.5</v>
      </c>
      <c r="CQ70">
        <f>SUBTOTAL(101,Table46[2025-01-02])</f>
        <v>0.5</v>
      </c>
      <c r="CR70">
        <f>SUBTOTAL(101,Table46[2025-01-03])</f>
        <v>0.5</v>
      </c>
      <c r="CS70">
        <f>SUBTOTAL(101,Table46[2025-01-04])</f>
        <v>0.5</v>
      </c>
      <c r="CT70">
        <f>SUBTOTAL(101,Table46[2025-01-05])</f>
        <v>0.5</v>
      </c>
      <c r="CU70">
        <f>SUBTOTAL(101,Table46[2025-01-06])</f>
        <v>0.5</v>
      </c>
      <c r="CV70">
        <f>SUBTOTAL(101,Table46[2025-01-07])</f>
        <v>0.5</v>
      </c>
      <c r="CW70">
        <f>SUBTOTAL(101,Table46[2025-01-08])</f>
        <v>0.5</v>
      </c>
      <c r="CX70">
        <f>SUBTOTAL(101,Table46[2025-01-09])</f>
        <v>0.5</v>
      </c>
      <c r="CY70">
        <f>SUBTOTAL(101,Table46[2025-01-10])</f>
        <v>0.5</v>
      </c>
      <c r="CZ70">
        <f>SUBTOTAL(101,Table46[2025-01-11])</f>
        <v>0.5</v>
      </c>
      <c r="DA70">
        <f>SUBTOTAL(101,Table46[2025-01-12])</f>
        <v>0.5</v>
      </c>
      <c r="DB70">
        <f>SUBTOTAL(101,Table46[2025-01-13])</f>
        <v>0.5</v>
      </c>
      <c r="DC70">
        <f>SUBTOTAL(101,Table46[2025-01-14])</f>
        <v>0.5</v>
      </c>
      <c r="DD70">
        <f>SUBTOTAL(101,Table46[2025-01-15])</f>
        <v>0.5</v>
      </c>
      <c r="DE70">
        <f>SUBTOTAL(101,Table46[2025-01-16])</f>
        <v>0.5</v>
      </c>
      <c r="DF70">
        <f>SUBTOTAL(101,Table46[2025-01-17])</f>
        <v>0.5</v>
      </c>
      <c r="DG70">
        <f>SUBTOTAL(101,Table46[2025-01-18])</f>
        <v>0.5</v>
      </c>
      <c r="DH70">
        <f>SUBTOTAL(101,Table46[2025-01-19])</f>
        <v>0.5</v>
      </c>
      <c r="DI70">
        <f>SUBTOTAL(101,Table46[2025-01-20])</f>
        <v>0.5</v>
      </c>
      <c r="DJ70">
        <f>SUBTOTAL(101,Table46[2025-01-21])</f>
        <v>0.5</v>
      </c>
      <c r="DK70">
        <f>SUBTOTAL(101,Table46[2025-01-22])</f>
        <v>0.5</v>
      </c>
      <c r="DL70">
        <f>SUBTOTAL(101,Table46[2025-01-23])</f>
        <v>0.5</v>
      </c>
      <c r="DM70">
        <f>SUBTOTAL(101,Table46[2025-01-24])</f>
        <v>0.5</v>
      </c>
      <c r="DN70">
        <f>SUBTOTAL(101,Table46[2025-01-25])</f>
        <v>0.5</v>
      </c>
      <c r="DO70">
        <f>SUBTOTAL(101,Table46[2025-01-26])</f>
        <v>0.5</v>
      </c>
      <c r="DP70">
        <f>SUBTOTAL(101,Table46[2025-01-27])</f>
        <v>0.5</v>
      </c>
      <c r="DQ70">
        <f>SUBTOTAL(101,Table46[2025-01-28])</f>
        <v>0.5</v>
      </c>
      <c r="DR70">
        <f>SUBTOTAL(101,Table46[2025-01-29])</f>
        <v>0.5</v>
      </c>
      <c r="DS70">
        <f>SUBTOTAL(101,Table46[2025-01-30])</f>
        <v>0.5</v>
      </c>
      <c r="DT70">
        <f>SUBTOTAL(101,Table46[2025-01-31])</f>
        <v>0.5</v>
      </c>
      <c r="DU70">
        <f>SUBTOTAL(101,Table46[2025-02-01])</f>
        <v>0.5</v>
      </c>
      <c r="DV70">
        <f>SUBTOTAL(101,Table46[2025-02-02])</f>
        <v>0.5</v>
      </c>
      <c r="DW70">
        <f>SUBTOTAL(101,Table46[2025-02-03])</f>
        <v>0.5</v>
      </c>
      <c r="DX70">
        <f>SUBTOTAL(101,Table46[2025-02-04])</f>
        <v>0.5</v>
      </c>
      <c r="DY70">
        <f>SUBTOTAL(101,Table46[2025-02-05])</f>
        <v>0.5</v>
      </c>
      <c r="DZ70">
        <f>SUBTOTAL(101,Table46[2025-02-06])</f>
        <v>0.5</v>
      </c>
      <c r="EA70">
        <f>SUBTOTAL(101,Table46[2025-02-07])</f>
        <v>0.5</v>
      </c>
      <c r="EB70">
        <f>SUBTOTAL(101,Table46[2025-02-08])</f>
        <v>0.5</v>
      </c>
      <c r="EC70">
        <f>SUBTOTAL(101,Table46[2025-02-09])</f>
        <v>0.5</v>
      </c>
      <c r="ED70">
        <f>SUBTOTAL(101,Table46[2025-02-10])</f>
        <v>0.5</v>
      </c>
      <c r="EE70">
        <f>SUBTOTAL(101,Table46[2025-02-11])</f>
        <v>0.5</v>
      </c>
      <c r="EF70">
        <f>SUBTOTAL(101,Table46[2025-02-12])</f>
        <v>0.5</v>
      </c>
      <c r="EG70">
        <f>SUBTOTAL(101,Table46[2025-02-13])</f>
        <v>0.5</v>
      </c>
      <c r="EH70">
        <f>SUBTOTAL(101,Table46[2025-02-14])</f>
        <v>0.5</v>
      </c>
      <c r="EI70">
        <f>SUBTOTAL(101,Table46[2025-02-15])</f>
        <v>0.5</v>
      </c>
      <c r="EJ70">
        <f>SUBTOTAL(101,Table46[2025-02-16])</f>
        <v>0.5</v>
      </c>
      <c r="EK70">
        <f>SUBTOTAL(101,Table46[2025-02-17])</f>
        <v>0.5</v>
      </c>
      <c r="EL70">
        <f>SUBTOTAL(101,Table46[2025-02-18])</f>
        <v>0.5</v>
      </c>
      <c r="EM70">
        <f>SUBTOTAL(101,Table46[2025-02-19])</f>
        <v>0.5</v>
      </c>
      <c r="EN70">
        <f>SUBTOTAL(101,Table46[2025-02-20])</f>
        <v>0.5</v>
      </c>
      <c r="EO70">
        <f>SUBTOTAL(101,Table46[2025-02-21])</f>
        <v>0.5</v>
      </c>
      <c r="EP70">
        <f>SUBTOTAL(101,Table46[2025-02-22])</f>
        <v>0.5</v>
      </c>
      <c r="EQ70">
        <f>SUBTOTAL(101,Table46[2025-02-23])</f>
        <v>0.5</v>
      </c>
      <c r="ER70">
        <f>SUBTOTAL(101,Table46[2025-02-24])</f>
        <v>0.5</v>
      </c>
      <c r="ES70">
        <f>SUBTOTAL(101,Table46[2025-02-25])</f>
        <v>0.5</v>
      </c>
      <c r="ET70">
        <f>SUBTOTAL(101,Table46[2025-02-26])</f>
        <v>0.5</v>
      </c>
      <c r="EU70">
        <f>SUBTOTAL(101,Table46[2025-02-27])</f>
        <v>0.5</v>
      </c>
      <c r="EV70">
        <f>SUBTOTAL(101,Table46[2025-02-28])</f>
        <v>0.5</v>
      </c>
      <c r="EW70">
        <f>SUBTOTAL(101,Table46[2025-03-01])</f>
        <v>0.5</v>
      </c>
      <c r="EX70">
        <f>SUBTOTAL(101,Table46[2025-03-02])</f>
        <v>0.5</v>
      </c>
      <c r="EY70">
        <f>SUBTOTAL(101,Table46[2025-03-03])</f>
        <v>0.5</v>
      </c>
      <c r="EZ70">
        <f>SUBTOTAL(101,Table46[2025-03-04])</f>
        <v>0.5</v>
      </c>
      <c r="FA70">
        <f>SUBTOTAL(101,Table46[2025-03-05])</f>
        <v>0.5</v>
      </c>
      <c r="FB70">
        <f>SUBTOTAL(101,Table46[2025-03-06])</f>
        <v>0.5</v>
      </c>
      <c r="FC70">
        <f>SUBTOTAL(101,Table46[2025-03-07])</f>
        <v>0.5</v>
      </c>
      <c r="FD70">
        <f>SUBTOTAL(101,Table46[2025-03-08])</f>
        <v>0.5</v>
      </c>
      <c r="FE70">
        <f>SUBTOTAL(101,Table46[2025-03-09])</f>
        <v>0.5</v>
      </c>
      <c r="FF70">
        <f>SUBTOTAL(101,Table46[2025-03-10])</f>
        <v>0.5</v>
      </c>
      <c r="FG70">
        <f>SUBTOTAL(101,Table46[2025-03-11])</f>
        <v>0.5</v>
      </c>
      <c r="FH70">
        <f>SUBTOTAL(101,Table46[2025-03-12])</f>
        <v>0.5</v>
      </c>
      <c r="FI70">
        <f>SUBTOTAL(101,Table46[2025-03-13])</f>
        <v>0.5</v>
      </c>
      <c r="FJ70">
        <f>SUBTOTAL(101,Table46[2025-03-14])</f>
        <v>0.5</v>
      </c>
      <c r="FK70">
        <f>SUBTOTAL(101,Table46[2025-03-15])</f>
        <v>0.5</v>
      </c>
      <c r="FL70">
        <f>SUBTOTAL(101,Table46[2025-03-16])</f>
        <v>0.5</v>
      </c>
      <c r="FM70">
        <f>SUBTOTAL(101,Table46[2025-03-17])</f>
        <v>0.5</v>
      </c>
      <c r="FN70">
        <f>SUBTOTAL(101,Table46[2025-03-18])</f>
        <v>0.5</v>
      </c>
      <c r="FO70">
        <f>SUBTOTAL(101,Table46[2025-03-19])</f>
        <v>0.5</v>
      </c>
      <c r="FP70">
        <f>SUBTOTAL(101,Table46[2025-03-20])</f>
        <v>0.5</v>
      </c>
      <c r="FQ70">
        <f>SUBTOTAL(101,Table46[2025-03-21])</f>
        <v>0.5</v>
      </c>
      <c r="FR70">
        <f>SUBTOTAL(101,Table46[2025-03-22])</f>
        <v>0.5</v>
      </c>
      <c r="FS70">
        <f>SUBTOTAL(101,Table46[2025-03-23])</f>
        <v>0.5</v>
      </c>
      <c r="FT70">
        <f>SUBTOTAL(101,Table46[2025-03-24])</f>
        <v>0.5</v>
      </c>
      <c r="FU70">
        <f>SUBTOTAL(101,Table46[2025-03-25])</f>
        <v>0.5</v>
      </c>
      <c r="FV70">
        <f>SUBTOTAL(101,Table46[2025-03-26])</f>
        <v>0.5</v>
      </c>
      <c r="FW70">
        <f>SUBTOTAL(101,Table46[2025-03-27])</f>
        <v>0.5</v>
      </c>
      <c r="FX70">
        <f>SUBTOTAL(101,Table46[2025-03-28])</f>
        <v>0.5</v>
      </c>
      <c r="FY70">
        <f>SUBTOTAL(101,Table46[2025-03-29])</f>
        <v>0.5</v>
      </c>
      <c r="FZ70">
        <f>SUBTOTAL(101,Table46[2025-03-30])</f>
        <v>0.5</v>
      </c>
      <c r="GA70">
        <f>SUBTOTAL(101,Table46[2025-03-31])</f>
        <v>0.5</v>
      </c>
      <c r="GB70">
        <f>SUBTOTAL(101,Table46[2025-04-01])</f>
        <v>0.5</v>
      </c>
      <c r="GC70">
        <f>SUBTOTAL(101,Table46[2025-04-02])</f>
        <v>0.5</v>
      </c>
      <c r="GD70">
        <f>SUBTOTAL(101,Table46[2025-04-03])</f>
        <v>0.5</v>
      </c>
      <c r="GE70">
        <f>SUBTOTAL(101,Table46[2025-04-04])</f>
        <v>0.5</v>
      </c>
      <c r="GF70">
        <f>SUBTOTAL(101,Table46[2025-04-05])</f>
        <v>0.5</v>
      </c>
      <c r="GG70">
        <f>SUBTOTAL(101,Table46[2025-04-06])</f>
        <v>0.5</v>
      </c>
      <c r="GH70">
        <f>SUBTOTAL(101,Table46[2025-04-07])</f>
        <v>0.5</v>
      </c>
      <c r="GI70">
        <f>SUBTOTAL(101,Table46[2025-04-08])</f>
        <v>0.5</v>
      </c>
      <c r="GJ70">
        <f>SUBTOTAL(101,Table46[2025-04-09])</f>
        <v>0.5</v>
      </c>
      <c r="GK70">
        <f>SUBTOTAL(101,Table46[2025-04-10])</f>
        <v>0.5</v>
      </c>
      <c r="GL70">
        <f>SUBTOTAL(101,Table46[2025-04-11])</f>
        <v>0.5</v>
      </c>
      <c r="GM70">
        <f>SUBTOTAL(101,Table46[2025-04-12])</f>
        <v>0.5</v>
      </c>
      <c r="GN70">
        <f>SUBTOTAL(101,Table46[2025-04-13])</f>
        <v>0.5</v>
      </c>
      <c r="GO70">
        <f>SUBTOTAL(101,Table46[2025-04-14])</f>
        <v>0.5</v>
      </c>
      <c r="GP70">
        <f>SUBTOTAL(101,Table46[2025-04-15])</f>
        <v>0.5</v>
      </c>
      <c r="GQ70">
        <f>SUBTOTAL(101,Table46[2025-04-16])</f>
        <v>0.5</v>
      </c>
      <c r="GR70">
        <f>SUBTOTAL(101,Table46[2025-04-17])</f>
        <v>0.5</v>
      </c>
      <c r="GS70">
        <f>SUBTOTAL(101,Table46[2025-04-18])</f>
        <v>0.5</v>
      </c>
      <c r="GT70">
        <f>SUBTOTAL(101,Table46[2025-04-19])</f>
        <v>0.5</v>
      </c>
      <c r="GU70">
        <f>SUBTOTAL(101,Table46[2025-04-20])</f>
        <v>0.5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63" t="s">
        <v>44</v>
      </c>
      <c r="D1" s="164"/>
      <c r="E1" s="163" t="s">
        <v>15</v>
      </c>
      <c r="F1" s="164"/>
      <c r="G1" s="163" t="s">
        <v>28</v>
      </c>
      <c r="H1" s="164"/>
      <c r="I1" s="163" t="s">
        <v>41</v>
      </c>
      <c r="J1" s="164"/>
      <c r="K1" s="163" t="s">
        <v>35</v>
      </c>
      <c r="L1" s="164"/>
      <c r="M1" s="163" t="s">
        <v>23</v>
      </c>
      <c r="N1" s="164"/>
      <c r="O1" s="163" t="s">
        <v>16</v>
      </c>
      <c r="P1" s="164"/>
      <c r="Q1" s="163" t="s">
        <v>25</v>
      </c>
      <c r="R1" s="164"/>
      <c r="S1" s="163" t="s">
        <v>33</v>
      </c>
      <c r="T1" s="164"/>
      <c r="U1" s="163" t="s">
        <v>30</v>
      </c>
      <c r="V1" s="164"/>
      <c r="W1" s="163" t="s">
        <v>22</v>
      </c>
      <c r="X1" s="164"/>
      <c r="Y1" s="163" t="s">
        <v>13</v>
      </c>
      <c r="Z1" s="164"/>
      <c r="AA1" s="163" t="s">
        <v>27</v>
      </c>
      <c r="AB1" s="164"/>
      <c r="AC1" s="163" t="s">
        <v>36</v>
      </c>
      <c r="AD1" s="164"/>
      <c r="AE1" s="163" t="s">
        <v>18</v>
      </c>
      <c r="AF1" s="164"/>
      <c r="AG1" s="163" t="s">
        <v>31</v>
      </c>
      <c r="AH1" s="164"/>
      <c r="AI1" s="163" t="s">
        <v>34</v>
      </c>
      <c r="AJ1" s="164"/>
      <c r="AK1" s="163" t="s">
        <v>32</v>
      </c>
      <c r="AL1" s="164"/>
      <c r="AM1" s="163" t="s">
        <v>19</v>
      </c>
      <c r="AN1" s="164"/>
      <c r="AO1" s="163" t="s">
        <v>29</v>
      </c>
      <c r="AP1" s="164"/>
      <c r="AQ1" s="163" t="s">
        <v>42</v>
      </c>
      <c r="AR1" s="164"/>
      <c r="AS1" s="163" t="s">
        <v>20</v>
      </c>
      <c r="AT1" s="164"/>
      <c r="AU1" s="163" t="s">
        <v>11</v>
      </c>
      <c r="AV1" s="164"/>
      <c r="AW1" s="163" t="s">
        <v>37</v>
      </c>
      <c r="AX1" s="164"/>
      <c r="AY1" s="163" t="s">
        <v>12</v>
      </c>
      <c r="AZ1" s="164"/>
      <c r="BA1" s="163" t="s">
        <v>40</v>
      </c>
      <c r="BB1" s="164"/>
      <c r="BC1" s="163" t="s">
        <v>17</v>
      </c>
      <c r="BD1" s="164"/>
      <c r="BE1" s="163" t="s">
        <v>14</v>
      </c>
      <c r="BF1" s="163"/>
      <c r="BG1" s="165" t="s">
        <v>24</v>
      </c>
      <c r="BH1" s="166"/>
      <c r="BI1" s="163" t="s">
        <v>26</v>
      </c>
      <c r="BJ1" s="164"/>
      <c r="BK1" s="163" t="s">
        <v>21</v>
      </c>
      <c r="BL1" s="164"/>
      <c r="BM1" s="163" t="s">
        <v>43</v>
      </c>
      <c r="BN1" s="164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61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60">
        <f>BO3+BO4</f>
        <v>82</v>
      </c>
    </row>
    <row r="4" spans="1:68" ht="9.9499999999999993" customHeight="1" x14ac:dyDescent="0.25">
      <c r="A4" s="162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60"/>
    </row>
    <row r="5" spans="1:68" ht="9.9499999999999993" customHeight="1" x14ac:dyDescent="0.25">
      <c r="A5" s="161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60">
        <f t="shared" ref="BP5" si="1">BO5+BO6</f>
        <v>82</v>
      </c>
    </row>
    <row r="6" spans="1:68" ht="9.9499999999999993" customHeight="1" x14ac:dyDescent="0.25">
      <c r="A6" s="162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60"/>
    </row>
    <row r="7" spans="1:68" ht="9.9499999999999993" customHeight="1" x14ac:dyDescent="0.25">
      <c r="A7" s="161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60">
        <f t="shared" ref="BP7" si="2">BO7+BO8</f>
        <v>82</v>
      </c>
    </row>
    <row r="8" spans="1:68" ht="9.9499999999999993" customHeight="1" x14ac:dyDescent="0.25">
      <c r="A8" s="162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60"/>
    </row>
    <row r="9" spans="1:68" ht="9.9499999999999993" customHeight="1" x14ac:dyDescent="0.25">
      <c r="A9" s="161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60">
        <f t="shared" ref="BP9" si="3">BO9+BO10</f>
        <v>82</v>
      </c>
    </row>
    <row r="10" spans="1:68" ht="9.9499999999999993" customHeight="1" x14ac:dyDescent="0.25">
      <c r="A10" s="162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60"/>
    </row>
    <row r="11" spans="1:68" ht="9.9499999999999993" customHeight="1" x14ac:dyDescent="0.25">
      <c r="A11" s="161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60">
        <f t="shared" ref="BP11" si="4">BO11+BO12</f>
        <v>82</v>
      </c>
    </row>
    <row r="12" spans="1:68" ht="9.9499999999999993" customHeight="1" x14ac:dyDescent="0.25">
      <c r="A12" s="162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60"/>
    </row>
    <row r="13" spans="1:68" ht="9.9499999999999993" customHeight="1" x14ac:dyDescent="0.25">
      <c r="A13" s="161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60">
        <f t="shared" ref="BP13" si="5">BO13+BO14</f>
        <v>82</v>
      </c>
    </row>
    <row r="14" spans="1:68" ht="9.9499999999999993" customHeight="1" x14ac:dyDescent="0.25">
      <c r="A14" s="162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60"/>
    </row>
    <row r="15" spans="1:68" ht="9.9499999999999993" customHeight="1" x14ac:dyDescent="0.25">
      <c r="A15" s="161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60">
        <f t="shared" ref="BP15" si="6">BO15+BO16</f>
        <v>82</v>
      </c>
    </row>
    <row r="16" spans="1:68" ht="9.9499999999999993" customHeight="1" x14ac:dyDescent="0.25">
      <c r="A16" s="162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60"/>
    </row>
    <row r="17" spans="1:68" ht="9.9499999999999993" customHeight="1" x14ac:dyDescent="0.25">
      <c r="A17" s="161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60">
        <f t="shared" ref="BP17" si="7">BO17+BO18</f>
        <v>82</v>
      </c>
    </row>
    <row r="18" spans="1:68" ht="9.9499999999999993" customHeight="1" x14ac:dyDescent="0.25">
      <c r="A18" s="162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60"/>
    </row>
    <row r="19" spans="1:68" ht="9.9499999999999993" customHeight="1" x14ac:dyDescent="0.25">
      <c r="A19" s="161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60">
        <f t="shared" ref="BP19" si="8">BO19+BO20</f>
        <v>82</v>
      </c>
    </row>
    <row r="20" spans="1:68" ht="9.9499999999999993" customHeight="1" x14ac:dyDescent="0.25">
      <c r="A20" s="162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60"/>
    </row>
    <row r="21" spans="1:68" ht="9.9499999999999993" customHeight="1" x14ac:dyDescent="0.25">
      <c r="A21" s="161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60">
        <f t="shared" ref="BP21" si="9">BO21+BO22</f>
        <v>82</v>
      </c>
    </row>
    <row r="22" spans="1:68" ht="9.9499999999999993" customHeight="1" x14ac:dyDescent="0.25">
      <c r="A22" s="162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60"/>
    </row>
    <row r="23" spans="1:68" ht="9.9499999999999993" customHeight="1" x14ac:dyDescent="0.25">
      <c r="A23" s="161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60">
        <f t="shared" ref="BP23" si="10">BO23+BO24</f>
        <v>82</v>
      </c>
    </row>
    <row r="24" spans="1:68" ht="9.9499999999999993" customHeight="1" x14ac:dyDescent="0.25">
      <c r="A24" s="162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60"/>
    </row>
    <row r="25" spans="1:68" ht="9.9499999999999993" customHeight="1" x14ac:dyDescent="0.25">
      <c r="A25" s="161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60">
        <f t="shared" ref="BP25" si="11">BO25+BO26</f>
        <v>82</v>
      </c>
    </row>
    <row r="26" spans="1:68" ht="9.9499999999999993" customHeight="1" x14ac:dyDescent="0.25">
      <c r="A26" s="162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60"/>
    </row>
    <row r="27" spans="1:68" ht="9.9499999999999993" customHeight="1" x14ac:dyDescent="0.25">
      <c r="A27" s="161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60">
        <f t="shared" ref="BP27" si="12">BO27+BO28</f>
        <v>82</v>
      </c>
    </row>
    <row r="28" spans="1:68" ht="9.9499999999999993" customHeight="1" x14ac:dyDescent="0.25">
      <c r="A28" s="162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60"/>
    </row>
    <row r="29" spans="1:68" ht="9.9499999999999993" customHeight="1" x14ac:dyDescent="0.25">
      <c r="A29" s="161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60">
        <f t="shared" ref="BP29" si="13">BO29+BO30</f>
        <v>82</v>
      </c>
    </row>
    <row r="30" spans="1:68" ht="9.9499999999999993" customHeight="1" x14ac:dyDescent="0.25">
      <c r="A30" s="162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60"/>
    </row>
    <row r="31" spans="1:68" ht="9.9499999999999993" customHeight="1" x14ac:dyDescent="0.25">
      <c r="A31" s="161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60">
        <f t="shared" ref="BP31" si="14">BO31+BO32</f>
        <v>82</v>
      </c>
    </row>
    <row r="32" spans="1:68" ht="9.9499999999999993" customHeight="1" x14ac:dyDescent="0.25">
      <c r="A32" s="162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60"/>
    </row>
    <row r="33" spans="1:68" ht="9.9499999999999993" customHeight="1" x14ac:dyDescent="0.25">
      <c r="A33" s="161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60">
        <f t="shared" ref="BP33" si="15">BO33+BO34</f>
        <v>82</v>
      </c>
    </row>
    <row r="34" spans="1:68" ht="9.9499999999999993" customHeight="1" x14ac:dyDescent="0.25">
      <c r="A34" s="162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60"/>
    </row>
    <row r="35" spans="1:68" ht="9.9499999999999993" customHeight="1" x14ac:dyDescent="0.25">
      <c r="A35" s="161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60">
        <f t="shared" ref="BP35" si="16">BO35+BO36</f>
        <v>82</v>
      </c>
    </row>
    <row r="36" spans="1:68" ht="9.9499999999999993" customHeight="1" x14ac:dyDescent="0.25">
      <c r="A36" s="162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60"/>
    </row>
    <row r="37" spans="1:68" ht="9.9499999999999993" customHeight="1" x14ac:dyDescent="0.25">
      <c r="A37" s="161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60">
        <f t="shared" ref="BP37" si="17">BO37+BO38</f>
        <v>82</v>
      </c>
    </row>
    <row r="38" spans="1:68" ht="9.9499999999999993" customHeight="1" x14ac:dyDescent="0.25">
      <c r="A38" s="162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60"/>
    </row>
    <row r="39" spans="1:68" ht="9.9499999999999993" customHeight="1" x14ac:dyDescent="0.25">
      <c r="A39" s="161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60">
        <f t="shared" ref="BP39" si="18">BO39+BO40</f>
        <v>82</v>
      </c>
    </row>
    <row r="40" spans="1:68" ht="9.9499999999999993" customHeight="1" x14ac:dyDescent="0.25">
      <c r="A40" s="162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60"/>
    </row>
    <row r="41" spans="1:68" ht="9.9499999999999993" customHeight="1" x14ac:dyDescent="0.25">
      <c r="A41" s="161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60">
        <f t="shared" ref="BP41" si="19">BO41+BO42</f>
        <v>82</v>
      </c>
    </row>
    <row r="42" spans="1:68" ht="9.9499999999999993" customHeight="1" x14ac:dyDescent="0.25">
      <c r="A42" s="162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60"/>
    </row>
    <row r="43" spans="1:68" ht="9.9499999999999993" customHeight="1" x14ac:dyDescent="0.25">
      <c r="A43" s="161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60">
        <f t="shared" ref="BP43" si="20">BO43+BO44</f>
        <v>82</v>
      </c>
    </row>
    <row r="44" spans="1:68" ht="9.9499999999999993" customHeight="1" x14ac:dyDescent="0.25">
      <c r="A44" s="162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60"/>
    </row>
    <row r="45" spans="1:68" ht="9.9499999999999993" customHeight="1" x14ac:dyDescent="0.25">
      <c r="A45" s="161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60">
        <f t="shared" ref="BP45" si="21">BO45+BO46</f>
        <v>82</v>
      </c>
    </row>
    <row r="46" spans="1:68" ht="9.9499999999999993" customHeight="1" x14ac:dyDescent="0.25">
      <c r="A46" s="162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60"/>
    </row>
    <row r="47" spans="1:68" ht="9.9499999999999993" customHeight="1" x14ac:dyDescent="0.25">
      <c r="A47" s="161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60">
        <f t="shared" ref="BP47" si="22">BO47+BO48</f>
        <v>82</v>
      </c>
    </row>
    <row r="48" spans="1:68" ht="9.9499999999999993" customHeight="1" x14ac:dyDescent="0.25">
      <c r="A48" s="162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60"/>
    </row>
    <row r="49" spans="1:68" ht="9.9499999999999993" customHeight="1" x14ac:dyDescent="0.25">
      <c r="A49" s="161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60">
        <f t="shared" ref="BP49" si="23">BO49+BO50</f>
        <v>82</v>
      </c>
    </row>
    <row r="50" spans="1:68" ht="9.9499999999999993" customHeight="1" x14ac:dyDescent="0.25">
      <c r="A50" s="162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60"/>
    </row>
    <row r="51" spans="1:68" ht="9.9499999999999993" customHeight="1" x14ac:dyDescent="0.25">
      <c r="A51" s="161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60">
        <f t="shared" ref="BP51" si="24">BO51+BO52</f>
        <v>82</v>
      </c>
    </row>
    <row r="52" spans="1:68" ht="9.9499999999999993" customHeight="1" x14ac:dyDescent="0.25">
      <c r="A52" s="162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60"/>
    </row>
    <row r="53" spans="1:68" ht="9.9499999999999993" customHeight="1" x14ac:dyDescent="0.25">
      <c r="A53" s="161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60">
        <f t="shared" ref="BP53" si="25">BO53+BO54</f>
        <v>82</v>
      </c>
    </row>
    <row r="54" spans="1:68" ht="9.9499999999999993" customHeight="1" x14ac:dyDescent="0.25">
      <c r="A54" s="162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60"/>
    </row>
    <row r="55" spans="1:68" ht="9.9499999999999993" customHeight="1" x14ac:dyDescent="0.25">
      <c r="A55" s="161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60">
        <f t="shared" ref="BP55" si="26">BO55+BO56</f>
        <v>82</v>
      </c>
    </row>
    <row r="56" spans="1:68" ht="9.9499999999999993" customHeight="1" x14ac:dyDescent="0.25">
      <c r="A56" s="162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60"/>
    </row>
    <row r="57" spans="1:68" ht="9.9499999999999993" customHeight="1" x14ac:dyDescent="0.25">
      <c r="A57" s="161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60">
        <f t="shared" ref="BP57" si="27">BO57+BO58</f>
        <v>82</v>
      </c>
    </row>
    <row r="58" spans="1:68" ht="9.9499999999999993" customHeight="1" x14ac:dyDescent="0.25">
      <c r="A58" s="162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60"/>
    </row>
    <row r="59" spans="1:68" ht="9.9499999999999993" customHeight="1" x14ac:dyDescent="0.25">
      <c r="A59" s="161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60">
        <f t="shared" ref="BP59" si="28">BO59+BO60</f>
        <v>82</v>
      </c>
    </row>
    <row r="60" spans="1:68" ht="9.9499999999999993" customHeight="1" x14ac:dyDescent="0.25">
      <c r="A60" s="162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60"/>
    </row>
    <row r="61" spans="1:68" ht="9.9499999999999993" customHeight="1" x14ac:dyDescent="0.25">
      <c r="A61" s="161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60">
        <f t="shared" ref="BP61" si="29">BO61+BO62</f>
        <v>82</v>
      </c>
    </row>
    <row r="62" spans="1:68" ht="9.9499999999999993" customHeight="1" x14ac:dyDescent="0.25">
      <c r="A62" s="162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60"/>
    </row>
    <row r="63" spans="1:68" ht="9.9499999999999993" customHeight="1" x14ac:dyDescent="0.25">
      <c r="A63" s="161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60">
        <f t="shared" ref="BP63" si="30">BO63+BO64</f>
        <v>82</v>
      </c>
    </row>
    <row r="64" spans="1:68" ht="9.9499999999999993" customHeight="1" x14ac:dyDescent="0.25">
      <c r="A64" s="162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60"/>
    </row>
    <row r="65" spans="1:68" ht="9.9499999999999993" customHeight="1" x14ac:dyDescent="0.25">
      <c r="A65" s="161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60">
        <f t="shared" ref="BP65" si="31">BO65+BO66</f>
        <v>82</v>
      </c>
    </row>
    <row r="66" spans="1:68" ht="9.9499999999999993" customHeight="1" x14ac:dyDescent="0.25">
      <c r="A66" s="162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60"/>
    </row>
    <row r="67" spans="1:68" x14ac:dyDescent="0.25">
      <c r="B67" s="9"/>
    </row>
  </sheetData>
  <mergeCells count="96"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11:A12"/>
    <mergeCell ref="A13:A14"/>
    <mergeCell ref="A15:A16"/>
    <mergeCell ref="A17:A18"/>
    <mergeCell ref="A19:A20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BP3:BP4"/>
    <mergeCell ref="BP5:BP6"/>
    <mergeCell ref="BP7:BP8"/>
    <mergeCell ref="BP9:BP10"/>
    <mergeCell ref="BP11:BP12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15:BP16"/>
    <mergeCell ref="BP17:BP18"/>
    <mergeCell ref="BP19:BP20"/>
    <mergeCell ref="BP21:BP22"/>
    <mergeCell ref="BP23:BP24"/>
    <mergeCell ref="BP41:BP42"/>
    <mergeCell ref="BP43:BP44"/>
    <mergeCell ref="BP45:BP46"/>
    <mergeCell ref="BP47:BP48"/>
    <mergeCell ref="BP63:BP64"/>
    <mergeCell ref="BP65:BP66"/>
    <mergeCell ref="BP51:BP52"/>
    <mergeCell ref="BP53:BP54"/>
    <mergeCell ref="BP55:BP56"/>
    <mergeCell ref="BP57:BP58"/>
    <mergeCell ref="BP59:BP60"/>
    <mergeCell ref="BP61:BP62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topLeftCell="A7" workbookViewId="0">
      <selection activeCell="BD31" sqref="BD31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63" t="s">
        <v>44</v>
      </c>
      <c r="D1" s="164"/>
      <c r="E1" s="163" t="s">
        <v>15</v>
      </c>
      <c r="F1" s="164"/>
      <c r="G1" s="163" t="s">
        <v>28</v>
      </c>
      <c r="H1" s="164"/>
      <c r="I1" s="163" t="s">
        <v>41</v>
      </c>
      <c r="J1" s="164"/>
      <c r="K1" s="163" t="s">
        <v>35</v>
      </c>
      <c r="L1" s="164"/>
      <c r="M1" s="163" t="s">
        <v>23</v>
      </c>
      <c r="N1" s="164"/>
      <c r="O1" s="163" t="s">
        <v>16</v>
      </c>
      <c r="P1" s="164"/>
      <c r="Q1" s="163" t="s">
        <v>25</v>
      </c>
      <c r="R1" s="164"/>
      <c r="S1" s="163" t="s">
        <v>33</v>
      </c>
      <c r="T1" s="164"/>
      <c r="U1" s="163" t="s">
        <v>30</v>
      </c>
      <c r="V1" s="164"/>
      <c r="W1" s="163" t="s">
        <v>22</v>
      </c>
      <c r="X1" s="164"/>
      <c r="Y1" s="163" t="s">
        <v>13</v>
      </c>
      <c r="Z1" s="164"/>
      <c r="AA1" s="163" t="s">
        <v>27</v>
      </c>
      <c r="AB1" s="164"/>
      <c r="AC1" s="163" t="s">
        <v>36</v>
      </c>
      <c r="AD1" s="164"/>
      <c r="AE1" s="163" t="s">
        <v>18</v>
      </c>
      <c r="AF1" s="164"/>
      <c r="AG1" s="163" t="s">
        <v>31</v>
      </c>
      <c r="AH1" s="164"/>
      <c r="AI1" s="163" t="s">
        <v>34</v>
      </c>
      <c r="AJ1" s="164"/>
      <c r="AK1" s="163" t="s">
        <v>32</v>
      </c>
      <c r="AL1" s="164"/>
      <c r="AM1" s="163" t="s">
        <v>19</v>
      </c>
      <c r="AN1" s="164"/>
      <c r="AO1" s="163" t="s">
        <v>29</v>
      </c>
      <c r="AP1" s="164"/>
      <c r="AQ1" s="163" t="s">
        <v>42</v>
      </c>
      <c r="AR1" s="164"/>
      <c r="AS1" s="163" t="s">
        <v>20</v>
      </c>
      <c r="AT1" s="164"/>
      <c r="AU1" s="163" t="s">
        <v>11</v>
      </c>
      <c r="AV1" s="164"/>
      <c r="AW1" s="163" t="s">
        <v>37</v>
      </c>
      <c r="AX1" s="164"/>
      <c r="AY1" s="163" t="s">
        <v>12</v>
      </c>
      <c r="AZ1" s="164"/>
      <c r="BA1" s="163" t="s">
        <v>40</v>
      </c>
      <c r="BB1" s="164"/>
      <c r="BC1" s="163" t="s">
        <v>17</v>
      </c>
      <c r="BD1" s="164"/>
      <c r="BE1" s="163" t="s">
        <v>14</v>
      </c>
      <c r="BF1" s="163"/>
      <c r="BG1" s="165" t="s">
        <v>24</v>
      </c>
      <c r="BH1" s="166"/>
      <c r="BI1" s="163" t="s">
        <v>26</v>
      </c>
      <c r="BJ1" s="164"/>
      <c r="BK1" s="163" t="s">
        <v>21</v>
      </c>
      <c r="BL1" s="164"/>
      <c r="BM1" s="163" t="s">
        <v>43</v>
      </c>
      <c r="BN1" s="164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67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0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0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0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0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0</v>
      </c>
      <c r="AW3" s="35"/>
      <c r="AX3" s="28">
        <f>COUNTIFS(DataRegularSeason20242025!$E$2:$E$1315,TotalTeamGames20242025!AW$1,DataRegularSeason20242025!$D$2:$D$1315,TotalTeamGames20242025!$A3,DataRegularSeason20242025!$N$2:$N$1315,1)</f>
        <v>0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0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0</v>
      </c>
      <c r="BP3" s="160">
        <f>BO3+BO4</f>
        <v>0</v>
      </c>
      <c r="BQ3" s="161">
        <f>82-BP3</f>
        <v>82</v>
      </c>
    </row>
    <row r="4" spans="1:69" ht="9.9499999999999993" customHeight="1" x14ac:dyDescent="0.25">
      <c r="A4" s="162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0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0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0</v>
      </c>
      <c r="BP4" s="160"/>
      <c r="BQ4" s="161"/>
    </row>
    <row r="5" spans="1:69" ht="9.9499999999999993" customHeight="1" x14ac:dyDescent="0.25">
      <c r="A5" s="167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0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0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0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0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1</v>
      </c>
      <c r="BP5" s="160">
        <f t="shared" ref="BP5" si="1">BO5+BO6</f>
        <v>1</v>
      </c>
      <c r="BQ5" s="161">
        <f t="shared" ref="BQ5" si="2">82-BP5</f>
        <v>81</v>
      </c>
    </row>
    <row r="6" spans="1:69" ht="9.9499999999999993" customHeight="1" x14ac:dyDescent="0.25">
      <c r="A6" s="162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0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0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0</v>
      </c>
      <c r="P6" s="39"/>
      <c r="Q6" s="38">
        <f>COUNTIFS(DataRegularSeason20242025!$D$2:$D$1315,TotalTeamGames20242025!Q$1,DataRegularSeason20242025!$E$2:$E$1315,TotalTeamGames20242025!$A5,DataRegularSeason20242025!$N$2:$N$1315,1)</f>
        <v>0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0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0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0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0</v>
      </c>
      <c r="BP6" s="160"/>
      <c r="BQ6" s="161"/>
    </row>
    <row r="7" spans="1:69" ht="9.9499999999999993" customHeight="1" x14ac:dyDescent="0.25">
      <c r="A7" s="167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0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0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0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0</v>
      </c>
      <c r="BP7" s="160">
        <f t="shared" ref="BP7" si="3">BO7+BO8</f>
        <v>0</v>
      </c>
      <c r="BQ7" s="161">
        <f t="shared" ref="BQ7" si="4">82-BP7</f>
        <v>82</v>
      </c>
    </row>
    <row r="8" spans="1:69" ht="9.9499999999999993" customHeight="1" x14ac:dyDescent="0.25">
      <c r="A8" s="162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0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0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0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0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0</v>
      </c>
      <c r="AN8" s="39"/>
      <c r="AO8" s="38">
        <f>COUNTIFS(DataRegularSeason20242025!$D$2:$D$1315,TotalTeamGames20242025!AO$1,DataRegularSeason20242025!$E$2:$E$1315,TotalTeamGames20242025!$A7,DataRegularSeason20242025!$N$2:$N$1315,1)</f>
        <v>0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0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0</v>
      </c>
      <c r="BP8" s="160"/>
      <c r="BQ8" s="161"/>
    </row>
    <row r="9" spans="1:69" ht="9.9499999999999993" customHeight="1" x14ac:dyDescent="0.25">
      <c r="A9" s="167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0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0</v>
      </c>
      <c r="S9" s="35"/>
      <c r="T9" s="28">
        <f>COUNTIFS(DataRegularSeason20242025!$E$2:$E$1315,TotalTeamGames20242025!S$1,DataRegularSeason20242025!$D$2:$D$1315,TotalTeamGames20242025!$A9,DataRegularSeason20242025!$N$2:$N$1315,1)</f>
        <v>0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0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0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0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0</v>
      </c>
      <c r="BP9" s="160">
        <f t="shared" ref="BP9" si="5">BO9+BO10</f>
        <v>0</v>
      </c>
      <c r="BQ9" s="161">
        <f t="shared" ref="BQ9" si="6">82-BP9</f>
        <v>82</v>
      </c>
    </row>
    <row r="10" spans="1:69" ht="9.9499999999999993" customHeight="1" x14ac:dyDescent="0.25">
      <c r="A10" s="162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0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0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0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0</v>
      </c>
      <c r="BP10" s="160"/>
      <c r="BQ10" s="161"/>
    </row>
    <row r="11" spans="1:69" ht="9.9499999999999993" customHeight="1" x14ac:dyDescent="0.25">
      <c r="A11" s="167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0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0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0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0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0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0</v>
      </c>
      <c r="BP11" s="160">
        <f t="shared" ref="BP11" si="7">BO11+BO12</f>
        <v>0</v>
      </c>
      <c r="BQ11" s="161">
        <f t="shared" ref="BQ11" si="8">82-BP11</f>
        <v>82</v>
      </c>
    </row>
    <row r="12" spans="1:69" ht="9.9499999999999993" customHeight="1" x14ac:dyDescent="0.25">
      <c r="A12" s="162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0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0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0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0</v>
      </c>
      <c r="BN12" s="39"/>
      <c r="BO12" s="34">
        <f t="shared" si="0"/>
        <v>0</v>
      </c>
      <c r="BP12" s="160"/>
      <c r="BQ12" s="161"/>
    </row>
    <row r="13" spans="1:69" ht="9.9499999999999993" customHeight="1" x14ac:dyDescent="0.25">
      <c r="A13" s="167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0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0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0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0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0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1</v>
      </c>
      <c r="BP13" s="160">
        <f t="shared" ref="BP13" si="9">BO13+BO14</f>
        <v>1</v>
      </c>
      <c r="BQ13" s="161">
        <f t="shared" ref="BQ13" si="10">82-BP13</f>
        <v>81</v>
      </c>
    </row>
    <row r="14" spans="1:69" ht="9.9499999999999993" customHeight="1" x14ac:dyDescent="0.25">
      <c r="A14" s="162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0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0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0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0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0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0</v>
      </c>
      <c r="BP14" s="160"/>
      <c r="BQ14" s="161"/>
    </row>
    <row r="15" spans="1:69" ht="9.9499999999999993" customHeight="1" x14ac:dyDescent="0.25">
      <c r="A15" s="167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0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0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0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1</v>
      </c>
      <c r="BP15" s="160">
        <f t="shared" ref="BP15" si="11">BO15+BO16</f>
        <v>1</v>
      </c>
      <c r="BQ15" s="161">
        <f t="shared" ref="BQ15" si="12">82-BP15</f>
        <v>81</v>
      </c>
    </row>
    <row r="16" spans="1:69" ht="9.9499999999999993" customHeight="1" x14ac:dyDescent="0.25">
      <c r="A16" s="162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0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0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0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0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0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0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0</v>
      </c>
      <c r="BP16" s="160"/>
      <c r="BQ16" s="161"/>
    </row>
    <row r="17" spans="1:69" ht="9.9499999999999993" customHeight="1" x14ac:dyDescent="0.25">
      <c r="A17" s="167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0</v>
      </c>
      <c r="G17" s="35"/>
      <c r="H17" s="28">
        <f>COUNTIFS(DataRegularSeason20242025!$E$2:$E$1315,TotalTeamGames20242025!G$1,DataRegularSeason20242025!$D$2:$D$1315,TotalTeamGames20242025!$A17,DataRegularSeason20242025!$N$2:$N$1315,1)</f>
        <v>0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0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0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0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1</v>
      </c>
      <c r="BP17" s="160">
        <f t="shared" ref="BP17" si="13">BO17+BO18</f>
        <v>1</v>
      </c>
      <c r="BQ17" s="161">
        <f t="shared" ref="BQ17" si="14">82-BP17</f>
        <v>81</v>
      </c>
    </row>
    <row r="18" spans="1:69" ht="9.9499999999999993" customHeight="1" x14ac:dyDescent="0.25">
      <c r="A18" s="162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0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0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0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0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0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0</v>
      </c>
      <c r="BP18" s="160"/>
      <c r="BQ18" s="161"/>
    </row>
    <row r="19" spans="1:69" ht="9.9499999999999993" customHeight="1" x14ac:dyDescent="0.25">
      <c r="A19" s="167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0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0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0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0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0</v>
      </c>
      <c r="BP19" s="160">
        <f t="shared" ref="BP19" si="15">BO19+BO20</f>
        <v>0</v>
      </c>
      <c r="BQ19" s="161">
        <f t="shared" ref="BQ19" si="16">82-BP19</f>
        <v>82</v>
      </c>
    </row>
    <row r="20" spans="1:69" ht="9.9499999999999993" customHeight="1" x14ac:dyDescent="0.25">
      <c r="A20" s="162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0</v>
      </c>
      <c r="J20" s="39"/>
      <c r="K20" s="38">
        <f>COUNTIFS(DataRegularSeason20242025!$D$2:$D$1315,TotalTeamGames20242025!K$1,DataRegularSeason20242025!$E$2:$E$1315,TotalTeamGames20242025!$A19,DataRegularSeason20242025!$N$2:$N$1315,1)</f>
        <v>0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0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0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0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0</v>
      </c>
      <c r="BN20" s="39"/>
      <c r="BO20" s="34">
        <f t="shared" si="0"/>
        <v>0</v>
      </c>
      <c r="BP20" s="160"/>
      <c r="BQ20" s="161"/>
    </row>
    <row r="21" spans="1:69" ht="9.9499999999999993" customHeight="1" x14ac:dyDescent="0.25">
      <c r="A21" s="167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0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0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0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0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0</v>
      </c>
      <c r="BP21" s="160">
        <f t="shared" ref="BP21" si="17">BO21+BO22</f>
        <v>0</v>
      </c>
      <c r="BQ21" s="161">
        <f t="shared" ref="BQ21" si="18">82-BP21</f>
        <v>82</v>
      </c>
    </row>
    <row r="22" spans="1:69" ht="9.9499999999999993" customHeight="1" x14ac:dyDescent="0.25">
      <c r="A22" s="162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0</v>
      </c>
      <c r="X22" s="39"/>
      <c r="Y22" s="38">
        <f>COUNTIFS(DataRegularSeason20242025!$D$2:$D$1315,TotalTeamGames20242025!Y$1,DataRegularSeason20242025!$E$2:$E$1315,TotalTeamGames20242025!$A21,DataRegularSeason20242025!$N$2:$N$1315,1)</f>
        <v>0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0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0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0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0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0</v>
      </c>
      <c r="BP22" s="160"/>
      <c r="BQ22" s="161"/>
    </row>
    <row r="23" spans="1:69" ht="9.9499999999999993" customHeight="1" x14ac:dyDescent="0.25">
      <c r="A23" s="167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0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0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0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0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0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0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0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0</v>
      </c>
      <c r="BP23" s="160">
        <f t="shared" ref="BP23" si="19">BO23+BO24</f>
        <v>1</v>
      </c>
      <c r="BQ23" s="161">
        <f t="shared" ref="BQ23" si="20">82-BP23</f>
        <v>81</v>
      </c>
    </row>
    <row r="24" spans="1:69" ht="9.9499999999999993" customHeight="1" x14ac:dyDescent="0.25">
      <c r="A24" s="162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0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0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0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1</v>
      </c>
      <c r="BP24" s="160"/>
      <c r="BQ24" s="161"/>
    </row>
    <row r="25" spans="1:69" ht="9.9499999999999993" customHeight="1" x14ac:dyDescent="0.25">
      <c r="A25" s="167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0</v>
      </c>
      <c r="G25" s="35"/>
      <c r="H25" s="28">
        <f>COUNTIFS(DataRegularSeason20242025!$E$2:$E$1315,TotalTeamGames20242025!G$1,DataRegularSeason20242025!$D$2:$D$1315,TotalTeamGames20242025!$A25,DataRegularSeason20242025!$N$2:$N$1315,1)</f>
        <v>0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0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0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0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0</v>
      </c>
      <c r="BP25" s="160">
        <f t="shared" ref="BP25" si="21">BO25+BO26</f>
        <v>1</v>
      </c>
      <c r="BQ25" s="161">
        <f t="shared" ref="BQ25" si="22">82-BP25</f>
        <v>81</v>
      </c>
    </row>
    <row r="26" spans="1:69" ht="9.9499999999999993" customHeight="1" x14ac:dyDescent="0.25">
      <c r="A26" s="162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0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0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0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0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0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1</v>
      </c>
      <c r="BP26" s="160"/>
      <c r="BQ26" s="161"/>
    </row>
    <row r="27" spans="1:69" ht="9.9499999999999993" customHeight="1" x14ac:dyDescent="0.25">
      <c r="A27" s="167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0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0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0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0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0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0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0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1</v>
      </c>
      <c r="BP27" s="160">
        <f t="shared" ref="BP27" si="23">BO27+BO28</f>
        <v>2</v>
      </c>
      <c r="BQ27" s="161">
        <f t="shared" ref="BQ27" si="24">82-BP27</f>
        <v>80</v>
      </c>
    </row>
    <row r="28" spans="1:69" ht="9.9499999999999993" customHeight="1" x14ac:dyDescent="0.25">
      <c r="A28" s="162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0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0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1</v>
      </c>
      <c r="BP28" s="160"/>
      <c r="BQ28" s="161"/>
    </row>
    <row r="29" spans="1:69" ht="9.9499999999999993" customHeight="1" x14ac:dyDescent="0.25">
      <c r="A29" s="167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0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0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0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0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0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0</v>
      </c>
      <c r="BO29" s="30">
        <f t="shared" si="0"/>
        <v>0</v>
      </c>
      <c r="BP29" s="160">
        <f t="shared" ref="BP29" si="25">BO29+BO30</f>
        <v>0</v>
      </c>
      <c r="BQ29" s="161">
        <f t="shared" ref="BQ29" si="26">82-BP29</f>
        <v>82</v>
      </c>
    </row>
    <row r="30" spans="1:69" ht="9.9499999999999993" customHeight="1" x14ac:dyDescent="0.25">
      <c r="A30" s="162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0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0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0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0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0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0</v>
      </c>
      <c r="BP30" s="160"/>
      <c r="BQ30" s="161"/>
    </row>
    <row r="31" spans="1:69" ht="9.9499999999999993" customHeight="1" x14ac:dyDescent="0.25">
      <c r="A31" s="167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0</v>
      </c>
      <c r="O31" s="35"/>
      <c r="P31" s="28">
        <f>COUNTIFS(DataRegularSeason20242025!$E$2:$E$1315,TotalTeamGames20242025!O$1,DataRegularSeason20242025!$D$2:$D$1315,TotalTeamGames20242025!$A31,DataRegularSeason20242025!$N$2:$N$1315,1)</f>
        <v>0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0</v>
      </c>
      <c r="W31" s="35"/>
      <c r="X31" s="28">
        <f>COUNTIFS(DataRegularSeason20242025!$E$2:$E$1315,TotalTeamGames20242025!W$1,DataRegularSeason20242025!$D$2:$D$1315,TotalTeamGames20242025!$A31,DataRegularSeason20242025!$N$2:$N$1315,1)</f>
        <v>0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0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0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1</v>
      </c>
      <c r="BP31" s="160">
        <f t="shared" ref="BP31" si="27">BO31+BO32</f>
        <v>1</v>
      </c>
      <c r="BQ31" s="161">
        <f t="shared" ref="BQ31" si="28">82-BP31</f>
        <v>81</v>
      </c>
    </row>
    <row r="32" spans="1:69" ht="9.9499999999999993" customHeight="1" x14ac:dyDescent="0.25">
      <c r="A32" s="162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0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0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0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0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0</v>
      </c>
      <c r="BP32" s="160"/>
      <c r="BQ32" s="161"/>
    </row>
    <row r="33" spans="1:69" ht="9.9499999999999993" customHeight="1" x14ac:dyDescent="0.25">
      <c r="A33" s="167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0</v>
      </c>
      <c r="K33" s="35"/>
      <c r="L33" s="28">
        <f>COUNTIFS(DataRegularSeason20242025!$E$2:$E$1315,TotalTeamGames20242025!K$1,DataRegularSeason20242025!$D$2:$D$1315,TotalTeamGames20242025!$A33,DataRegularSeason20242025!$N$2:$N$1315,1)</f>
        <v>0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0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0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0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0</v>
      </c>
      <c r="BP33" s="160">
        <f t="shared" ref="BP33" si="29">BO33+BO34</f>
        <v>0</v>
      </c>
      <c r="BQ33" s="161">
        <f t="shared" ref="BQ33" si="30">82-BP33</f>
        <v>82</v>
      </c>
    </row>
    <row r="34" spans="1:69" ht="9.9499999999999993" customHeight="1" x14ac:dyDescent="0.25">
      <c r="A34" s="162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0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0</v>
      </c>
      <c r="X34" s="39"/>
      <c r="Y34" s="38">
        <f>COUNTIFS(DataRegularSeason20242025!$D$2:$D$1315,TotalTeamGames20242025!Y$1,DataRegularSeason20242025!$E$2:$E$1315,TotalTeamGames20242025!$A33,DataRegularSeason20242025!$N$2:$N$1315,1)</f>
        <v>0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0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0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0</v>
      </c>
      <c r="BP34" s="160"/>
      <c r="BQ34" s="161"/>
    </row>
    <row r="35" spans="1:69" ht="9.9499999999999993" customHeight="1" x14ac:dyDescent="0.25">
      <c r="A35" s="167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0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0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0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0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0</v>
      </c>
      <c r="BP35" s="160">
        <f t="shared" ref="BP35" si="31">BO35+BO36</f>
        <v>0</v>
      </c>
      <c r="BQ35" s="161">
        <f t="shared" ref="BQ35" si="32">82-BP35</f>
        <v>82</v>
      </c>
    </row>
    <row r="36" spans="1:69" ht="9.9499999999999993" customHeight="1" x14ac:dyDescent="0.25">
      <c r="A36" s="162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0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0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0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0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0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0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0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0</v>
      </c>
      <c r="BP36" s="160"/>
      <c r="BQ36" s="161"/>
    </row>
    <row r="37" spans="1:69" ht="9.9499999999999993" customHeight="1" x14ac:dyDescent="0.25">
      <c r="A37" s="167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0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0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0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0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0</v>
      </c>
      <c r="BP37" s="160">
        <f t="shared" ref="BP37" si="33">BO37+BO38</f>
        <v>0</v>
      </c>
      <c r="BQ37" s="161">
        <f t="shared" ref="BQ37" si="34">82-BP37</f>
        <v>82</v>
      </c>
    </row>
    <row r="38" spans="1:69" ht="9.9499999999999993" customHeight="1" x14ac:dyDescent="0.25">
      <c r="A38" s="162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0</v>
      </c>
      <c r="V38" s="39"/>
      <c r="W38" s="38">
        <f>COUNTIFS(DataRegularSeason20242025!$D$2:$D$1315,TotalTeamGames20242025!W$1,DataRegularSeason20242025!$E$2:$E$1315,TotalTeamGames20242025!$A37,DataRegularSeason20242025!$N$2:$N$1315,1)</f>
        <v>0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0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0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0</v>
      </c>
      <c r="BN38" s="39"/>
      <c r="BO38" s="34">
        <f t="shared" si="0"/>
        <v>0</v>
      </c>
      <c r="BP38" s="160"/>
      <c r="BQ38" s="161"/>
    </row>
    <row r="39" spans="1:69" ht="9.9499999999999993" customHeight="1" x14ac:dyDescent="0.25">
      <c r="A39" s="167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0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0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0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0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0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0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0</v>
      </c>
      <c r="BP39" s="160">
        <f t="shared" ref="BP39" si="35">BO39+BO40</f>
        <v>1</v>
      </c>
      <c r="BQ39" s="161">
        <f t="shared" ref="BQ39" si="36">82-BP39</f>
        <v>81</v>
      </c>
    </row>
    <row r="40" spans="1:69" ht="9.9499999999999993" customHeight="1" x14ac:dyDescent="0.25">
      <c r="A40" s="162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0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0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0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0</v>
      </c>
      <c r="BN40" s="39"/>
      <c r="BO40" s="34">
        <f t="shared" si="0"/>
        <v>1</v>
      </c>
      <c r="BP40" s="160"/>
      <c r="BQ40" s="161"/>
    </row>
    <row r="41" spans="1:69" ht="9.9499999999999993" customHeight="1" x14ac:dyDescent="0.25">
      <c r="A41" s="167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0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0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0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0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0</v>
      </c>
      <c r="BO41" s="30">
        <f t="shared" si="0"/>
        <v>0</v>
      </c>
      <c r="BP41" s="160">
        <f t="shared" ref="BP41" si="37">BO41+BO42</f>
        <v>0</v>
      </c>
      <c r="BQ41" s="161">
        <f t="shared" ref="BQ41" si="38">82-BP41</f>
        <v>82</v>
      </c>
    </row>
    <row r="42" spans="1:69" ht="9.9499999999999993" customHeight="1" x14ac:dyDescent="0.25">
      <c r="A42" s="162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0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0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0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0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0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0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0</v>
      </c>
      <c r="BP42" s="160"/>
      <c r="BQ42" s="161"/>
    </row>
    <row r="43" spans="1:69" ht="9.9499999999999993" customHeight="1" x14ac:dyDescent="0.25">
      <c r="A43" s="167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0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0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0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0</v>
      </c>
      <c r="BP43" s="160">
        <f t="shared" ref="BP43" si="39">BO43+BO44</f>
        <v>0</v>
      </c>
      <c r="BQ43" s="161">
        <f t="shared" ref="BQ43" si="40">82-BP43</f>
        <v>82</v>
      </c>
    </row>
    <row r="44" spans="1:69" ht="9.9499999999999993" customHeight="1" x14ac:dyDescent="0.25">
      <c r="A44" s="162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0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0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0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0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0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0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0</v>
      </c>
      <c r="BP44" s="160"/>
      <c r="BQ44" s="161"/>
    </row>
    <row r="45" spans="1:69" ht="9.9499999999999993" customHeight="1" x14ac:dyDescent="0.25">
      <c r="A45" s="167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0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0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0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0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0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1</v>
      </c>
      <c r="BP45" s="160">
        <f t="shared" ref="BP45" si="41">BO45+BO46</f>
        <v>1</v>
      </c>
      <c r="BQ45" s="161">
        <f t="shared" ref="BQ45" si="42">82-BP45</f>
        <v>81</v>
      </c>
    </row>
    <row r="46" spans="1:69" ht="9.9499999999999993" customHeight="1" x14ac:dyDescent="0.25">
      <c r="A46" s="162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0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0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0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0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0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0</v>
      </c>
      <c r="BP46" s="160"/>
      <c r="BQ46" s="161"/>
    </row>
    <row r="47" spans="1:69" ht="9.9499999999999993" customHeight="1" x14ac:dyDescent="0.25">
      <c r="A47" s="167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0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0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0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0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0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0</v>
      </c>
      <c r="BO47" s="30">
        <f t="shared" si="0"/>
        <v>0</v>
      </c>
      <c r="BP47" s="160">
        <f t="shared" ref="BP47" si="43">BO47+BO48</f>
        <v>0</v>
      </c>
      <c r="BQ47" s="161">
        <f t="shared" ref="BQ47" si="44">82-BP47</f>
        <v>82</v>
      </c>
    </row>
    <row r="48" spans="1:69" ht="9.9499999999999993" customHeight="1" x14ac:dyDescent="0.25">
      <c r="A48" s="162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0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0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0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0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0</v>
      </c>
      <c r="BP48" s="160"/>
      <c r="BQ48" s="161"/>
    </row>
    <row r="49" spans="1:69" ht="9.9499999999999993" customHeight="1" x14ac:dyDescent="0.25">
      <c r="A49" s="167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0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0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0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0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0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0</v>
      </c>
      <c r="BP49" s="160">
        <f t="shared" ref="BP49" si="45">BO49+BO50</f>
        <v>0</v>
      </c>
      <c r="BQ49" s="161">
        <f t="shared" ref="BQ49" si="46">82-BP49</f>
        <v>82</v>
      </c>
    </row>
    <row r="50" spans="1:69" ht="9.9499999999999993" customHeight="1" x14ac:dyDescent="0.25">
      <c r="A50" s="162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0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0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0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0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0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0</v>
      </c>
      <c r="BP50" s="160"/>
      <c r="BQ50" s="161"/>
    </row>
    <row r="51" spans="1:69" ht="9.9499999999999993" customHeight="1" x14ac:dyDescent="0.25">
      <c r="A51" s="167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0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0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0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0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0</v>
      </c>
      <c r="BP51" s="160">
        <f t="shared" ref="BP51" si="47">BO51+BO52</f>
        <v>0</v>
      </c>
      <c r="BQ51" s="161">
        <f t="shared" ref="BQ51" si="48">82-BP51</f>
        <v>82</v>
      </c>
    </row>
    <row r="52" spans="1:69" ht="9.9499999999999993" customHeight="1" x14ac:dyDescent="0.25">
      <c r="A52" s="162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0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0</v>
      </c>
      <c r="T52" s="39"/>
      <c r="U52" s="38">
        <f>COUNTIFS(DataRegularSeason20242025!$D$2:$D$1315,TotalTeamGames20242025!U$1,DataRegularSeason20242025!$E$2:$E$1315,TotalTeamGames20242025!$A51,DataRegularSeason20242025!$N$2:$N$1315,1)</f>
        <v>0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0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0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0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0</v>
      </c>
      <c r="BP52" s="160"/>
      <c r="BQ52" s="161"/>
    </row>
    <row r="53" spans="1:69" ht="9.9499999999999993" customHeight="1" x14ac:dyDescent="0.25">
      <c r="A53" s="167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0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0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0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0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0</v>
      </c>
      <c r="BO53" s="30">
        <f t="shared" si="0"/>
        <v>0</v>
      </c>
      <c r="BP53" s="160">
        <f t="shared" ref="BP53" si="49">BO53+BO54</f>
        <v>0</v>
      </c>
      <c r="BQ53" s="161">
        <f t="shared" ref="BQ53" si="50">82-BP53</f>
        <v>82</v>
      </c>
    </row>
    <row r="54" spans="1:69" ht="9.9499999999999993" customHeight="1" x14ac:dyDescent="0.25">
      <c r="A54" s="162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0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0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0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0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0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0</v>
      </c>
      <c r="BP54" s="160"/>
      <c r="BQ54" s="161"/>
    </row>
    <row r="55" spans="1:69" ht="9.9499999999999993" customHeight="1" x14ac:dyDescent="0.25">
      <c r="A55" s="167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0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0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0</v>
      </c>
      <c r="BP55" s="160">
        <f t="shared" ref="BP55" si="51">BO55+BO56</f>
        <v>1</v>
      </c>
      <c r="BQ55" s="161">
        <f t="shared" ref="BQ55" si="52">82-BP55</f>
        <v>81</v>
      </c>
    </row>
    <row r="56" spans="1:69" ht="9.9499999999999993" customHeight="1" x14ac:dyDescent="0.25">
      <c r="A56" s="162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0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0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0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0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0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0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0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1</v>
      </c>
      <c r="BP56" s="160"/>
      <c r="BQ56" s="161"/>
    </row>
    <row r="57" spans="1:69" ht="9.9499999999999993" customHeight="1" x14ac:dyDescent="0.25">
      <c r="A57" s="167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0</v>
      </c>
      <c r="Q57" s="35"/>
      <c r="R57" s="28">
        <f>COUNTIFS(DataRegularSeason20242025!$E$2:$E$1315,TotalTeamGames20242025!Q$1,DataRegularSeason20242025!$D$2:$D$1315,TotalTeamGames20242025!$A57,DataRegularSeason20242025!$N$2:$N$1315,1)</f>
        <v>0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0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0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0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0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0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0</v>
      </c>
      <c r="BP57" s="160">
        <f t="shared" ref="BP57" si="53">BO57+BO58</f>
        <v>0</v>
      </c>
      <c r="BQ57" s="161">
        <f t="shared" ref="BQ57" si="54">82-BP57</f>
        <v>82</v>
      </c>
    </row>
    <row r="58" spans="1:69" ht="9.9499999999999993" customHeight="1" x14ac:dyDescent="0.25">
      <c r="A58" s="162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0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0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0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0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0</v>
      </c>
      <c r="BP58" s="160"/>
      <c r="BQ58" s="161"/>
    </row>
    <row r="59" spans="1:69" ht="9.9499999999999993" customHeight="1" x14ac:dyDescent="0.25">
      <c r="A59" s="167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0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0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0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0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0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0</v>
      </c>
      <c r="BO59" s="30">
        <f t="shared" si="0"/>
        <v>0</v>
      </c>
      <c r="BP59" s="160">
        <f t="shared" ref="BP59" si="55">BO59+BO60</f>
        <v>0</v>
      </c>
      <c r="BQ59" s="161">
        <f t="shared" ref="BQ59" si="56">82-BP59</f>
        <v>82</v>
      </c>
    </row>
    <row r="60" spans="1:69" ht="9.9499999999999993" customHeight="1" x14ac:dyDescent="0.25">
      <c r="A60" s="162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0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0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0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0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0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0</v>
      </c>
      <c r="BP60" s="160"/>
      <c r="BQ60" s="161"/>
    </row>
    <row r="61" spans="1:69" ht="9.9499999999999993" customHeight="1" x14ac:dyDescent="0.25">
      <c r="A61" s="167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0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0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0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0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0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0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0</v>
      </c>
      <c r="BP61" s="160">
        <f t="shared" ref="BP61" si="57">BO61+BO62</f>
        <v>1</v>
      </c>
      <c r="BQ61" s="161">
        <f t="shared" ref="BQ61" si="58">82-BP61</f>
        <v>81</v>
      </c>
    </row>
    <row r="62" spans="1:69" ht="9.9499999999999993" customHeight="1" x14ac:dyDescent="0.25">
      <c r="A62" s="162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0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0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0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1</v>
      </c>
      <c r="BP62" s="160"/>
      <c r="BQ62" s="161"/>
    </row>
    <row r="63" spans="1:69" ht="9.9499999999999993" customHeight="1" x14ac:dyDescent="0.25">
      <c r="A63" s="167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0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0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0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0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0</v>
      </c>
      <c r="BP63" s="160">
        <f t="shared" ref="BP63" si="59">BO63+BO64</f>
        <v>0</v>
      </c>
      <c r="BQ63" s="161">
        <f t="shared" ref="BQ63" si="60">82-BP63</f>
        <v>82</v>
      </c>
    </row>
    <row r="64" spans="1:69" ht="9.9499999999999993" customHeight="1" x14ac:dyDescent="0.25">
      <c r="A64" s="162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0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0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0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0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0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0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0</v>
      </c>
      <c r="BP64" s="160"/>
      <c r="BQ64" s="161"/>
    </row>
    <row r="65" spans="1:69" ht="9.9499999999999993" customHeight="1" x14ac:dyDescent="0.25">
      <c r="A65" s="167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0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0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0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0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0</v>
      </c>
      <c r="BP65" s="160">
        <f t="shared" ref="BP65" si="61">BO65+BO66</f>
        <v>1</v>
      </c>
      <c r="BQ65" s="161">
        <f t="shared" ref="BQ65" si="62">82-BP65</f>
        <v>81</v>
      </c>
    </row>
    <row r="66" spans="1:69" ht="9.9499999999999993" customHeight="1" x14ac:dyDescent="0.25">
      <c r="A66" s="162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0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0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0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0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0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1</v>
      </c>
      <c r="BP66" s="160"/>
      <c r="BQ66" s="161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7</v>
      </c>
      <c r="BQ67" s="27">
        <f>SUM(BQ3:BQ66)/2</f>
        <v>1305</v>
      </c>
    </row>
    <row r="68" spans="1:69" x14ac:dyDescent="0.25">
      <c r="BP68" s="43">
        <f>2*BP67/SUM(BP3:BQ66)</f>
        <v>5.335365853658537E-3</v>
      </c>
      <c r="BQ68" s="43">
        <f>2*BQ67/SUM(BP3:BQ66)</f>
        <v>0.99466463414634143</v>
      </c>
    </row>
  </sheetData>
  <mergeCells count="128">
    <mergeCell ref="C1:D1"/>
    <mergeCell ref="E1:F1"/>
    <mergeCell ref="G1:H1"/>
    <mergeCell ref="I1:J1"/>
    <mergeCell ref="K1:L1"/>
    <mergeCell ref="M1:N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workbookViewId="0">
      <selection activeCell="E8" sqref="E8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63" t="s">
        <v>44</v>
      </c>
      <c r="D1" s="164"/>
      <c r="E1" s="163" t="s">
        <v>23</v>
      </c>
      <c r="F1" s="164"/>
      <c r="G1" s="163" t="s">
        <v>22</v>
      </c>
      <c r="H1" s="164"/>
      <c r="I1" s="163" t="s">
        <v>27</v>
      </c>
      <c r="J1" s="164"/>
      <c r="K1" s="163" t="s">
        <v>11</v>
      </c>
      <c r="L1" s="164"/>
      <c r="M1" s="163" t="s">
        <v>37</v>
      </c>
      <c r="N1" s="164"/>
      <c r="O1" s="163" t="s">
        <v>24</v>
      </c>
      <c r="P1" s="164"/>
      <c r="Q1" s="163" t="s">
        <v>26</v>
      </c>
      <c r="R1" s="171"/>
      <c r="S1" s="163" t="s">
        <v>16</v>
      </c>
      <c r="T1" s="164"/>
      <c r="U1" s="163" t="s">
        <v>25</v>
      </c>
      <c r="V1" s="164"/>
      <c r="W1" s="163" t="s">
        <v>33</v>
      </c>
      <c r="X1" s="164"/>
      <c r="Y1" s="163" t="s">
        <v>36</v>
      </c>
      <c r="Z1" s="164"/>
      <c r="AA1" s="163" t="s">
        <v>34</v>
      </c>
      <c r="AB1" s="164"/>
      <c r="AC1" s="163" t="s">
        <v>12</v>
      </c>
      <c r="AD1" s="164"/>
      <c r="AE1" s="163" t="s">
        <v>14</v>
      </c>
      <c r="AF1" s="164"/>
      <c r="AG1" s="172" t="s">
        <v>21</v>
      </c>
      <c r="AH1" s="171"/>
      <c r="AI1" s="163" t="s">
        <v>41</v>
      </c>
      <c r="AJ1" s="164"/>
      <c r="AK1" s="163" t="s">
        <v>35</v>
      </c>
      <c r="AL1" s="164"/>
      <c r="AM1" s="163" t="s">
        <v>31</v>
      </c>
      <c r="AN1" s="164"/>
      <c r="AO1" s="163" t="s">
        <v>32</v>
      </c>
      <c r="AP1" s="164"/>
      <c r="AQ1" s="163" t="s">
        <v>19</v>
      </c>
      <c r="AR1" s="164"/>
      <c r="AS1" s="163" t="s">
        <v>42</v>
      </c>
      <c r="AT1" s="164"/>
      <c r="AU1" s="163" t="s">
        <v>20</v>
      </c>
      <c r="AV1" s="164"/>
      <c r="AW1" s="163" t="s">
        <v>43</v>
      </c>
      <c r="AX1" s="171"/>
      <c r="AY1" s="163" t="s">
        <v>15</v>
      </c>
      <c r="AZ1" s="164"/>
      <c r="BA1" s="163" t="s">
        <v>28</v>
      </c>
      <c r="BB1" s="164"/>
      <c r="BC1" s="163" t="s">
        <v>30</v>
      </c>
      <c r="BD1" s="164"/>
      <c r="BE1" s="163" t="s">
        <v>13</v>
      </c>
      <c r="BF1" s="163"/>
      <c r="BG1" s="165" t="s">
        <v>18</v>
      </c>
      <c r="BH1" s="166"/>
      <c r="BI1" s="163" t="s">
        <v>29</v>
      </c>
      <c r="BJ1" s="164"/>
      <c r="BK1" s="163" t="s">
        <v>40</v>
      </c>
      <c r="BL1" s="164"/>
      <c r="BM1" s="163" t="s">
        <v>17</v>
      </c>
      <c r="BN1" s="164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67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0</v>
      </c>
      <c r="M3" s="35"/>
      <c r="N3" s="28">
        <f>COUNTIFS(DataRegularSeason20242025!$E$2:$E$1315,M$1,DataRegularSeason20242025!$D$2:$D$1315,$A3,DataRegularSeason20242025!$N$2:$N$1315,1)</f>
        <v>0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0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0</v>
      </c>
      <c r="BP3" s="160">
        <f>BO3+BO4</f>
        <v>0</v>
      </c>
      <c r="BQ3" s="161">
        <f>82-BP3</f>
        <v>82</v>
      </c>
      <c r="BR3" s="168">
        <f t="shared" ref="BR3" si="0">BP3/(BP3+BQ3)</f>
        <v>0</v>
      </c>
    </row>
    <row r="4" spans="1:70" ht="9.9499999999999993" customHeight="1" x14ac:dyDescent="0.25">
      <c r="A4" s="162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0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0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0</v>
      </c>
      <c r="BP4" s="160"/>
      <c r="BQ4" s="161"/>
      <c r="BR4" s="168"/>
    </row>
    <row r="5" spans="1:70" ht="9.9499999999999993" customHeight="1" x14ac:dyDescent="0.25">
      <c r="A5" s="167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0</v>
      </c>
      <c r="Q5" s="35"/>
      <c r="R5" s="46">
        <f>COUNTIFS(DataRegularSeason20242025!$E$2:$E$1315,Q$1,DataRegularSeason20242025!$D$2:$D$1315,$A5,DataRegularSeason20242025!$N$2:$N$1315,1)</f>
        <v>0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0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1">SUM(C5:BN5)</f>
        <v>1</v>
      </c>
      <c r="BP5" s="160">
        <f t="shared" ref="BP5" si="2">BO5+BO6</f>
        <v>1</v>
      </c>
      <c r="BQ5" s="161">
        <f t="shared" ref="BQ5" si="3">82-BP5</f>
        <v>81</v>
      </c>
      <c r="BR5" s="168">
        <f t="shared" ref="BR5" si="4">BP5/(BP5+BQ5)</f>
        <v>1.2195121951219513E-2</v>
      </c>
    </row>
    <row r="6" spans="1:70" ht="9.9499999999999993" customHeight="1" x14ac:dyDescent="0.25">
      <c r="A6" s="162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0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0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0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0</v>
      </c>
      <c r="BP6" s="160"/>
      <c r="BQ6" s="161"/>
      <c r="BR6" s="168"/>
    </row>
    <row r="7" spans="1:70" ht="9.9499999999999993" customHeight="1" x14ac:dyDescent="0.25">
      <c r="A7" s="167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0</v>
      </c>
      <c r="AO7" s="35"/>
      <c r="AP7" s="28">
        <f>COUNTIFS(DataRegularSeason20242025!$E$2:$E$1315,AO$1,DataRegularSeason20242025!$D$2:$D$1315,$A7,DataRegularSeason20242025!$N$2:$N$1315,1)</f>
        <v>0</v>
      </c>
      <c r="AQ7" s="35"/>
      <c r="AR7" s="28">
        <f>COUNTIFS(DataRegularSeason20242025!$E$2:$E$1315,AQ$1,DataRegularSeason20242025!$D$2:$D$1315,$A7,DataRegularSeason20242025!$N$2:$N$1315,1)</f>
        <v>0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0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0</v>
      </c>
      <c r="BP7" s="160">
        <f t="shared" ref="BP7" si="5">BO7+BO8</f>
        <v>1</v>
      </c>
      <c r="BQ7" s="161">
        <f t="shared" ref="BQ7" si="6">82-BP7</f>
        <v>81</v>
      </c>
      <c r="BR7" s="168">
        <f t="shared" ref="BR7" si="7">BP7/(BP7+BQ7)</f>
        <v>1.2195121951219513E-2</v>
      </c>
    </row>
    <row r="8" spans="1:70" ht="9.9499999999999993" customHeight="1" x14ac:dyDescent="0.25">
      <c r="A8" s="162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0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1</v>
      </c>
      <c r="BP8" s="160"/>
      <c r="BQ8" s="161"/>
      <c r="BR8" s="168"/>
    </row>
    <row r="9" spans="1:70" ht="9.9499999999999993" customHeight="1" x14ac:dyDescent="0.25">
      <c r="A9" s="167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0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0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1</v>
      </c>
      <c r="BP9" s="160">
        <f t="shared" ref="BP9" si="8">BO9+BO10</f>
        <v>2</v>
      </c>
      <c r="BQ9" s="161">
        <f t="shared" ref="BQ9" si="9">82-BP9</f>
        <v>80</v>
      </c>
      <c r="BR9" s="168">
        <f t="shared" ref="BR9" si="10">BP9/(BP9+BQ9)</f>
        <v>2.4390243902439025E-2</v>
      </c>
    </row>
    <row r="10" spans="1:70" ht="9.9499999999999993" customHeight="1" x14ac:dyDescent="0.25">
      <c r="A10" s="162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0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0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1</v>
      </c>
      <c r="BP10" s="160"/>
      <c r="BQ10" s="161"/>
      <c r="BR10" s="168"/>
    </row>
    <row r="11" spans="1:70" ht="9.9499999999999993" customHeight="1" x14ac:dyDescent="0.25">
      <c r="A11" s="167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0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0</v>
      </c>
      <c r="BI11" s="35"/>
      <c r="BJ11" s="28">
        <f>COUNTIFS(DataRegularSeason20242025!$E$2:$E$1315,BI$1,DataRegularSeason20242025!$D$2:$D$1315,$A11,DataRegularSeason20242025!$N$2:$N$1315,1)</f>
        <v>0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0</v>
      </c>
      <c r="BO11" s="30">
        <f t="shared" si="1"/>
        <v>0</v>
      </c>
      <c r="BP11" s="160">
        <f t="shared" ref="BP11" si="11">BO11+BO12</f>
        <v>0</v>
      </c>
      <c r="BQ11" s="161">
        <f t="shared" ref="BQ11" si="12">82-BP11</f>
        <v>82</v>
      </c>
      <c r="BR11" s="168">
        <f t="shared" ref="BR11" si="13">BP11/(BP11+BQ11)</f>
        <v>0</v>
      </c>
    </row>
    <row r="12" spans="1:70" ht="9.9499999999999993" customHeight="1" x14ac:dyDescent="0.25">
      <c r="A12" s="162"/>
      <c r="B12" s="32" t="s">
        <v>73</v>
      </c>
      <c r="C12" s="38">
        <f>COUNTIFS(DataRegularSeason20242025!$D$2:$D$1315,C$1,DataRegularSeason20242025!$E$2:$E$1315,$A11,DataRegularSeason20242025!$N$2:$N$1315,1)</f>
        <v>0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0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0</v>
      </c>
      <c r="BP12" s="160"/>
      <c r="BQ12" s="161"/>
      <c r="BR12" s="168"/>
    </row>
    <row r="13" spans="1:70" ht="9.9499999999999993" customHeight="1" x14ac:dyDescent="0.25">
      <c r="A13" s="167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0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0</v>
      </c>
      <c r="BP13" s="160">
        <f t="shared" ref="BP13" si="14">BO13+BO14</f>
        <v>0</v>
      </c>
      <c r="BQ13" s="161">
        <f t="shared" ref="BQ13" si="15">82-BP13</f>
        <v>82</v>
      </c>
      <c r="BR13" s="168">
        <f t="shared" ref="BR13" si="16">BP13/(BP13+BQ13)</f>
        <v>0</v>
      </c>
    </row>
    <row r="14" spans="1:70" ht="9.9499999999999993" customHeight="1" x14ac:dyDescent="0.25">
      <c r="A14" s="162"/>
      <c r="B14" s="32" t="s">
        <v>73</v>
      </c>
      <c r="C14" s="38">
        <f>COUNTIFS(DataRegularSeason20242025!$D$2:$D$1315,C$1,DataRegularSeason20242025!$E$2:$E$1315,$A13,DataRegularSeason20242025!$N$2:$N$1315,1)</f>
        <v>0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0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0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0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0</v>
      </c>
      <c r="BP14" s="160"/>
      <c r="BQ14" s="161"/>
      <c r="BR14" s="168"/>
    </row>
    <row r="15" spans="1:70" ht="9.9499999999999993" customHeight="1" x14ac:dyDescent="0.25">
      <c r="A15" s="167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0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0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0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0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0</v>
      </c>
      <c r="BP15" s="160">
        <f t="shared" ref="BP15" si="17">BO15+BO16</f>
        <v>0</v>
      </c>
      <c r="BQ15" s="161">
        <f t="shared" ref="BQ15" si="18">82-BP15</f>
        <v>82</v>
      </c>
      <c r="BR15" s="168">
        <f t="shared" ref="BR15" si="19">BP15/(BP15+BQ15)</f>
        <v>0</v>
      </c>
    </row>
    <row r="16" spans="1:70" ht="9.9499999999999993" customHeight="1" x14ac:dyDescent="0.25">
      <c r="A16" s="162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0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0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0</v>
      </c>
      <c r="BP16" s="160"/>
      <c r="BQ16" s="161"/>
      <c r="BR16" s="168"/>
    </row>
    <row r="17" spans="1:70" ht="9.9499999999999993" customHeight="1" x14ac:dyDescent="0.25">
      <c r="A17" s="167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0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0</v>
      </c>
      <c r="M17" s="35"/>
      <c r="N17" s="28">
        <f>COUNTIFS(DataRegularSeason20242025!$E$2:$E$1315,M$1,DataRegularSeason20242025!$D$2:$D$1315,$A17,DataRegularSeason20242025!$N$2:$N$1315,1)</f>
        <v>0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0</v>
      </c>
      <c r="BP17" s="160">
        <f t="shared" ref="BP17" si="20">BO17+BO18</f>
        <v>1</v>
      </c>
      <c r="BQ17" s="161">
        <f t="shared" ref="BQ17" si="21">82-BP17</f>
        <v>81</v>
      </c>
      <c r="BR17" s="168">
        <f t="shared" ref="BR17" si="22">BP17/(BP17+BQ17)</f>
        <v>1.2195121951219513E-2</v>
      </c>
    </row>
    <row r="18" spans="1:70" ht="9.9499999999999993" customHeight="1" thickBot="1" x14ac:dyDescent="0.3">
      <c r="A18" s="161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0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0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0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1</v>
      </c>
      <c r="BP18" s="160"/>
      <c r="BQ18" s="161"/>
      <c r="BR18" s="168"/>
    </row>
    <row r="19" spans="1:70" ht="9.9499999999999993" customHeight="1" thickTop="1" x14ac:dyDescent="0.25">
      <c r="A19" s="170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0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0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1</v>
      </c>
      <c r="BP19" s="160">
        <f t="shared" ref="BP19" si="23">BO19+BO20</f>
        <v>1</v>
      </c>
      <c r="BQ19" s="161">
        <f t="shared" ref="BQ19" si="24">82-BP19</f>
        <v>81</v>
      </c>
      <c r="BR19" s="168">
        <f t="shared" ref="BR19" si="25">BP19/(BP19+BQ19)</f>
        <v>1.2195121951219513E-2</v>
      </c>
    </row>
    <row r="20" spans="1:70" ht="9.9499999999999993" customHeight="1" x14ac:dyDescent="0.25">
      <c r="A20" s="162"/>
      <c r="B20" s="32" t="s">
        <v>73</v>
      </c>
      <c r="C20" s="38">
        <f>COUNTIFS(DataRegularSeason20242025!$D$2:$D$1315,C$1,DataRegularSeason20242025!$E$2:$E$1315,$A19,DataRegularSeason20242025!$N$2:$N$1315,1)</f>
        <v>0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0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0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0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0</v>
      </c>
      <c r="BP20" s="160"/>
      <c r="BQ20" s="161"/>
      <c r="BR20" s="168"/>
    </row>
    <row r="21" spans="1:70" ht="9.9499999999999993" customHeight="1" x14ac:dyDescent="0.25">
      <c r="A21" s="167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0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0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1</v>
      </c>
      <c r="BP21" s="160">
        <f t="shared" ref="BP21" si="26">BO21+BO22</f>
        <v>1</v>
      </c>
      <c r="BQ21" s="161">
        <f t="shared" ref="BQ21" si="27">82-BP21</f>
        <v>81</v>
      </c>
      <c r="BR21" s="168">
        <f t="shared" ref="BR21" si="28">BP21/(BP21+BQ21)</f>
        <v>1.2195121951219513E-2</v>
      </c>
    </row>
    <row r="22" spans="1:70" ht="9.9499999999999993" customHeight="1" x14ac:dyDescent="0.25">
      <c r="A22" s="162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0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0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0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0</v>
      </c>
      <c r="BP22" s="160"/>
      <c r="BQ22" s="161"/>
      <c r="BR22" s="168"/>
    </row>
    <row r="23" spans="1:70" ht="9.9499999999999993" customHeight="1" x14ac:dyDescent="0.25">
      <c r="A23" s="167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0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0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0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0</v>
      </c>
      <c r="BP23" s="160">
        <f t="shared" ref="BP23" si="29">BO23+BO24</f>
        <v>0</v>
      </c>
      <c r="BQ23" s="161">
        <f t="shared" ref="BQ23" si="30">82-BP23</f>
        <v>82</v>
      </c>
      <c r="BR23" s="168">
        <f t="shared" ref="BR23" si="31">BP23/(BP23+BQ23)</f>
        <v>0</v>
      </c>
    </row>
    <row r="24" spans="1:70" ht="9.9499999999999993" customHeight="1" x14ac:dyDescent="0.25">
      <c r="A24" s="162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0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0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0</v>
      </c>
      <c r="BP24" s="160"/>
      <c r="BQ24" s="161"/>
      <c r="BR24" s="168"/>
    </row>
    <row r="25" spans="1:70" ht="9.9499999999999993" customHeight="1" x14ac:dyDescent="0.25">
      <c r="A25" s="167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0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0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0</v>
      </c>
      <c r="AS25" s="35"/>
      <c r="AT25" s="28">
        <f>COUNTIFS(DataRegularSeason20242025!$E$2:$E$1315,AS$1,DataRegularSeason20242025!$D$2:$D$1315,$A25,DataRegularSeason20242025!$N$2:$N$1315,1)</f>
        <v>0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0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0</v>
      </c>
      <c r="BP25" s="160">
        <f t="shared" ref="BP25" si="32">BO25+BO26</f>
        <v>0</v>
      </c>
      <c r="BQ25" s="161">
        <f t="shared" ref="BQ25" si="33">82-BP25</f>
        <v>82</v>
      </c>
      <c r="BR25" s="168">
        <f t="shared" ref="BR25" si="34">BP25/(BP25+BQ25)</f>
        <v>0</v>
      </c>
    </row>
    <row r="26" spans="1:70" ht="9.9499999999999993" customHeight="1" x14ac:dyDescent="0.25">
      <c r="A26" s="162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0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0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0</v>
      </c>
      <c r="BP26" s="160"/>
      <c r="BQ26" s="161"/>
      <c r="BR26" s="168"/>
    </row>
    <row r="27" spans="1:70" ht="9.9499999999999993" customHeight="1" x14ac:dyDescent="0.25">
      <c r="A27" s="167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0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0</v>
      </c>
      <c r="BI27" s="35"/>
      <c r="BJ27" s="28">
        <f>COUNTIFS(DataRegularSeason20242025!$E$2:$E$1315,BI$1,DataRegularSeason20242025!$D$2:$D$1315,$A27,DataRegularSeason20242025!$N$2:$N$1315,1)</f>
        <v>0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0</v>
      </c>
      <c r="BO27" s="30">
        <f t="shared" si="1"/>
        <v>0</v>
      </c>
      <c r="BP27" s="160">
        <f t="shared" ref="BP27" si="35">BO27+BO28</f>
        <v>0</v>
      </c>
      <c r="BQ27" s="161">
        <f t="shared" ref="BQ27" si="36">82-BP27</f>
        <v>82</v>
      </c>
      <c r="BR27" s="168">
        <f t="shared" ref="BR27" si="37">BP27/(BP27+BQ27)</f>
        <v>0</v>
      </c>
    </row>
    <row r="28" spans="1:70" ht="9.9499999999999993" customHeight="1" x14ac:dyDescent="0.25">
      <c r="A28" s="162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0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0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0</v>
      </c>
      <c r="BP28" s="160"/>
      <c r="BQ28" s="161"/>
      <c r="BR28" s="168"/>
    </row>
    <row r="29" spans="1:70" ht="9.9499999999999993" customHeight="1" x14ac:dyDescent="0.25">
      <c r="A29" s="167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0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0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0</v>
      </c>
      <c r="BP29" s="160">
        <f t="shared" ref="BP29" si="38">BO29+BO30</f>
        <v>0</v>
      </c>
      <c r="BQ29" s="161">
        <f t="shared" ref="BQ29" si="39">82-BP29</f>
        <v>82</v>
      </c>
      <c r="BR29" s="168">
        <f t="shared" ref="BR29" si="40">BP29/(BP29+BQ29)</f>
        <v>0</v>
      </c>
    </row>
    <row r="30" spans="1:70" ht="9.9499999999999993" customHeight="1" x14ac:dyDescent="0.25">
      <c r="A30" s="162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0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0</v>
      </c>
      <c r="X30" s="39"/>
      <c r="Y30" s="38">
        <f>COUNTIFS(DataRegularSeason20242025!$D$2:$D$1315,Y$1,DataRegularSeason20242025!$E$2:$E$1315,$A29,DataRegularSeason20242025!$N$2:$N$1315,1)</f>
        <v>0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0</v>
      </c>
      <c r="BP30" s="160"/>
      <c r="BQ30" s="161"/>
      <c r="BR30" s="168"/>
    </row>
    <row r="31" spans="1:70" ht="9.9499999999999993" customHeight="1" x14ac:dyDescent="0.25">
      <c r="A31" s="167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0</v>
      </c>
      <c r="U31" s="35"/>
      <c r="V31" s="28">
        <f>COUNTIFS(DataRegularSeason20242025!$E$2:$E$1315,U$1,DataRegularSeason20242025!$D$2:$D$1315,$A31,DataRegularSeason20242025!$N$2:$N$1315,1)</f>
        <v>0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0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0</v>
      </c>
      <c r="BP31" s="160">
        <f t="shared" ref="BP31" si="41">BO31+BO32</f>
        <v>0</v>
      </c>
      <c r="BQ31" s="161">
        <f t="shared" ref="BQ31" si="42">82-BP31</f>
        <v>82</v>
      </c>
      <c r="BR31" s="168">
        <f t="shared" ref="BR31" si="43">BP31/(BP31+BQ31)</f>
        <v>0</v>
      </c>
    </row>
    <row r="32" spans="1:70" ht="9.9499999999999993" customHeight="1" x14ac:dyDescent="0.25">
      <c r="A32" s="162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0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0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0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0</v>
      </c>
      <c r="BP32" s="160"/>
      <c r="BQ32" s="161"/>
      <c r="BR32" s="168"/>
    </row>
    <row r="33" spans="1:70" ht="9.9499999999999993" customHeight="1" x14ac:dyDescent="0.25">
      <c r="A33" s="167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0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0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0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0</v>
      </c>
      <c r="BP33" s="160">
        <f t="shared" ref="BP33" si="44">BO33+BO34</f>
        <v>0</v>
      </c>
      <c r="BQ33" s="161">
        <f t="shared" ref="BQ33" si="45">82-BP33</f>
        <v>82</v>
      </c>
      <c r="BR33" s="168">
        <f t="shared" ref="BR33" si="46">BP33/(BP33+BQ33)</f>
        <v>0</v>
      </c>
    </row>
    <row r="34" spans="1:70" ht="9.9499999999999993" customHeight="1" thickBot="1" x14ac:dyDescent="0.3">
      <c r="A34" s="161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0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0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0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0</v>
      </c>
      <c r="BP34" s="160"/>
      <c r="BQ34" s="161"/>
      <c r="BR34" s="168"/>
    </row>
    <row r="35" spans="1:70" ht="9.9499999999999993" customHeight="1" thickTop="1" x14ac:dyDescent="0.25">
      <c r="A35" s="170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0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0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0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0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0</v>
      </c>
      <c r="BP35" s="160">
        <f t="shared" ref="BP35" si="47">BO35+BO36</f>
        <v>0</v>
      </c>
      <c r="BQ35" s="161">
        <f t="shared" ref="BQ35" si="48">82-BP35</f>
        <v>82</v>
      </c>
      <c r="BR35" s="168">
        <f t="shared" ref="BR35" si="49">BP35/(BP35+BQ35)</f>
        <v>0</v>
      </c>
    </row>
    <row r="36" spans="1:70" ht="9.9499999999999993" customHeight="1" x14ac:dyDescent="0.25">
      <c r="A36" s="162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0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0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0</v>
      </c>
      <c r="BP36" s="160"/>
      <c r="BQ36" s="161"/>
      <c r="BR36" s="168"/>
    </row>
    <row r="37" spans="1:70" ht="9.9499999999999993" customHeight="1" x14ac:dyDescent="0.25">
      <c r="A37" s="167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0</v>
      </c>
      <c r="AA37" s="35"/>
      <c r="AB37" s="28">
        <f>COUNTIFS(DataRegularSeason20242025!$E$2:$E$1315,AA$1,DataRegularSeason20242025!$D$2:$D$1315,$A37,DataRegularSeason20242025!$N$2:$N$1315,1)</f>
        <v>0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0</v>
      </c>
      <c r="BP37" s="160">
        <f t="shared" ref="BP37" si="50">BO37+BO38</f>
        <v>0</v>
      </c>
      <c r="BQ37" s="161">
        <f t="shared" ref="BQ37" si="51">82-BP37</f>
        <v>82</v>
      </c>
      <c r="BR37" s="168">
        <f t="shared" ref="BR37" si="52">BP37/(BP37+BQ37)</f>
        <v>0</v>
      </c>
    </row>
    <row r="38" spans="1:70" ht="9.9499999999999993" customHeight="1" x14ac:dyDescent="0.25">
      <c r="A38" s="162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0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0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0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0</v>
      </c>
      <c r="BP38" s="160"/>
      <c r="BQ38" s="161"/>
      <c r="BR38" s="168"/>
    </row>
    <row r="39" spans="1:70" ht="9.9499999999999993" customHeight="1" x14ac:dyDescent="0.25">
      <c r="A39" s="167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0</v>
      </c>
      <c r="AK39" s="35"/>
      <c r="AL39" s="28">
        <f>COUNTIFS(DataRegularSeason20242025!$E$2:$E$1315,AK$1,DataRegularSeason20242025!$D$2:$D$1315,$A39,DataRegularSeason20242025!$N$2:$N$1315,1)</f>
        <v>0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0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1"/>
        <v>0</v>
      </c>
      <c r="BP39" s="160">
        <f t="shared" ref="BP39" si="53">BO39+BO40</f>
        <v>0</v>
      </c>
      <c r="BQ39" s="161">
        <f t="shared" ref="BQ39" si="54">82-BP39</f>
        <v>82</v>
      </c>
      <c r="BR39" s="168">
        <f t="shared" ref="BR39" si="55">BP39/(BP39+BQ39)</f>
        <v>0</v>
      </c>
    </row>
    <row r="40" spans="1:70" ht="9.9499999999999993" customHeight="1" x14ac:dyDescent="0.25">
      <c r="A40" s="162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0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0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0</v>
      </c>
      <c r="BP40" s="160"/>
      <c r="BQ40" s="161"/>
      <c r="BR40" s="168"/>
    </row>
    <row r="41" spans="1:70" ht="9.9499999999999993" customHeight="1" x14ac:dyDescent="0.25">
      <c r="A41" s="167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0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0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0</v>
      </c>
      <c r="BP41" s="160">
        <f t="shared" ref="BP41" si="56">BO41+BO42</f>
        <v>0</v>
      </c>
      <c r="BQ41" s="161">
        <f t="shared" ref="BQ41" si="57">82-BP41</f>
        <v>82</v>
      </c>
      <c r="BR41" s="168">
        <f t="shared" ref="BR41" si="58">BP41/(BP41+BQ41)</f>
        <v>0</v>
      </c>
    </row>
    <row r="42" spans="1:70" ht="9.9499999999999993" customHeight="1" x14ac:dyDescent="0.25">
      <c r="A42" s="162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0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0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0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0</v>
      </c>
      <c r="BP42" s="160"/>
      <c r="BQ42" s="161"/>
      <c r="BR42" s="168"/>
    </row>
    <row r="43" spans="1:70" ht="9.9499999999999993" customHeight="1" x14ac:dyDescent="0.25">
      <c r="A43" s="167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0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0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0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0</v>
      </c>
      <c r="BO43" s="30">
        <f t="shared" si="1"/>
        <v>0</v>
      </c>
      <c r="BP43" s="160">
        <f t="shared" ref="BP43" si="59">BO43+BO44</f>
        <v>1</v>
      </c>
      <c r="BQ43" s="161">
        <f t="shared" ref="BQ43" si="60">82-BP43</f>
        <v>81</v>
      </c>
      <c r="BR43" s="168">
        <f t="shared" ref="BR43" si="61">BP43/(BP43+BQ43)</f>
        <v>1.2195121951219513E-2</v>
      </c>
    </row>
    <row r="44" spans="1:70" ht="9.9499999999999993" customHeight="1" x14ac:dyDescent="0.25">
      <c r="A44" s="162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0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0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0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1</v>
      </c>
      <c r="BP44" s="160"/>
      <c r="BQ44" s="161"/>
      <c r="BR44" s="168"/>
    </row>
    <row r="45" spans="1:70" ht="9.9499999999999993" customHeight="1" x14ac:dyDescent="0.25">
      <c r="A45" s="167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0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0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0</v>
      </c>
      <c r="BP45" s="160">
        <f t="shared" ref="BP45" si="62">BO45+BO46</f>
        <v>0</v>
      </c>
      <c r="BQ45" s="161">
        <f t="shared" ref="BQ45" si="63">82-BP45</f>
        <v>82</v>
      </c>
      <c r="BR45" s="168">
        <f t="shared" ref="BR45" si="64">BP45/(BP45+BQ45)</f>
        <v>0</v>
      </c>
    </row>
    <row r="46" spans="1:70" ht="9.9499999999999993" customHeight="1" x14ac:dyDescent="0.25">
      <c r="A46" s="162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0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0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0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0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0</v>
      </c>
      <c r="BP46" s="160"/>
      <c r="BQ46" s="161"/>
      <c r="BR46" s="168"/>
    </row>
    <row r="47" spans="1:70" ht="9.9499999999999993" customHeight="1" x14ac:dyDescent="0.25">
      <c r="A47" s="167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0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0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0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1</v>
      </c>
      <c r="BP47" s="160">
        <f t="shared" ref="BP47" si="65">BO47+BO48</f>
        <v>1</v>
      </c>
      <c r="BQ47" s="161">
        <f t="shared" ref="BQ47" si="66">82-BP47</f>
        <v>81</v>
      </c>
      <c r="BR47" s="168">
        <f t="shared" ref="BR47" si="67">BP47/(BP47+BQ47)</f>
        <v>1.2195121951219513E-2</v>
      </c>
    </row>
    <row r="48" spans="1:70" ht="9.9499999999999993" customHeight="1" x14ac:dyDescent="0.25">
      <c r="A48" s="162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0</v>
      </c>
      <c r="AP48" s="39"/>
      <c r="AQ48" s="38">
        <f>COUNTIFS(DataRegularSeason20242025!$D$2:$D$1315,AQ$1,DataRegularSeason20242025!$E$2:$E$1315,$A47,DataRegularSeason20242025!$N$2:$N$1315,1)</f>
        <v>0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0</v>
      </c>
      <c r="BP48" s="160"/>
      <c r="BQ48" s="161"/>
      <c r="BR48" s="168"/>
    </row>
    <row r="49" spans="1:70" ht="9.9499999999999993" customHeight="1" x14ac:dyDescent="0.25">
      <c r="A49" s="167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0</v>
      </c>
      <c r="AQ49" s="35"/>
      <c r="AR49" s="28">
        <f>COUNTIFS(DataRegularSeason20242025!$E$2:$E$1315,AQ$1,DataRegularSeason20242025!$D$2:$D$1315,$A49,DataRegularSeason20242025!$N$2:$N$1315,1)</f>
        <v>0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0</v>
      </c>
      <c r="BP49" s="160">
        <f t="shared" ref="BP49" si="68">BO49+BO50</f>
        <v>1</v>
      </c>
      <c r="BQ49" s="161">
        <f t="shared" ref="BQ49" si="69">82-BP49</f>
        <v>81</v>
      </c>
      <c r="BR49" s="168">
        <f t="shared" ref="BR49" si="70">BP49/(BP49+BQ49)</f>
        <v>1.2195121951219513E-2</v>
      </c>
    </row>
    <row r="50" spans="1:70" ht="9.9499999999999993" customHeight="1" thickBot="1" x14ac:dyDescent="0.3">
      <c r="A50" s="169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0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0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0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1</v>
      </c>
      <c r="BP50" s="160"/>
      <c r="BQ50" s="161"/>
      <c r="BR50" s="168"/>
    </row>
    <row r="51" spans="1:70" ht="9.9499999999999993" customHeight="1" thickTop="1" x14ac:dyDescent="0.25">
      <c r="A51" s="161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0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0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0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1</v>
      </c>
      <c r="BP51" s="160">
        <f t="shared" ref="BP51" si="71">BO51+BO52</f>
        <v>1</v>
      </c>
      <c r="BQ51" s="161">
        <f t="shared" ref="BQ51" si="72">82-BP51</f>
        <v>81</v>
      </c>
      <c r="BR51" s="168">
        <f t="shared" ref="BR51" si="73">BP51/(BP51+BQ51)</f>
        <v>1.2195121951219513E-2</v>
      </c>
    </row>
    <row r="52" spans="1:70" ht="9.9499999999999993" customHeight="1" x14ac:dyDescent="0.25">
      <c r="A52" s="162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0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0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0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0</v>
      </c>
      <c r="BP52" s="160"/>
      <c r="BQ52" s="161"/>
      <c r="BR52" s="168"/>
    </row>
    <row r="53" spans="1:70" ht="9.9499999999999993" customHeight="1" x14ac:dyDescent="0.25">
      <c r="A53" s="167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0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0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1"/>
        <v>0</v>
      </c>
      <c r="BP53" s="160">
        <f t="shared" ref="BP53" si="74">BO53+BO54</f>
        <v>0</v>
      </c>
      <c r="BQ53" s="161">
        <f t="shared" ref="BQ53" si="75">82-BP53</f>
        <v>82</v>
      </c>
      <c r="BR53" s="168">
        <f t="shared" ref="BR53" si="76">BP53/(BP53+BQ53)</f>
        <v>0</v>
      </c>
    </row>
    <row r="54" spans="1:70" ht="9.9499999999999993" customHeight="1" x14ac:dyDescent="0.25">
      <c r="A54" s="162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0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0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0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0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1"/>
        <v>0</v>
      </c>
      <c r="BP54" s="160"/>
      <c r="BQ54" s="161"/>
      <c r="BR54" s="168"/>
    </row>
    <row r="55" spans="1:70" ht="9.9499999999999993" customHeight="1" x14ac:dyDescent="0.25">
      <c r="A55" s="167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0</v>
      </c>
      <c r="BO55" s="30">
        <f t="shared" si="1"/>
        <v>0</v>
      </c>
      <c r="BP55" s="160">
        <f t="shared" ref="BP55" si="77">BO55+BO56</f>
        <v>0</v>
      </c>
      <c r="BQ55" s="161">
        <f t="shared" ref="BQ55" si="78">82-BP55</f>
        <v>82</v>
      </c>
      <c r="BR55" s="168">
        <f t="shared" ref="BR55" si="79">BP55/(BP55+BQ55)</f>
        <v>0</v>
      </c>
    </row>
    <row r="56" spans="1:70" ht="9.9499999999999993" customHeight="1" x14ac:dyDescent="0.25">
      <c r="A56" s="162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0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0</v>
      </c>
      <c r="BF56" s="39"/>
      <c r="BG56" s="38">
        <f>COUNTIFS(DataRegularSeason20242025!$D$2:$D$1315,BG$1,DataRegularSeason20242025!$E$2:$E$1315,$A55,DataRegularSeason20242025!$N$2:$N$1315,1)</f>
        <v>0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0</v>
      </c>
      <c r="BL56" s="39"/>
      <c r="BM56" s="38">
        <f>COUNTIFS(DataRegularSeason20242025!$D$2:$D$1315,BM$1,DataRegularSeason20242025!$E$2:$E$1315,$A55,DataRegularSeason20242025!$N$2:$N$1315,1)</f>
        <v>0</v>
      </c>
      <c r="BN56" s="39"/>
      <c r="BO56" s="34">
        <f t="shared" si="1"/>
        <v>0</v>
      </c>
      <c r="BP56" s="160"/>
      <c r="BQ56" s="161"/>
      <c r="BR56" s="168"/>
    </row>
    <row r="57" spans="1:70" ht="9.9499999999999993" customHeight="1" x14ac:dyDescent="0.25">
      <c r="A57" s="167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0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0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0</v>
      </c>
      <c r="BC57" s="35"/>
      <c r="BD57" s="28">
        <f>COUNTIFS(DataRegularSeason20242025!$E$2:$E$1315,BC$1,DataRegularSeason20242025!$D$2:$D$1315,$A57,DataRegularSeason20242025!$N$2:$N$1315,1)</f>
        <v>0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0</v>
      </c>
      <c r="BP57" s="160">
        <f t="shared" ref="BP57" si="80">BO57+BO58</f>
        <v>1</v>
      </c>
      <c r="BQ57" s="161">
        <f t="shared" ref="BQ57" si="81">82-BP57</f>
        <v>81</v>
      </c>
      <c r="BR57" s="168">
        <f t="shared" ref="BR57" si="82">BP57/(BP57+BQ57)</f>
        <v>1.2195121951219513E-2</v>
      </c>
    </row>
    <row r="58" spans="1:70" ht="9.9499999999999993" customHeight="1" x14ac:dyDescent="0.25">
      <c r="A58" s="162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0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0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1</v>
      </c>
      <c r="BP58" s="160"/>
      <c r="BQ58" s="161"/>
      <c r="BR58" s="168"/>
    </row>
    <row r="59" spans="1:70" ht="9.9499999999999993" customHeight="1" x14ac:dyDescent="0.25">
      <c r="A59" s="167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0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0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1</v>
      </c>
      <c r="BP59" s="160">
        <f t="shared" ref="BP59" si="83">BO59+BO60</f>
        <v>1</v>
      </c>
      <c r="BQ59" s="161">
        <f t="shared" ref="BQ59" si="84">82-BP59</f>
        <v>81</v>
      </c>
      <c r="BR59" s="168">
        <f t="shared" ref="BR59" si="85">BP59/(BP59+BQ59)</f>
        <v>1.2195121951219513E-2</v>
      </c>
    </row>
    <row r="60" spans="1:70" ht="9.9499999999999993" customHeight="1" x14ac:dyDescent="0.25">
      <c r="A60" s="162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0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0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0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0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0</v>
      </c>
      <c r="BP60" s="160"/>
      <c r="BQ60" s="161"/>
      <c r="BR60" s="168"/>
    </row>
    <row r="61" spans="1:70" ht="9.9499999999999993" customHeight="1" x14ac:dyDescent="0.25">
      <c r="A61" s="167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0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0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0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0</v>
      </c>
      <c r="BP61" s="160">
        <f t="shared" ref="BP61" si="86">BO61+BO62</f>
        <v>0</v>
      </c>
      <c r="BQ61" s="161">
        <f t="shared" ref="BQ61" si="87">82-BP61</f>
        <v>82</v>
      </c>
      <c r="BR61" s="168">
        <f t="shared" ref="BR61" si="88">BP61/(BP61+BQ61)</f>
        <v>0</v>
      </c>
    </row>
    <row r="62" spans="1:70" ht="9.9499999999999993" customHeight="1" x14ac:dyDescent="0.25">
      <c r="A62" s="162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0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0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0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0</v>
      </c>
      <c r="BP62" s="160"/>
      <c r="BQ62" s="161"/>
      <c r="BR62" s="168"/>
    </row>
    <row r="63" spans="1:70" ht="9.9499999999999993" customHeight="1" x14ac:dyDescent="0.25">
      <c r="A63" s="167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0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0</v>
      </c>
      <c r="AY63" s="35"/>
      <c r="AZ63" s="28">
        <f>COUNTIFS(DataRegularSeason20242025!$E$2:$E$1315,AY$1,DataRegularSeason20242025!$D$2:$D$1315,$A63,DataRegularSeason20242025!$N$2:$N$1315,1)</f>
        <v>0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0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0</v>
      </c>
      <c r="BP63" s="160">
        <f t="shared" ref="BP63" si="89">BO63+BO64</f>
        <v>0</v>
      </c>
      <c r="BQ63" s="161">
        <f t="shared" ref="BQ63" si="90">82-BP63</f>
        <v>82</v>
      </c>
      <c r="BR63" s="168">
        <f t="shared" ref="BR63" si="91">BP63/(BP63+BQ63)</f>
        <v>0</v>
      </c>
    </row>
    <row r="64" spans="1:70" ht="9.9499999999999993" customHeight="1" x14ac:dyDescent="0.25">
      <c r="A64" s="162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0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0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0</v>
      </c>
      <c r="BP64" s="160"/>
      <c r="BQ64" s="161"/>
      <c r="BR64" s="168"/>
    </row>
    <row r="65" spans="1:70" ht="9.9499999999999993" customHeight="1" x14ac:dyDescent="0.25">
      <c r="A65" s="167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0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0</v>
      </c>
      <c r="BP65" s="160">
        <f t="shared" ref="BP65" si="92">BO65+BO66</f>
        <v>1</v>
      </c>
      <c r="BQ65" s="161">
        <f t="shared" ref="BQ65" si="93">82-BP65</f>
        <v>81</v>
      </c>
      <c r="BR65" s="168">
        <f>BP65/(BP65+BQ65)</f>
        <v>1.2195121951219513E-2</v>
      </c>
    </row>
    <row r="66" spans="1:70" ht="9.9499999999999993" customHeight="1" x14ac:dyDescent="0.25">
      <c r="A66" s="162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0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0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0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0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1</v>
      </c>
      <c r="BP66" s="160"/>
      <c r="BQ66" s="161"/>
      <c r="BR66" s="168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7</v>
      </c>
      <c r="BQ67" s="27">
        <f>SUM(BQ3:BQ66)/2</f>
        <v>1305</v>
      </c>
    </row>
    <row r="68" spans="1:70" x14ac:dyDescent="0.25">
      <c r="BP68" s="43">
        <f>2*BP67/SUM(BP3:BQ66)</f>
        <v>5.335365853658537E-3</v>
      </c>
      <c r="BQ68" s="43">
        <f>2*BQ67/SUM(BP3:BQ66)</f>
        <v>0.99466463414634143</v>
      </c>
    </row>
  </sheetData>
  <mergeCells count="160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workbookViewId="0">
      <selection activeCell="AS59" sqref="AS59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63" t="s">
        <v>44</v>
      </c>
      <c r="D1" s="164"/>
      <c r="E1" s="163" t="s">
        <v>15</v>
      </c>
      <c r="F1" s="164"/>
      <c r="G1" s="163" t="s">
        <v>28</v>
      </c>
      <c r="H1" s="164"/>
      <c r="I1" s="163" t="s">
        <v>41</v>
      </c>
      <c r="J1" s="164"/>
      <c r="K1" s="163" t="s">
        <v>35</v>
      </c>
      <c r="L1" s="164"/>
      <c r="M1" s="163" t="s">
        <v>23</v>
      </c>
      <c r="N1" s="164"/>
      <c r="O1" s="163" t="s">
        <v>16</v>
      </c>
      <c r="P1" s="164"/>
      <c r="Q1" s="163" t="s">
        <v>25</v>
      </c>
      <c r="R1" s="164"/>
      <c r="S1" s="163" t="s">
        <v>33</v>
      </c>
      <c r="T1" s="164"/>
      <c r="U1" s="163" t="s">
        <v>30</v>
      </c>
      <c r="V1" s="164"/>
      <c r="W1" s="163" t="s">
        <v>22</v>
      </c>
      <c r="X1" s="164"/>
      <c r="Y1" s="163" t="s">
        <v>13</v>
      </c>
      <c r="Z1" s="164"/>
      <c r="AA1" s="163" t="s">
        <v>27</v>
      </c>
      <c r="AB1" s="164"/>
      <c r="AC1" s="163" t="s">
        <v>36</v>
      </c>
      <c r="AD1" s="164"/>
      <c r="AE1" s="163" t="s">
        <v>18</v>
      </c>
      <c r="AF1" s="164"/>
      <c r="AG1" s="163" t="s">
        <v>31</v>
      </c>
      <c r="AH1" s="164"/>
      <c r="AI1" s="163" t="s">
        <v>34</v>
      </c>
      <c r="AJ1" s="164"/>
      <c r="AK1" s="163" t="s">
        <v>32</v>
      </c>
      <c r="AL1" s="164"/>
      <c r="AM1" s="163" t="s">
        <v>19</v>
      </c>
      <c r="AN1" s="164"/>
      <c r="AO1" s="163" t="s">
        <v>29</v>
      </c>
      <c r="AP1" s="164"/>
      <c r="AQ1" s="163" t="s">
        <v>42</v>
      </c>
      <c r="AR1" s="164"/>
      <c r="AS1" s="163" t="s">
        <v>20</v>
      </c>
      <c r="AT1" s="164"/>
      <c r="AU1" s="163" t="s">
        <v>11</v>
      </c>
      <c r="AV1" s="164"/>
      <c r="AW1" s="163" t="s">
        <v>37</v>
      </c>
      <c r="AX1" s="164"/>
      <c r="AY1" s="163" t="s">
        <v>12</v>
      </c>
      <c r="AZ1" s="164"/>
      <c r="BA1" s="163" t="s">
        <v>40</v>
      </c>
      <c r="BB1" s="164"/>
      <c r="BC1" s="163" t="s">
        <v>17</v>
      </c>
      <c r="BD1" s="164"/>
      <c r="BE1" s="163" t="s">
        <v>14</v>
      </c>
      <c r="BF1" s="163"/>
      <c r="BG1" s="165" t="s">
        <v>24</v>
      </c>
      <c r="BH1" s="166"/>
      <c r="BI1" s="163" t="s">
        <v>26</v>
      </c>
      <c r="BJ1" s="164"/>
      <c r="BK1" s="163" t="s">
        <v>21</v>
      </c>
      <c r="BL1" s="164"/>
      <c r="BM1" s="163" t="s">
        <v>43</v>
      </c>
      <c r="BN1" s="164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67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0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0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0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0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0</v>
      </c>
      <c r="BP3" s="160">
        <f>BO3+BO4</f>
        <v>0</v>
      </c>
      <c r="BQ3" s="161">
        <f>82-BP3</f>
        <v>82</v>
      </c>
      <c r="BR3" s="168">
        <f t="shared" ref="BR3:BR67" si="0">BP3/(BP3+BQ3)</f>
        <v>0</v>
      </c>
      <c r="BT3" s="37">
        <f>DataRegularSeason20242025!$A$3:$A$8</f>
        <v>45937</v>
      </c>
    </row>
    <row r="4" spans="1:72" s="27" customFormat="1" ht="9.9499999999999993" customHeight="1" x14ac:dyDescent="0.2">
      <c r="A4" s="162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0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0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0</v>
      </c>
      <c r="BP4" s="160"/>
      <c r="BQ4" s="161"/>
      <c r="BR4" s="168"/>
      <c r="BT4" s="27" t="e">
        <f>D</f>
        <v>#NAME?</v>
      </c>
    </row>
    <row r="5" spans="1:72" s="27" customFormat="1" ht="9.9499999999999993" customHeight="1" x14ac:dyDescent="0.2">
      <c r="A5" s="167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0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0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0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0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0</v>
      </c>
      <c r="BP5" s="160">
        <f t="shared" ref="BP5" si="2">BO5+BO6</f>
        <v>0</v>
      </c>
      <c r="BQ5" s="161">
        <f t="shared" ref="BQ5" si="3">82-BP5</f>
        <v>82</v>
      </c>
      <c r="BR5" s="168">
        <f t="shared" si="0"/>
        <v>0</v>
      </c>
    </row>
    <row r="6" spans="1:72" s="27" customFormat="1" ht="9.9499999999999993" customHeight="1" x14ac:dyDescent="0.2">
      <c r="A6" s="162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0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0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0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0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0</v>
      </c>
      <c r="BP6" s="160"/>
      <c r="BQ6" s="161"/>
      <c r="BR6" s="168"/>
    </row>
    <row r="7" spans="1:72" s="27" customFormat="1" ht="9.9499999999999993" customHeight="1" x14ac:dyDescent="0.2">
      <c r="A7" s="167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0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0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0</v>
      </c>
      <c r="BP7" s="160">
        <f t="shared" ref="BP7" si="4">BO7+BO8</f>
        <v>0</v>
      </c>
      <c r="BQ7" s="161">
        <f t="shared" ref="BQ7" si="5">82-BP7</f>
        <v>82</v>
      </c>
      <c r="BR7" s="168">
        <f t="shared" si="0"/>
        <v>0</v>
      </c>
    </row>
    <row r="8" spans="1:72" s="27" customFormat="1" ht="9.9499999999999993" customHeight="1" x14ac:dyDescent="0.2">
      <c r="A8" s="162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0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0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0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0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0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0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0</v>
      </c>
      <c r="BP8" s="160"/>
      <c r="BQ8" s="161"/>
      <c r="BR8" s="168"/>
    </row>
    <row r="9" spans="1:72" s="27" customFormat="1" ht="9.9499999999999993" customHeight="1" x14ac:dyDescent="0.2">
      <c r="A9" s="167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0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0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0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0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0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0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0</v>
      </c>
      <c r="BP9" s="160">
        <f t="shared" ref="BP9" si="6">BO9+BO10</f>
        <v>0</v>
      </c>
      <c r="BQ9" s="161">
        <f t="shared" ref="BQ9" si="7">82-BP9</f>
        <v>82</v>
      </c>
      <c r="BR9" s="168">
        <f t="shared" si="0"/>
        <v>0</v>
      </c>
    </row>
    <row r="10" spans="1:72" s="27" customFormat="1" ht="9.9499999999999993" customHeight="1" x14ac:dyDescent="0.2">
      <c r="A10" s="162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0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0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0</v>
      </c>
      <c r="BP10" s="160"/>
      <c r="BQ10" s="161"/>
      <c r="BR10" s="168"/>
    </row>
    <row r="11" spans="1:72" s="27" customFormat="1" ht="9.9499999999999993" customHeight="1" x14ac:dyDescent="0.2">
      <c r="A11" s="167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0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0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0</v>
      </c>
      <c r="BP11" s="160">
        <f t="shared" ref="BP11" si="8">BO11+BO12</f>
        <v>0</v>
      </c>
      <c r="BQ11" s="161">
        <f t="shared" ref="BQ11" si="9">82-BP11</f>
        <v>82</v>
      </c>
      <c r="BR11" s="168">
        <f t="shared" si="0"/>
        <v>0</v>
      </c>
    </row>
    <row r="12" spans="1:72" s="27" customFormat="1" ht="9.9499999999999993" customHeight="1" x14ac:dyDescent="0.2">
      <c r="A12" s="162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0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0</v>
      </c>
      <c r="BN12" s="39"/>
      <c r="BO12" s="34">
        <f t="shared" si="1"/>
        <v>0</v>
      </c>
      <c r="BP12" s="160"/>
      <c r="BQ12" s="161"/>
      <c r="BR12" s="168"/>
    </row>
    <row r="13" spans="1:72" s="27" customFormat="1" ht="9.9499999999999993" customHeight="1" x14ac:dyDescent="0.2">
      <c r="A13" s="167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0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0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0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0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0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1</v>
      </c>
      <c r="BP13" s="160">
        <f t="shared" ref="BP13" si="10">BO13+BO14</f>
        <v>1</v>
      </c>
      <c r="BQ13" s="161">
        <f t="shared" ref="BQ13" si="11">82-BP13</f>
        <v>81</v>
      </c>
      <c r="BR13" s="168">
        <f t="shared" si="0"/>
        <v>1.2195121951219513E-2</v>
      </c>
    </row>
    <row r="14" spans="1:72" s="27" customFormat="1" ht="9.9499999999999993" customHeight="1" x14ac:dyDescent="0.2">
      <c r="A14" s="162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0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0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0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0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0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0</v>
      </c>
      <c r="BP14" s="160"/>
      <c r="BQ14" s="161"/>
      <c r="BR14" s="168"/>
    </row>
    <row r="15" spans="1:72" s="27" customFormat="1" ht="9.9499999999999993" customHeight="1" x14ac:dyDescent="0.2">
      <c r="A15" s="167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0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0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0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1</v>
      </c>
      <c r="BP15" s="160">
        <f t="shared" ref="BP15" si="12">BO15+BO16</f>
        <v>1</v>
      </c>
      <c r="BQ15" s="161">
        <f t="shared" ref="BQ15" si="13">82-BP15</f>
        <v>81</v>
      </c>
      <c r="BR15" s="168">
        <f t="shared" si="0"/>
        <v>1.2195121951219513E-2</v>
      </c>
    </row>
    <row r="16" spans="1:72" s="27" customFormat="1" ht="9.9499999999999993" customHeight="1" x14ac:dyDescent="0.2">
      <c r="A16" s="162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0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0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0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0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0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0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0</v>
      </c>
      <c r="BP16" s="160"/>
      <c r="BQ16" s="161"/>
      <c r="BR16" s="168"/>
    </row>
    <row r="17" spans="1:70" s="27" customFormat="1" ht="9.9499999999999993" customHeight="1" x14ac:dyDescent="0.2">
      <c r="A17" s="167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0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0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0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1</v>
      </c>
      <c r="BP17" s="160">
        <f t="shared" ref="BP17" si="14">BO17+BO18</f>
        <v>1</v>
      </c>
      <c r="BQ17" s="161">
        <f t="shared" ref="BQ17" si="15">82-BP17</f>
        <v>81</v>
      </c>
      <c r="BR17" s="168">
        <f t="shared" si="0"/>
        <v>1.2195121951219513E-2</v>
      </c>
    </row>
    <row r="18" spans="1:70" s="27" customFormat="1" ht="9.9499999999999993" customHeight="1" x14ac:dyDescent="0.2">
      <c r="A18" s="162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0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0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0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0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0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0</v>
      </c>
      <c r="BP18" s="160"/>
      <c r="BQ18" s="161"/>
      <c r="BR18" s="168"/>
    </row>
    <row r="19" spans="1:70" s="27" customFormat="1" ht="9.9499999999999993" customHeight="1" x14ac:dyDescent="0.2">
      <c r="A19" s="167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0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0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0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0</v>
      </c>
      <c r="BP19" s="160">
        <f t="shared" ref="BP19" si="16">BO19+BO20</f>
        <v>0</v>
      </c>
      <c r="BQ19" s="161">
        <f t="shared" ref="BQ19" si="17">82-BP19</f>
        <v>82</v>
      </c>
      <c r="BR19" s="168">
        <f t="shared" si="0"/>
        <v>0</v>
      </c>
    </row>
    <row r="20" spans="1:70" s="27" customFormat="1" ht="9.9499999999999993" customHeight="1" x14ac:dyDescent="0.2">
      <c r="A20" s="162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0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0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0</v>
      </c>
      <c r="BN20" s="39"/>
      <c r="BO20" s="34">
        <f t="shared" si="1"/>
        <v>0</v>
      </c>
      <c r="BP20" s="160"/>
      <c r="BQ20" s="161"/>
      <c r="BR20" s="168"/>
    </row>
    <row r="21" spans="1:70" s="27" customFormat="1" ht="9.9499999999999993" customHeight="1" x14ac:dyDescent="0.2">
      <c r="A21" s="167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0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0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0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0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0</v>
      </c>
      <c r="BP21" s="160">
        <f t="shared" ref="BP21" si="18">BO21+BO22</f>
        <v>0</v>
      </c>
      <c r="BQ21" s="161">
        <f t="shared" ref="BQ21" si="19">82-BP21</f>
        <v>82</v>
      </c>
      <c r="BR21" s="168">
        <f t="shared" si="0"/>
        <v>0</v>
      </c>
    </row>
    <row r="22" spans="1:70" s="27" customFormat="1" ht="9.9499999999999993" customHeight="1" x14ac:dyDescent="0.2">
      <c r="A22" s="162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0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0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0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0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0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0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0</v>
      </c>
      <c r="BP22" s="160"/>
      <c r="BQ22" s="161"/>
      <c r="BR22" s="168"/>
    </row>
    <row r="23" spans="1:70" s="27" customFormat="1" ht="9.9499999999999993" customHeight="1" x14ac:dyDescent="0.2">
      <c r="A23" s="167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0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0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0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0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0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0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0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0</v>
      </c>
      <c r="BP23" s="160">
        <f t="shared" ref="BP23" si="20">BO23+BO24</f>
        <v>1</v>
      </c>
      <c r="BQ23" s="161">
        <f t="shared" ref="BQ23" si="21">82-BP23</f>
        <v>81</v>
      </c>
      <c r="BR23" s="168">
        <f t="shared" si="0"/>
        <v>1.2195121951219513E-2</v>
      </c>
    </row>
    <row r="24" spans="1:70" s="27" customFormat="1" ht="9.9499999999999993" customHeight="1" x14ac:dyDescent="0.2">
      <c r="A24" s="162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0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0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0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1</v>
      </c>
      <c r="BP24" s="160"/>
      <c r="BQ24" s="161"/>
      <c r="BR24" s="168"/>
    </row>
    <row r="25" spans="1:70" s="27" customFormat="1" ht="9.9499999999999993" customHeight="1" x14ac:dyDescent="0.2">
      <c r="A25" s="167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0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0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0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0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0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0</v>
      </c>
      <c r="BP25" s="160">
        <f t="shared" ref="BP25" si="22">BO25+BO26</f>
        <v>1</v>
      </c>
      <c r="BQ25" s="161">
        <f t="shared" ref="BQ25" si="23">82-BP25</f>
        <v>81</v>
      </c>
      <c r="BR25" s="168">
        <f t="shared" si="0"/>
        <v>1.2195121951219513E-2</v>
      </c>
    </row>
    <row r="26" spans="1:70" s="27" customFormat="1" ht="9.9499999999999993" customHeight="1" x14ac:dyDescent="0.2">
      <c r="A26" s="162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0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0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0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1</v>
      </c>
      <c r="BP26" s="160"/>
      <c r="BQ26" s="161"/>
      <c r="BR26" s="168"/>
    </row>
    <row r="27" spans="1:70" s="27" customFormat="1" ht="9.9499999999999993" customHeight="1" x14ac:dyDescent="0.2">
      <c r="A27" s="167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0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0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0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0</v>
      </c>
      <c r="BP27" s="160">
        <f t="shared" ref="BP27" si="24">BO27+BO28</f>
        <v>1</v>
      </c>
      <c r="BQ27" s="161">
        <f t="shared" ref="BQ27" si="25">82-BP27</f>
        <v>81</v>
      </c>
      <c r="BR27" s="168">
        <f t="shared" si="0"/>
        <v>1.2195121951219513E-2</v>
      </c>
    </row>
    <row r="28" spans="1:70" s="27" customFormat="1" ht="9.9499999999999993" customHeight="1" x14ac:dyDescent="0.2">
      <c r="A28" s="162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0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1</v>
      </c>
      <c r="BP28" s="160"/>
      <c r="BQ28" s="161"/>
      <c r="BR28" s="168"/>
    </row>
    <row r="29" spans="1:70" s="27" customFormat="1" ht="9.9499999999999993" customHeight="1" x14ac:dyDescent="0.2">
      <c r="A29" s="167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0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0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0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0</v>
      </c>
      <c r="BO29" s="30">
        <f t="shared" si="1"/>
        <v>0</v>
      </c>
      <c r="BP29" s="160">
        <f t="shared" ref="BP29" si="26">BO29+BO30</f>
        <v>0</v>
      </c>
      <c r="BQ29" s="161">
        <f t="shared" ref="BQ29" si="27">82-BP29</f>
        <v>82</v>
      </c>
      <c r="BR29" s="168">
        <f t="shared" si="0"/>
        <v>0</v>
      </c>
    </row>
    <row r="30" spans="1:70" s="27" customFormat="1" ht="9.9499999999999993" customHeight="1" x14ac:dyDescent="0.2">
      <c r="A30" s="162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0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0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0</v>
      </c>
      <c r="BP30" s="160"/>
      <c r="BQ30" s="161"/>
      <c r="BR30" s="168"/>
    </row>
    <row r="31" spans="1:70" s="27" customFormat="1" ht="9.9499999999999993" customHeight="1" x14ac:dyDescent="0.2">
      <c r="A31" s="167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0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0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0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0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0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0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1</v>
      </c>
      <c r="BP31" s="160">
        <f t="shared" ref="BP31" si="28">BO31+BO32</f>
        <v>1</v>
      </c>
      <c r="BQ31" s="161">
        <f t="shared" ref="BQ31" si="29">82-BP31</f>
        <v>81</v>
      </c>
      <c r="BR31" s="168">
        <f t="shared" si="0"/>
        <v>1.2195121951219513E-2</v>
      </c>
    </row>
    <row r="32" spans="1:70" s="27" customFormat="1" ht="9.9499999999999993" customHeight="1" x14ac:dyDescent="0.2">
      <c r="A32" s="162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0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0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0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0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0</v>
      </c>
      <c r="BP32" s="160"/>
      <c r="BQ32" s="161"/>
      <c r="BR32" s="168"/>
    </row>
    <row r="33" spans="1:70" s="27" customFormat="1" ht="9.9499999999999993" customHeight="1" x14ac:dyDescent="0.2">
      <c r="A33" s="167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0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0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0</v>
      </c>
      <c r="BP33" s="160">
        <f t="shared" ref="BP33" si="30">BO33+BO34</f>
        <v>0</v>
      </c>
      <c r="BQ33" s="161">
        <f t="shared" ref="BQ33" si="31">82-BP33</f>
        <v>82</v>
      </c>
      <c r="BR33" s="168">
        <f t="shared" si="0"/>
        <v>0</v>
      </c>
    </row>
    <row r="34" spans="1:70" s="27" customFormat="1" ht="9.9499999999999993" customHeight="1" x14ac:dyDescent="0.2">
      <c r="A34" s="162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0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0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0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0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0</v>
      </c>
      <c r="BP34" s="160"/>
      <c r="BQ34" s="161"/>
      <c r="BR34" s="168"/>
    </row>
    <row r="35" spans="1:70" s="27" customFormat="1" ht="9.9499999999999993" customHeight="1" x14ac:dyDescent="0.2">
      <c r="A35" s="167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0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0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0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0</v>
      </c>
      <c r="BP35" s="160">
        <f t="shared" ref="BP35" si="32">BO35+BO36</f>
        <v>0</v>
      </c>
      <c r="BQ35" s="161">
        <f t="shared" ref="BQ35" si="33">82-BP35</f>
        <v>82</v>
      </c>
      <c r="BR35" s="168">
        <f t="shared" si="0"/>
        <v>0</v>
      </c>
    </row>
    <row r="36" spans="1:70" s="27" customFormat="1" ht="9.9499999999999993" customHeight="1" x14ac:dyDescent="0.2">
      <c r="A36" s="162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0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0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0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0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0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0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0</v>
      </c>
      <c r="BP36" s="160"/>
      <c r="BQ36" s="161"/>
      <c r="BR36" s="168"/>
    </row>
    <row r="37" spans="1:70" s="27" customFormat="1" ht="9.9499999999999993" customHeight="1" x14ac:dyDescent="0.2">
      <c r="A37" s="167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0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0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0</v>
      </c>
      <c r="BP37" s="160">
        <f t="shared" ref="BP37" si="34">BO37+BO38</f>
        <v>0</v>
      </c>
      <c r="BQ37" s="161">
        <f t="shared" ref="BQ37" si="35">82-BP37</f>
        <v>82</v>
      </c>
      <c r="BR37" s="168">
        <f t="shared" si="0"/>
        <v>0</v>
      </c>
    </row>
    <row r="38" spans="1:70" s="27" customFormat="1" ht="9.9499999999999993" customHeight="1" x14ac:dyDescent="0.2">
      <c r="A38" s="162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0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0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0</v>
      </c>
      <c r="BP38" s="160"/>
      <c r="BQ38" s="161"/>
      <c r="BR38" s="168"/>
    </row>
    <row r="39" spans="1:70" s="27" customFormat="1" ht="9.9499999999999993" customHeight="1" x14ac:dyDescent="0.2">
      <c r="A39" s="167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0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0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0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0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0</v>
      </c>
      <c r="BP39" s="160">
        <f t="shared" ref="BP39" si="36">BO39+BO40</f>
        <v>1</v>
      </c>
      <c r="BQ39" s="161">
        <f t="shared" ref="BQ39" si="37">82-BP39</f>
        <v>81</v>
      </c>
      <c r="BR39" s="168">
        <f t="shared" si="0"/>
        <v>1.2195121951219513E-2</v>
      </c>
    </row>
    <row r="40" spans="1:70" s="27" customFormat="1" ht="9.9499999999999993" customHeight="1" x14ac:dyDescent="0.2">
      <c r="A40" s="162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0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0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0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0</v>
      </c>
      <c r="BN40" s="39"/>
      <c r="BO40" s="34">
        <f t="shared" si="1"/>
        <v>1</v>
      </c>
      <c r="BP40" s="160"/>
      <c r="BQ40" s="161"/>
      <c r="BR40" s="168"/>
    </row>
    <row r="41" spans="1:70" s="27" customFormat="1" ht="9.9499999999999993" customHeight="1" x14ac:dyDescent="0.2">
      <c r="A41" s="167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0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0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0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0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0</v>
      </c>
      <c r="BO41" s="30">
        <f t="shared" si="1"/>
        <v>0</v>
      </c>
      <c r="BP41" s="160">
        <f t="shared" ref="BP41" si="38">BO41+BO42</f>
        <v>0</v>
      </c>
      <c r="BQ41" s="161">
        <f t="shared" ref="BQ41" si="39">82-BP41</f>
        <v>82</v>
      </c>
      <c r="BR41" s="168">
        <f t="shared" si="0"/>
        <v>0</v>
      </c>
    </row>
    <row r="42" spans="1:70" s="27" customFormat="1" ht="9.9499999999999993" customHeight="1" x14ac:dyDescent="0.2">
      <c r="A42" s="162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0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0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0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0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0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0</v>
      </c>
      <c r="BP42" s="160"/>
      <c r="BQ42" s="161"/>
      <c r="BR42" s="168"/>
    </row>
    <row r="43" spans="1:70" s="27" customFormat="1" ht="9.9499999999999993" customHeight="1" x14ac:dyDescent="0.2">
      <c r="A43" s="167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0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0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0</v>
      </c>
      <c r="BP43" s="160">
        <f t="shared" ref="BP43" si="40">BO43+BO44</f>
        <v>0</v>
      </c>
      <c r="BQ43" s="161">
        <f t="shared" ref="BQ43" si="41">82-BP43</f>
        <v>82</v>
      </c>
      <c r="BR43" s="168">
        <f t="shared" si="0"/>
        <v>0</v>
      </c>
    </row>
    <row r="44" spans="1:70" s="27" customFormat="1" ht="9.9499999999999993" customHeight="1" x14ac:dyDescent="0.2">
      <c r="A44" s="162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0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0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0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0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0</v>
      </c>
      <c r="BP44" s="160"/>
      <c r="BQ44" s="161"/>
      <c r="BR44" s="168"/>
    </row>
    <row r="45" spans="1:70" s="27" customFormat="1" ht="9.9499999999999993" customHeight="1" x14ac:dyDescent="0.2">
      <c r="A45" s="167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0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0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0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0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1</v>
      </c>
      <c r="BP45" s="160">
        <f t="shared" ref="BP45" si="42">BO45+BO46</f>
        <v>1</v>
      </c>
      <c r="BQ45" s="161">
        <f t="shared" ref="BQ45" si="43">82-BP45</f>
        <v>81</v>
      </c>
      <c r="BR45" s="168">
        <f t="shared" si="0"/>
        <v>1.2195121951219513E-2</v>
      </c>
    </row>
    <row r="46" spans="1:70" s="27" customFormat="1" ht="9.9499999999999993" customHeight="1" x14ac:dyDescent="0.2">
      <c r="A46" s="162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0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0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0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0</v>
      </c>
      <c r="BP46" s="160"/>
      <c r="BQ46" s="161"/>
      <c r="BR46" s="168"/>
    </row>
    <row r="47" spans="1:70" s="27" customFormat="1" ht="9.9499999999999993" customHeight="1" x14ac:dyDescent="0.2">
      <c r="A47" s="167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0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0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0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0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0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0</v>
      </c>
      <c r="BO47" s="30">
        <f t="shared" si="1"/>
        <v>0</v>
      </c>
      <c r="BP47" s="160">
        <f t="shared" ref="BP47" si="44">BO47+BO48</f>
        <v>0</v>
      </c>
      <c r="BQ47" s="161">
        <f t="shared" ref="BQ47" si="45">82-BP47</f>
        <v>82</v>
      </c>
      <c r="BR47" s="168">
        <f t="shared" si="0"/>
        <v>0</v>
      </c>
    </row>
    <row r="48" spans="1:70" s="27" customFormat="1" ht="9.9499999999999993" customHeight="1" x14ac:dyDescent="0.2">
      <c r="A48" s="162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0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0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0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0</v>
      </c>
      <c r="BP48" s="160"/>
      <c r="BQ48" s="161"/>
      <c r="BR48" s="168"/>
    </row>
    <row r="49" spans="1:70" s="27" customFormat="1" ht="9.9499999999999993" customHeight="1" x14ac:dyDescent="0.2">
      <c r="A49" s="167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0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0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0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0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0</v>
      </c>
      <c r="BP49" s="160">
        <f t="shared" ref="BP49" si="46">BO49+BO50</f>
        <v>0</v>
      </c>
      <c r="BQ49" s="161">
        <f t="shared" ref="BQ49" si="47">82-BP49</f>
        <v>82</v>
      </c>
      <c r="BR49" s="168">
        <f t="shared" si="0"/>
        <v>0</v>
      </c>
    </row>
    <row r="50" spans="1:70" s="27" customFormat="1" ht="9.9499999999999993" customHeight="1" x14ac:dyDescent="0.2">
      <c r="A50" s="162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0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0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0</v>
      </c>
      <c r="BP50" s="160"/>
      <c r="BQ50" s="161"/>
      <c r="BR50" s="168"/>
    </row>
    <row r="51" spans="1:70" s="27" customFormat="1" ht="9.9499999999999993" customHeight="1" x14ac:dyDescent="0.2">
      <c r="A51" s="167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0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0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0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0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0</v>
      </c>
      <c r="BP51" s="160">
        <f t="shared" ref="BP51" si="48">BO51+BO52</f>
        <v>0</v>
      </c>
      <c r="BQ51" s="161">
        <f t="shared" ref="BQ51" si="49">82-BP51</f>
        <v>82</v>
      </c>
      <c r="BR51" s="168">
        <f t="shared" si="0"/>
        <v>0</v>
      </c>
    </row>
    <row r="52" spans="1:70" s="27" customFormat="1" ht="9.9499999999999993" customHeight="1" x14ac:dyDescent="0.2">
      <c r="A52" s="162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0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0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0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0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0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0</v>
      </c>
      <c r="BP52" s="160"/>
      <c r="BQ52" s="161"/>
      <c r="BR52" s="168"/>
    </row>
    <row r="53" spans="1:70" s="27" customFormat="1" ht="9.9499999999999993" customHeight="1" x14ac:dyDescent="0.2">
      <c r="A53" s="167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0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0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0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0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0</v>
      </c>
      <c r="BO53" s="30">
        <f t="shared" si="1"/>
        <v>0</v>
      </c>
      <c r="BP53" s="160">
        <f t="shared" ref="BP53" si="50">BO53+BO54</f>
        <v>0</v>
      </c>
      <c r="BQ53" s="161">
        <f t="shared" ref="BQ53" si="51">82-BP53</f>
        <v>82</v>
      </c>
      <c r="BR53" s="168">
        <f t="shared" si="0"/>
        <v>0</v>
      </c>
    </row>
    <row r="54" spans="1:70" s="27" customFormat="1" ht="9.9499999999999993" customHeight="1" x14ac:dyDescent="0.2">
      <c r="A54" s="162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0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0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0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0</v>
      </c>
      <c r="BP54" s="160"/>
      <c r="BQ54" s="161"/>
      <c r="BR54" s="168"/>
    </row>
    <row r="55" spans="1:70" s="27" customFormat="1" ht="9.9499999999999993" customHeight="1" x14ac:dyDescent="0.2">
      <c r="A55" s="167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0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0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0</v>
      </c>
      <c r="BP55" s="160">
        <f t="shared" ref="BP55" si="52">BO55+BO56</f>
        <v>1</v>
      </c>
      <c r="BQ55" s="161">
        <f t="shared" ref="BQ55" si="53">82-BP55</f>
        <v>81</v>
      </c>
      <c r="BR55" s="168">
        <f t="shared" si="0"/>
        <v>1.2195121951219513E-2</v>
      </c>
    </row>
    <row r="56" spans="1:70" s="27" customFormat="1" ht="9.9499999999999993" customHeight="1" x14ac:dyDescent="0.2">
      <c r="A56" s="162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0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0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0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0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0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0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0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1</v>
      </c>
      <c r="BP56" s="160"/>
      <c r="BQ56" s="161"/>
      <c r="BR56" s="168"/>
    </row>
    <row r="57" spans="1:70" s="27" customFormat="1" ht="9.9499999999999993" customHeight="1" x14ac:dyDescent="0.2">
      <c r="A57" s="167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0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0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0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0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0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0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0</v>
      </c>
      <c r="BP57" s="160">
        <f t="shared" ref="BP57" si="54">BO57+BO58</f>
        <v>0</v>
      </c>
      <c r="BQ57" s="161">
        <f t="shared" ref="BQ57" si="55">82-BP57</f>
        <v>82</v>
      </c>
      <c r="BR57" s="168">
        <f t="shared" si="0"/>
        <v>0</v>
      </c>
    </row>
    <row r="58" spans="1:70" s="27" customFormat="1" ht="9.9499999999999993" customHeight="1" x14ac:dyDescent="0.2">
      <c r="A58" s="162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0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0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0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0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0</v>
      </c>
      <c r="BP58" s="160"/>
      <c r="BQ58" s="161"/>
      <c r="BR58" s="168"/>
    </row>
    <row r="59" spans="1:70" s="27" customFormat="1" ht="9.9499999999999993" customHeight="1" x14ac:dyDescent="0.2">
      <c r="A59" s="167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0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0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0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0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0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0</v>
      </c>
      <c r="BP59" s="160">
        <f t="shared" ref="BP59" si="56">BO59+BO60</f>
        <v>0</v>
      </c>
      <c r="BQ59" s="161">
        <f t="shared" ref="BQ59" si="57">82-BP59</f>
        <v>82</v>
      </c>
      <c r="BR59" s="168">
        <f t="shared" si="0"/>
        <v>0</v>
      </c>
    </row>
    <row r="60" spans="1:70" s="27" customFormat="1" ht="9.9499999999999993" customHeight="1" x14ac:dyDescent="0.2">
      <c r="A60" s="162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0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0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0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0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0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0</v>
      </c>
      <c r="BP60" s="160"/>
      <c r="BQ60" s="161"/>
      <c r="BR60" s="168"/>
    </row>
    <row r="61" spans="1:70" s="27" customFormat="1" ht="9.9499999999999993" customHeight="1" x14ac:dyDescent="0.2">
      <c r="A61" s="167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0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0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0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0</v>
      </c>
      <c r="BP61" s="160">
        <f t="shared" ref="BP61" si="58">BO61+BO62</f>
        <v>0</v>
      </c>
      <c r="BQ61" s="161">
        <f t="shared" ref="BQ61" si="59">82-BP61</f>
        <v>82</v>
      </c>
      <c r="BR61" s="168">
        <f t="shared" si="0"/>
        <v>0</v>
      </c>
    </row>
    <row r="62" spans="1:70" s="27" customFormat="1" ht="9.9499999999999993" customHeight="1" x14ac:dyDescent="0.2">
      <c r="A62" s="162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0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0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0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0</v>
      </c>
      <c r="BP62" s="160"/>
      <c r="BQ62" s="161"/>
      <c r="BR62" s="168"/>
    </row>
    <row r="63" spans="1:70" s="27" customFormat="1" ht="9.9499999999999993" customHeight="1" x14ac:dyDescent="0.2">
      <c r="A63" s="167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0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0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0</v>
      </c>
      <c r="BP63" s="160">
        <f t="shared" ref="BP63" si="60">BO63+BO64</f>
        <v>0</v>
      </c>
      <c r="BQ63" s="161">
        <f t="shared" ref="BQ63" si="61">82-BP63</f>
        <v>82</v>
      </c>
      <c r="BR63" s="168">
        <f t="shared" si="0"/>
        <v>0</v>
      </c>
    </row>
    <row r="64" spans="1:70" s="27" customFormat="1" ht="9.9499999999999993" customHeight="1" x14ac:dyDescent="0.2">
      <c r="A64" s="162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0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0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0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0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0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0</v>
      </c>
      <c r="BP64" s="160"/>
      <c r="BQ64" s="161"/>
      <c r="BR64" s="168"/>
    </row>
    <row r="65" spans="1:70" s="27" customFormat="1" ht="9.9499999999999993" customHeight="1" x14ac:dyDescent="0.2">
      <c r="A65" s="167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0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0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0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0</v>
      </c>
      <c r="BP65" s="160">
        <f t="shared" ref="BP65" si="62">BO65+BO66</f>
        <v>0</v>
      </c>
      <c r="BQ65" s="161">
        <f t="shared" ref="BQ65" si="63">82-BP65</f>
        <v>82</v>
      </c>
      <c r="BR65" s="168">
        <f t="shared" si="0"/>
        <v>0</v>
      </c>
    </row>
    <row r="66" spans="1:70" s="27" customFormat="1" ht="9.9499999999999993" customHeight="1" x14ac:dyDescent="0.2">
      <c r="A66" s="162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0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0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0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0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0</v>
      </c>
      <c r="BP66" s="160"/>
      <c r="BQ66" s="161"/>
      <c r="BR66" s="168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5</v>
      </c>
      <c r="BQ67" s="26">
        <f>SUM(BQ3:BQ66)/2</f>
        <v>1307</v>
      </c>
      <c r="BR67" s="135">
        <f t="shared" si="0"/>
        <v>3.8109756097560975E-3</v>
      </c>
    </row>
    <row r="68" spans="1:70" x14ac:dyDescent="0.25">
      <c r="BR68" s="136"/>
    </row>
  </sheetData>
  <mergeCells count="160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workbookViewId="0">
      <pane xSplit="1" topLeftCell="B1" activePane="topRight" state="frozen"/>
      <selection pane="topRight" activeCell="BI8" sqref="BI8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7" width="6.285156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545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547</v>
      </c>
      <c r="AN1" s="137" t="s">
        <v>546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13</v>
      </c>
      <c r="B2" t="s">
        <v>91</v>
      </c>
      <c r="C2" t="s">
        <v>74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1</v>
      </c>
      <c r="E2" s="10">
        <f>Table3[[#This Row],[Watched]]/Table3[[#This Row],[GP]]</f>
        <v>1</v>
      </c>
      <c r="F2">
        <f>COUNTIFS(DataRegularSeason20242025!$N$3:$N$1315,1,DataRegularSeason20242025!$D$3:$D$1315,$A2)</f>
        <v>0</v>
      </c>
      <c r="G2">
        <f>41-Table3[[#This Row],[GP_A]]</f>
        <v>41</v>
      </c>
      <c r="H2">
        <f>COUNTIFS(DataRegularSeason20242025!$E$3:$E$1315,$A2,DataRegularSeason20242025!$N$3:$N$1315,1)</f>
        <v>1</v>
      </c>
      <c r="I2">
        <f>41-Table3[[#This Row],[GP_H]]</f>
        <v>40</v>
      </c>
      <c r="J2">
        <f t="shared" ref="J2:J33" si="0">F2+H2</f>
        <v>1</v>
      </c>
      <c r="K2">
        <f>82-Table3[[#This Row],[GP]]</f>
        <v>81</v>
      </c>
      <c r="L2">
        <f>COUNTIFS(DataRegularSeason20242025!$D$3:$D$1315,$A2, DataRegularSeason20242025!$L$3:$L$1315, $A2,DataRegularSeason20242025!$N$3:$N$1315,1)</f>
        <v>0</v>
      </c>
      <c r="M2">
        <f>COUNTIFS(DataRegularSeason20242025!$D$3:$D$1315,$A2, DataRegularSeason20242025!$L$3:$L$1315, $A2,DataRegularSeason20242025!$N$3:$N$1315,1,DataRegularSeason20242025!$M$3:$M$1315,"REG")</f>
        <v>0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0</v>
      </c>
      <c r="P2">
        <f t="shared" ref="P2:P33" si="1">F2-L2</f>
        <v>0</v>
      </c>
      <c r="Q2">
        <f>COUNTIFS(DataRegularSeason20242025!$D$3:$D$1315,$A2, DataRegularSeason20242025!$S$3:$S$1315, $A2,DataRegularSeason20242025!$M$3:$M$1315,"REG")</f>
        <v>0</v>
      </c>
      <c r="R2">
        <f>COUNTIFS(DataRegularSeason20242025!$D$3:$D$1315,$A2, DataRegularSeason20242025!$S$3:$S$1315, $A2,DataRegularSeason20242025!$M$3:$M$1315,"OT")</f>
        <v>0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1</v>
      </c>
      <c r="U2">
        <f>COUNTIFS(DataRegularSeason20242025!$E$3:$E$1315,$A2, DataRegularSeason20242025!$L$3:$L$1315, $A2,DataRegularSeason20242025!$N$3:$N$1315,1,DataRegularSeason20242025!$M$3:$M$1315,"REG")</f>
        <v>1</v>
      </c>
      <c r="V2">
        <f>COUNTIFS(DataRegularSeason20242025!$E$3:$E$1315,$A2, DataRegularSeason20242025!$L$3:$L$1315, $A2,DataRegularSeason20242025!$N$3:$N$1315,1,DataRegularSeason20242025!$M$3:$M$1315,"OT")</f>
        <v>0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 t="shared" ref="X2:X33" si="2">H2-T2</f>
        <v>0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0</v>
      </c>
      <c r="AB2">
        <f>Table3[[#This Row],[W]]/MAX(1,Table3[[#This Row],[W]]+Table3[[#This Row],[L]])</f>
        <v>1</v>
      </c>
      <c r="AC2">
        <f>Table3[[#This Row],[W_A]]+Table3[[#This Row],[W_H]]</f>
        <v>1</v>
      </c>
      <c r="AD2">
        <f>Table3[[#This Row],[L_A]]+Table3[[#This Row],[L_H]]</f>
        <v>0</v>
      </c>
      <c r="AE2">
        <f>Table3[[#This Row],[RW_A]]+Table3[[#This Row],[RW_H]]</f>
        <v>1</v>
      </c>
      <c r="AF2">
        <f>Table3[[#This Row],[RL_A]]+Table3[[#This Row],[RL_H]]</f>
        <v>0</v>
      </c>
      <c r="AG2">
        <f>Table3[[#This Row],[OTW_A]]+Table3[[#This Row],[OTW_H]]</f>
        <v>0</v>
      </c>
      <c r="AH2">
        <f>Table3[[#This Row],[OTL_A]]+Table3[[#This Row],[OTL_H]]</f>
        <v>0</v>
      </c>
      <c r="AI2">
        <f>Table3[[#This Row],[SOW_A]]+Table3[[#This Row],[SOW_H]]</f>
        <v>0</v>
      </c>
      <c r="AJ2">
        <f>Table3[[#This Row],[SOL_A]]+Table3[[#This Row],[SOL_H]]</f>
        <v>0</v>
      </c>
      <c r="AK2" s="15" t="str">
        <f>_xlfn.CONCAT(TEXT(Table3[[#This Row],[OTW]]+Table3[[#This Row],[SOW]], "0"), "-", TEXT(Table3[[#This Row],[OTL]]+Table3[[#This Row],[SOL]],"0"))</f>
        <v>0-0</v>
      </c>
      <c r="AL2">
        <f>SUM(Table3[[#This Row],[OTW]],Table3[[#This Row],[OTL]],Table3[[#This Row],[SOW]],Table3[[#This Row],[SOL]])</f>
        <v>0</v>
      </c>
      <c r="AM2">
        <f>(Table3[[#This Row],[OTW]]+Table3[[#This Row],[SOW]])/IF(Table3[[#This Row],[Total_ExtraTimes]]=0,1,Table3[[#This Row],[Total_ExtraTimes]])</f>
        <v>0</v>
      </c>
      <c r="AN2">
        <f>Table3[[#This Row],[Total_ExtraTimes]]/MAX(1,Table3[[#This Row],[GP]])</f>
        <v>0</v>
      </c>
      <c r="AO2">
        <f>(2*(Table3[[#This Row],[W_A]]+Table3[[#This Row],[W_H]]))+Table3[[#This Row],[OTL_A]]+Table3[[#This Row],[SOL_A]]+Table3[[#This Row],[OTL_H]]+Table3[[#This Row],[SOL_H]]</f>
        <v>2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" s="10">
        <f>Table3[[#This Row],[PTS]]/(2*Table3[[#This Row],[GP]])</f>
        <v>1</v>
      </c>
      <c r="AR2" s="10">
        <f>Table3[[#This Row],[PTS2]]/(3*Table3[[#This Row],[GP]])</f>
        <v>1</v>
      </c>
      <c r="AS2">
        <f>(2*Table3[[#This Row],[GR]])+Table3[[#This Row],[PTS]]</f>
        <v>164</v>
      </c>
      <c r="AT2">
        <f>(3*Table3[[#This Row],[GR]])+Table3[[#This Row],[PTS2]]</f>
        <v>246</v>
      </c>
      <c r="AU2">
        <f>Table3[[#This Row],[PTS]]+(2 * Table3[[#This Row],[GR]] * Table3[[#This Row],[PTS%]])</f>
        <v>164</v>
      </c>
      <c r="AV2">
        <f>Table3[[#This Row],[PTS2]]+(3 * Table3[[#This Row],[GR]] * Table3[[#This Row],[PTS%2]])</f>
        <v>246</v>
      </c>
      <c r="AW2" s="15" t="str">
        <f>_xlfn.CONCAT(TEXT(Table3[[#This Row],[W]], "0"), "-", TEXT(Table3[[#This Row],[RL]],"0"), "-", TEXT(Table3[[#This Row],[OTL]]+Table3[[#This Row],[SOL]], "0"))</f>
        <v>1-0-0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0</v>
      </c>
      <c r="AZ2">
        <f>SUMIF(DataRegularSeason20242025!$D$3:$D$1315,$A2, DataRegularSeason20242025!$K$3:$K$1315)</f>
        <v>0</v>
      </c>
      <c r="BA2">
        <f t="shared" ref="BA2:BA33" si="3">AY2-AZ2</f>
        <v>0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3</v>
      </c>
      <c r="BD2">
        <f>SUMIF(DataRegularSeason20242025!$E$3:$E$1315,$A2,DataRegularSeason20242025!$J$3:$J$1315)</f>
        <v>2</v>
      </c>
      <c r="BE2">
        <f t="shared" ref="BE2:BE33" si="4">BC2-BD2</f>
        <v>1</v>
      </c>
      <c r="BF2">
        <f t="shared" ref="BF2:BF33" si="5">AY2+BC2</f>
        <v>3</v>
      </c>
      <c r="BG2">
        <f t="shared" ref="BG2:BG33" si="6">AZ2+BD2</f>
        <v>2</v>
      </c>
      <c r="BH2">
        <f t="shared" ref="BH2:BH33" si="7">BF2-BG2</f>
        <v>1</v>
      </c>
      <c r="BI2" s="12">
        <f>Table3[[#This Row],[GF]]/Table3[[#This Row],[GP]]</f>
        <v>3</v>
      </c>
      <c r="BJ2" s="12">
        <f>Table3[[#This Row],[GA]]/Table3[[#This Row],[GP]]</f>
        <v>2</v>
      </c>
      <c r="BK2" s="12">
        <f>(Table3[[#This Row],[GF]]-Table3[[#This Row],[GA]])/Table3[[#This Row],[GP]]</f>
        <v>1</v>
      </c>
      <c r="BL2" s="42" t="str">
        <f>_xlfn.CONCAT(TEXT(Table3[[#This Row],[W_H]], "0"), "-", TEXT(Table3[[#This Row],[RL_H]],"0"), "-", TEXT(Table3[[#This Row],[OTL_H]]+Table3[[#This Row],[SOL_H]], "0"))</f>
        <v>1-0-0</v>
      </c>
      <c r="BM2" s="42" t="str">
        <f>_xlfn.CONCAT(TEXT(Table3[[#This Row],[W_A]], "0"), "-", TEXT(Table3[[#This Row],[RL_A]],"0"), "-", TEXT(Table3[[#This Row],[OTL_A]]+Table3[[#This Row],[SOL_A]], "0"))</f>
        <v>0-0-0</v>
      </c>
      <c r="BN2" s="42">
        <f>((2*(Table3[[#This Row],[W_H]]))+Table3[[#This Row],[OTL_H]]+Table3[[#This Row],[SOL_H]])/(2*Table3[[#This Row],[GP_H]])</f>
        <v>1</v>
      </c>
      <c r="BO2" s="42" t="e">
        <f>((2*(Table3[[#This Row],[W_A]]))+Table3[[#This Row],[OTL_A]]+Table3[[#This Row],[SOL_A]])/(2*Table3[[#This Row],[GP_A]])</f>
        <v>#DIV/0!</v>
      </c>
      <c r="BP2" s="16">
        <f>(Table3[[#This Row],[W]]*$CX$3)+(Table3[[#This Row],[L]]*$CX$4)+(Table3[[#This Row],[GF]]*$CX$5)+(Table3[[#This Row],[GA]]*$CX$6)</f>
        <v>1.1499999999999999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95.45</v>
      </c>
      <c r="BR2" s="16">
        <f>(Table3[[#This Row],[W]]*0.7) + ((Table3[[#This Row],[GF]] - Table3[[#This Row],[GA]])*0.25)+(Table3[[#This Row],[GF]]*0.1)+(Table3[[#This Row],[GA]]*0.05)+(Table3[[#This Row],[L]]*0.3)</f>
        <v>1.35</v>
      </c>
      <c r="BS2" s="16">
        <f>Table3[[#This Row],[TeamCost83]]/Table3[[#This Row],[GP]]</f>
        <v>1.35</v>
      </c>
      <c r="BT2">
        <f>COUNTIFS(Table2[AwayTeam],$A2,Table2[PredictedWinner], $A2, Table2[GameIsOver], 1)</f>
        <v>0</v>
      </c>
      <c r="BU2">
        <f>COUNTIFS(Table2[HomeTeam],$A2,Table2[PredictedWinner], $A2, Table2[GameIsOver], 1)</f>
        <v>1</v>
      </c>
      <c r="BV2">
        <f t="shared" ref="BV2:BV33" si="8">BT2+BU2</f>
        <v>1</v>
      </c>
      <c r="BW2">
        <f t="shared" ref="BW2:BW33" si="9">F2-BT2</f>
        <v>0</v>
      </c>
      <c r="BX2">
        <f t="shared" ref="BX2:BX33" si="10">H2-BU2</f>
        <v>0</v>
      </c>
      <c r="BY2">
        <f t="shared" ref="BY2:BY33" si="11">BW2+BX2</f>
        <v>0</v>
      </c>
      <c r="BZ2">
        <f>Table3[[#This Row],[TimesPredictedWinner]]/Table3[[#This Row],[GP]]</f>
        <v>1</v>
      </c>
      <c r="CB2">
        <v>2024</v>
      </c>
      <c r="CD2" s="1">
        <v>45752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0</v>
      </c>
      <c r="CJ2">
        <f>SUMIFS(Table2[GamePredictionScore], Table2[HomeTeam], Table3[[#This Row],[Teams]])</f>
        <v>0.8</v>
      </c>
      <c r="CK2">
        <f>Table3[[#This Row],[Column4]]+Table3[[#This Row],[Column3]]</f>
        <v>0.8</v>
      </c>
      <c r="CL2">
        <f>Table3[[#This Row],[Column5]]/Table3[[#This Row],[GP]]</f>
        <v>0.8</v>
      </c>
      <c r="CR2" t="s">
        <v>139</v>
      </c>
      <c r="CS2">
        <f>SUM($J$2:$J$33)/2</f>
        <v>7</v>
      </c>
      <c r="CW2" t="s">
        <v>57</v>
      </c>
      <c r="CX2" s="14" t="s">
        <v>150</v>
      </c>
      <c r="CY2">
        <f>INDEX($J$2:$J$33,MATCH("CGY",$A$2:$A$33,0),1)</f>
        <v>1</v>
      </c>
    </row>
    <row r="3" spans="1:144" x14ac:dyDescent="0.25">
      <c r="A3" t="s">
        <v>20</v>
      </c>
      <c r="B3" t="s">
        <v>91</v>
      </c>
      <c r="C3" t="s">
        <v>92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1</v>
      </c>
      <c r="E3" s="10">
        <f>Table3[[#This Row],[Watched]]/Table3[[#This Row],[GP]]</f>
        <v>1</v>
      </c>
      <c r="F3">
        <f>COUNTIFS(DataRegularSeason20242025!$N$3:$N$1315,1,DataRegularSeason20242025!$D$3:$D$1315,$A3)</f>
        <v>1</v>
      </c>
      <c r="G3">
        <f>41-Table3[[#This Row],[GP_A]]</f>
        <v>40</v>
      </c>
      <c r="H3">
        <f>COUNTIFS(DataRegularSeason20242025!$E$3:$E$1315,$A3,DataRegularSeason20242025!$N$3:$N$1315,1)</f>
        <v>0</v>
      </c>
      <c r="I3">
        <f>41-Table3[[#This Row],[GP_H]]</f>
        <v>41</v>
      </c>
      <c r="J3">
        <f t="shared" si="0"/>
        <v>1</v>
      </c>
      <c r="K3">
        <f>82-Table3[[#This Row],[GP]]</f>
        <v>81</v>
      </c>
      <c r="L3">
        <f>COUNTIFS(DataRegularSeason20242025!$D$3:$D$1315,$A3, DataRegularSeason20242025!$L$3:$L$1315, $A3,DataRegularSeason20242025!$N$3:$N$1315,1)</f>
        <v>1</v>
      </c>
      <c r="M3">
        <f>COUNTIFS(DataRegularSeason20242025!$D$3:$D$1315,$A3, DataRegularSeason20242025!$L$3:$L$1315, $A3,DataRegularSeason20242025!$N$3:$N$1315,1,DataRegularSeason20242025!$M$3:$M$1315,"REG")</f>
        <v>1</v>
      </c>
      <c r="N3">
        <f>COUNTIFS(DataRegularSeason20242025!$D$3:$D$1315,$A3, DataRegularSeason20242025!$L$3:$L$1315, $A3,DataRegularSeason20242025!$N$3:$N$1315,1,DataRegularSeason20242025!$M$3:$M$1315,"OT")</f>
        <v>0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 t="shared" si="1"/>
        <v>0</v>
      </c>
      <c r="Q3">
        <f>COUNTIFS(DataRegularSeason20242025!$D$3:$D$1315,$A3, DataRegularSeason20242025!$S$3:$S$1315, $A3,DataRegularSeason20242025!$M$3:$M$1315,"REG")</f>
        <v>0</v>
      </c>
      <c r="R3">
        <f>COUNTIFS(DataRegularSeason20242025!$D$3:$D$1315,$A3, DataRegularSeason20242025!$S$3:$S$1315, $A3,DataRegularSeason20242025!$M$3:$M$1315,"OT")</f>
        <v>0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0</v>
      </c>
      <c r="U3">
        <f>COUNTIFS(DataRegularSeason20242025!$E$3:$E$1315,$A3, DataRegularSeason20242025!$L$3:$L$1315, $A3,DataRegularSeason20242025!$N$3:$N$1315,1,DataRegularSeason20242025!$M$3:$M$1315,"REG")</f>
        <v>0</v>
      </c>
      <c r="V3">
        <f>COUNTIFS(DataRegularSeason20242025!$E$3:$E$1315,$A3, DataRegularSeason20242025!$L$3:$L$1315, $A3,DataRegularSeason20242025!$N$3:$N$1315,1,DataRegularSeason20242025!$M$3:$M$1315,"OT")</f>
        <v>0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 t="shared" si="2"/>
        <v>0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0</v>
      </c>
      <c r="AB3">
        <f>Table3[[#This Row],[W]]/MAX(1,Table3[[#This Row],[W]]+Table3[[#This Row],[L]])</f>
        <v>1</v>
      </c>
      <c r="AC3">
        <f>Table3[[#This Row],[W_A]]+Table3[[#This Row],[W_H]]</f>
        <v>1</v>
      </c>
      <c r="AD3">
        <f>Table3[[#This Row],[L_A]]+Table3[[#This Row],[L_H]]</f>
        <v>0</v>
      </c>
      <c r="AE3">
        <f>Table3[[#This Row],[RW_A]]+Table3[[#This Row],[RW_H]]</f>
        <v>1</v>
      </c>
      <c r="AF3">
        <f>Table3[[#This Row],[RL_A]]+Table3[[#This Row],[RL_H]]</f>
        <v>0</v>
      </c>
      <c r="AG3">
        <f>Table3[[#This Row],[OTW_A]]+Table3[[#This Row],[OTW_H]]</f>
        <v>0</v>
      </c>
      <c r="AH3">
        <f>Table3[[#This Row],[OTL_A]]+Table3[[#This Row],[OTL_H]]</f>
        <v>0</v>
      </c>
      <c r="AI3">
        <f>Table3[[#This Row],[SOW_A]]+Table3[[#This Row],[SOW_H]]</f>
        <v>0</v>
      </c>
      <c r="AJ3">
        <f>Table3[[#This Row],[SOL_A]]+Table3[[#This Row],[SOL_H]]</f>
        <v>0</v>
      </c>
      <c r="AK3" s="15" t="str">
        <f>_xlfn.CONCAT(TEXT(Table3[[#This Row],[OTW]]+Table3[[#This Row],[SOW]], "0"), "-", TEXT(Table3[[#This Row],[OTL]]+Table3[[#This Row],[SOL]],"0"))</f>
        <v>0-0</v>
      </c>
      <c r="AL3">
        <f>SUM(Table3[[#This Row],[OTW]],Table3[[#This Row],[OTL]],Table3[[#This Row],[SOW]],Table3[[#This Row],[SOL]])</f>
        <v>0</v>
      </c>
      <c r="AM3">
        <f>(Table3[[#This Row],[OTW]]+Table3[[#This Row],[SOW]])/IF(Table3[[#This Row],[Total_ExtraTimes]]=0,1,Table3[[#This Row],[Total_ExtraTimes]])</f>
        <v>0</v>
      </c>
      <c r="AN3">
        <f>Table3[[#This Row],[Total_ExtraTimes]]/MAX(1,Table3[[#This Row],[GP]])</f>
        <v>0</v>
      </c>
      <c r="AO3">
        <f>(2*(Table3[[#This Row],[W_A]]+Table3[[#This Row],[W_H]]))+Table3[[#This Row],[OTL_A]]+Table3[[#This Row],[SOL_A]]+Table3[[#This Row],[OTL_H]]+Table3[[#This Row],[SOL_H]]</f>
        <v>2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3" s="10">
        <f>Table3[[#This Row],[PTS]]/(2*Table3[[#This Row],[GP]])</f>
        <v>1</v>
      </c>
      <c r="AR3" s="10">
        <f>Table3[[#This Row],[PTS2]]/(3*Table3[[#This Row],[GP]])</f>
        <v>1</v>
      </c>
      <c r="AS3">
        <f>(2*Table3[[#This Row],[GR]])+Table3[[#This Row],[PTS]]</f>
        <v>164</v>
      </c>
      <c r="AT3">
        <f>(3*Table3[[#This Row],[GR]])+Table3[[#This Row],[PTS2]]</f>
        <v>246</v>
      </c>
      <c r="AU3">
        <f>Table3[[#This Row],[PTS]]+(2 * Table3[[#This Row],[GR]] * Table3[[#This Row],[PTS%]])</f>
        <v>164</v>
      </c>
      <c r="AV3">
        <f>Table3[[#This Row],[PTS2]]+(3 * Table3[[#This Row],[GR]] * Table3[[#This Row],[PTS%2]])</f>
        <v>246</v>
      </c>
      <c r="AW3" s="15" t="str">
        <f>_xlfn.CONCAT(TEXT(Table3[[#This Row],[W]], "0"), "-", TEXT(Table3[[#This Row],[RL]],"0"), "-", TEXT(Table3[[#This Row],[OTL]]+Table3[[#This Row],[SOL]], "0"))</f>
        <v>1-0-0</v>
      </c>
      <c r="AX3">
        <f>COUNTIFS(DataRegularSeason20242025!$D$3:$D$1315,Table3[[#This Row],[Teams]],DataRegularSeason20242025!$K$3:$K$1315,0)</f>
        <v>1</v>
      </c>
      <c r="AY3">
        <f>SUMIF(DataRegularSeason20242025!$D$3:$D$1315,$A3, DataRegularSeason20242025!$J$3:$J$1315)</f>
        <v>3</v>
      </c>
      <c r="AZ3">
        <f>SUMIF(DataRegularSeason20242025!$D$3:$D$1315,$A3, DataRegularSeason20242025!$K$3:$K$1315)</f>
        <v>0</v>
      </c>
      <c r="BA3">
        <f t="shared" si="3"/>
        <v>3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0</v>
      </c>
      <c r="BD3">
        <f>SUMIF(DataRegularSeason20242025!$E$3:$E$1315,$A3,DataRegularSeason20242025!$J$3:$J$1315)</f>
        <v>0</v>
      </c>
      <c r="BE3">
        <f t="shared" si="4"/>
        <v>0</v>
      </c>
      <c r="BF3">
        <f t="shared" si="5"/>
        <v>3</v>
      </c>
      <c r="BG3">
        <f t="shared" si="6"/>
        <v>0</v>
      </c>
      <c r="BH3">
        <f t="shared" si="7"/>
        <v>3</v>
      </c>
      <c r="BI3" s="12">
        <f>Table3[[#This Row],[GF]]/Table3[[#This Row],[GP]]</f>
        <v>3</v>
      </c>
      <c r="BJ3" s="12">
        <f>Table3[[#This Row],[GA]]/Table3[[#This Row],[GP]]</f>
        <v>0</v>
      </c>
      <c r="BK3" s="12">
        <f>(Table3[[#This Row],[GF]]-Table3[[#This Row],[GA]])/Table3[[#This Row],[GP]]</f>
        <v>3</v>
      </c>
      <c r="BL3" s="42" t="str">
        <f>_xlfn.CONCAT(TEXT(Table3[[#This Row],[W_H]], "0"), "-", TEXT(Table3[[#This Row],[RL_H]],"0"), "-", TEXT(Table3[[#This Row],[OTL_H]]+Table3[[#This Row],[SOL_H]], "0"))</f>
        <v>0-0-0</v>
      </c>
      <c r="BM3" s="42" t="str">
        <f>_xlfn.CONCAT(TEXT(Table3[[#This Row],[W_A]], "0"), "-", TEXT(Table3[[#This Row],[RL_A]],"0"), "-", TEXT(Table3[[#This Row],[OTL_A]]+Table3[[#This Row],[SOL_A]], "0"))</f>
        <v>1-0-0</v>
      </c>
      <c r="BN3" s="42" t="e">
        <f>((2*(Table3[[#This Row],[W_H]]))+Table3[[#This Row],[OTL_H]]+Table3[[#This Row],[SOL_H]])/(2*Table3[[#This Row],[GP_H]])</f>
        <v>#DIV/0!</v>
      </c>
      <c r="BO3" s="42">
        <f>((2*(Table3[[#This Row],[W_A]]))+Table3[[#This Row],[OTL_A]]+Table3[[#This Row],[SOL_A]])/(2*Table3[[#This Row],[GP_A]])</f>
        <v>1</v>
      </c>
      <c r="BP3" s="16">
        <f>(Table3[[#This Row],[W]]*$CX$3)+(Table3[[#This Row],[L]]*$CX$4)+(Table3[[#This Row],[GF]]*$CX$5)+(Table3[[#This Row],[GA]]*$CX$6)</f>
        <v>0.95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78.849999999999994</v>
      </c>
      <c r="BR3" s="16">
        <f>(Table3[[#This Row],[W]]*0.7) + ((Table3[[#This Row],[GF]] - Table3[[#This Row],[GA]])*0.25)+(Table3[[#This Row],[GF]]*0.1)+(Table3[[#This Row],[GA]]*0.05)+(Table3[[#This Row],[L]]*0.3)</f>
        <v>1.75</v>
      </c>
      <c r="BS3" s="16">
        <f>Table3[[#This Row],[TeamCost83]]/Table3[[#This Row],[GP]]</f>
        <v>1.75</v>
      </c>
      <c r="BT3">
        <f>COUNTIFS(Table2[AwayTeam],$A3,Table2[PredictedWinner], $A3, Table2[GameIsOver], 1)</f>
        <v>0</v>
      </c>
      <c r="BU3">
        <f>COUNTIFS(Table2[HomeTeam],$A3,Table2[PredictedWinner], $A3, Table2[GameIsOver], 1)</f>
        <v>0</v>
      </c>
      <c r="BV3">
        <f t="shared" si="8"/>
        <v>0</v>
      </c>
      <c r="BW3">
        <f t="shared" si="9"/>
        <v>1</v>
      </c>
      <c r="BX3">
        <f t="shared" si="10"/>
        <v>0</v>
      </c>
      <c r="BY3">
        <f t="shared" si="11"/>
        <v>1</v>
      </c>
      <c r="BZ3">
        <f>Table3[[#This Row],[TimesPredictedWinner]]/Table3[[#This Row],[GP]]</f>
        <v>0</v>
      </c>
      <c r="CB3">
        <v>2017</v>
      </c>
      <c r="CC3" s="1">
        <v>45753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0.1</v>
      </c>
      <c r="CJ3">
        <f>SUMIFS(Table2[GamePredictionScore], Table2[HomeTeam], Table3[[#This Row],[Teams]])</f>
        <v>0</v>
      </c>
      <c r="CK3">
        <f>Table3[[#This Row],[Column4]]+Table3[[#This Row],[Column3]]</f>
        <v>0.1</v>
      </c>
      <c r="CL3">
        <f>Table3[[#This Row],[Column5]]/Table3[[#This Row],[GP]]</f>
        <v>0.1</v>
      </c>
      <c r="CR3" t="s">
        <v>137</v>
      </c>
      <c r="CS3">
        <f>SUM($D$2:$D$33)/2</f>
        <v>5</v>
      </c>
      <c r="CW3" t="s">
        <v>90</v>
      </c>
      <c r="CX3" s="16">
        <v>0.5</v>
      </c>
      <c r="CY3">
        <f>INDEX($AC$2:$AC$33,MATCH("CGY",$A$2:$A$33,0),1)</f>
        <v>1</v>
      </c>
      <c r="DA3" s="16">
        <f>CX3*CY3</f>
        <v>0.5</v>
      </c>
      <c r="DB3" s="10">
        <f>DA3/$DA$7</f>
        <v>0.3571428571428571</v>
      </c>
    </row>
    <row r="4" spans="1:144" x14ac:dyDescent="0.25">
      <c r="A4" t="s">
        <v>21</v>
      </c>
      <c r="B4" t="s">
        <v>90</v>
      </c>
      <c r="C4" t="s">
        <v>88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0</v>
      </c>
      <c r="E4" s="10" t="e">
        <f>Table3[[#This Row],[Watched]]/Table3[[#This Row],[GP]]</f>
        <v>#DIV/0!</v>
      </c>
      <c r="F4">
        <f>COUNTIFS(DataRegularSeason20242025!$N$3:$N$1315,1,DataRegularSeason20242025!$D$3:$D$1315,$A4)</f>
        <v>0</v>
      </c>
      <c r="G4">
        <f>41-Table3[[#This Row],[GP_A]]</f>
        <v>41</v>
      </c>
      <c r="H4">
        <f>COUNTIFS(DataRegularSeason20242025!$E$3:$E$1315,$A4,DataRegularSeason20242025!$N$3:$N$1315,1)</f>
        <v>0</v>
      </c>
      <c r="I4">
        <f>41-Table3[[#This Row],[GP_H]]</f>
        <v>41</v>
      </c>
      <c r="J4">
        <f t="shared" si="0"/>
        <v>0</v>
      </c>
      <c r="K4">
        <f>82-Table3[[#This Row],[GP]]</f>
        <v>82</v>
      </c>
      <c r="L4">
        <f>COUNTIFS(DataRegularSeason20242025!$D$3:$D$1315,$A4, DataRegularSeason20242025!$L$3:$L$1315, $A4,DataRegularSeason20242025!$N$3:$N$1315,1)</f>
        <v>0</v>
      </c>
      <c r="M4">
        <f>COUNTIFS(DataRegularSeason20242025!$D$3:$D$1315,$A4, DataRegularSeason20242025!$L$3:$L$1315, $A4,DataRegularSeason20242025!$N$3:$N$1315,1,DataRegularSeason20242025!$M$3:$M$1315,"REG")</f>
        <v>0</v>
      </c>
      <c r="N4">
        <f>COUNTIFS(DataRegularSeason20242025!$D$3:$D$1315,$A4, DataRegularSeason20242025!$L$3:$L$1315, $A4,DataRegularSeason20242025!$N$3:$N$1315,1,DataRegularSeason20242025!$M$3:$M$1315,"OT")</f>
        <v>0</v>
      </c>
      <c r="O4">
        <f>COUNTIFS(DataRegularSeason20242025!$D$3:$D$1315,$A4, DataRegularSeason20242025!$L$3:$L$1315, $A4,DataRegularSeason20242025!$N$3:$N$1315,1,DataRegularSeason20242025!$M$3:$M$1315,"SO")</f>
        <v>0</v>
      </c>
      <c r="P4">
        <f t="shared" si="1"/>
        <v>0</v>
      </c>
      <c r="Q4">
        <f>COUNTIFS(DataRegularSeason20242025!$D$3:$D$1315,$A4, DataRegularSeason20242025!$S$3:$S$1315, $A4,DataRegularSeason20242025!$M$3:$M$1315,"REG")</f>
        <v>0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0</v>
      </c>
      <c r="U4">
        <f>COUNTIFS(DataRegularSeason20242025!$E$3:$E$1315,$A4, DataRegularSeason20242025!$L$3:$L$1315, $A4,DataRegularSeason20242025!$N$3:$N$1315,1,DataRegularSeason20242025!$M$3:$M$1315,"REG")</f>
        <v>0</v>
      </c>
      <c r="V4">
        <f>COUNTIFS(DataRegularSeason20242025!$E$3:$E$1315,$A4, DataRegularSeason20242025!$L$3:$L$1315, $A4,DataRegularSeason20242025!$N$3:$N$1315,1,DataRegularSeason20242025!$M$3:$M$1315,"OT")</f>
        <v>0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 t="shared" si="2"/>
        <v>0</v>
      </c>
      <c r="Y4">
        <f>COUNTIFS(DataRegularSeason20242025!$E$3:$E$1315,$A4, DataRegularSeason20242025!$S$3:$S$1315, $A4,DataRegularSeason20242025!$M$3:$M$1315,"REG")</f>
        <v>0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0</v>
      </c>
      <c r="AB4">
        <f>Table3[[#This Row],[W]]/MAX(1,Table3[[#This Row],[W]]+Table3[[#This Row],[L]])</f>
        <v>0</v>
      </c>
      <c r="AC4">
        <f>Table3[[#This Row],[W_A]]+Table3[[#This Row],[W_H]]</f>
        <v>0</v>
      </c>
      <c r="AD4">
        <f>Table3[[#This Row],[L_A]]+Table3[[#This Row],[L_H]]</f>
        <v>0</v>
      </c>
      <c r="AE4">
        <f>Table3[[#This Row],[RW_A]]+Table3[[#This Row],[RW_H]]</f>
        <v>0</v>
      </c>
      <c r="AF4">
        <f>Table3[[#This Row],[RL_A]]+Table3[[#This Row],[RL_H]]</f>
        <v>0</v>
      </c>
      <c r="AG4">
        <f>Table3[[#This Row],[OTW_A]]+Table3[[#This Row],[OTW_H]]</f>
        <v>0</v>
      </c>
      <c r="AH4">
        <f>Table3[[#This Row],[OTL_A]]+Table3[[#This Row],[OTL_H]]</f>
        <v>0</v>
      </c>
      <c r="AI4">
        <f>Table3[[#This Row],[SOW_A]]+Table3[[#This Row],[SOW_H]]</f>
        <v>0</v>
      </c>
      <c r="AJ4">
        <f>Table3[[#This Row],[SOL_A]]+Table3[[#This Row],[SOL_H]]</f>
        <v>0</v>
      </c>
      <c r="AK4" s="15" t="str">
        <f>_xlfn.CONCAT(TEXT(Table3[[#This Row],[OTW]]+Table3[[#This Row],[SOW]], "0"), "-", TEXT(Table3[[#This Row],[OTL]]+Table3[[#This Row],[SOL]],"0"))</f>
        <v>0-0</v>
      </c>
      <c r="AL4">
        <f>SUM(Table3[[#This Row],[OTW]],Table3[[#This Row],[OTL]],Table3[[#This Row],[SOW]],Table3[[#This Row],[SOL]])</f>
        <v>0</v>
      </c>
      <c r="AM4">
        <f>(Table3[[#This Row],[OTW]]+Table3[[#This Row],[SOW]])/IF(Table3[[#This Row],[Total_ExtraTimes]]=0,1,Table3[[#This Row],[Total_ExtraTimes]])</f>
        <v>0</v>
      </c>
      <c r="AN4">
        <f>Table3[[#This Row],[Total_ExtraTimes]]/MAX(1,Table3[[#This Row],[GP]])</f>
        <v>0</v>
      </c>
      <c r="AO4">
        <f>(2*(Table3[[#This Row],[W_A]]+Table3[[#This Row],[W_H]]))+Table3[[#This Row],[OTL_A]]+Table3[[#This Row],[SOL_A]]+Table3[[#This Row],[OTL_H]]+Table3[[#This Row],[SOL_H]]</f>
        <v>0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4" s="10" t="e">
        <f>Table3[[#This Row],[PTS]]/(2*Table3[[#This Row],[GP]])</f>
        <v>#DIV/0!</v>
      </c>
      <c r="AR4" s="10" t="e">
        <f>Table3[[#This Row],[PTS2]]/(3*Table3[[#This Row],[GP]])</f>
        <v>#DIV/0!</v>
      </c>
      <c r="AS4">
        <f>(2*Table3[[#This Row],[GR]])+Table3[[#This Row],[PTS]]</f>
        <v>164</v>
      </c>
      <c r="AT4">
        <f>(3*Table3[[#This Row],[GR]])+Table3[[#This Row],[PTS2]]</f>
        <v>246</v>
      </c>
      <c r="AU4" t="e">
        <f>Table3[[#This Row],[PTS]]+(2 * Table3[[#This Row],[GR]] * Table3[[#This Row],[PTS%]])</f>
        <v>#DIV/0!</v>
      </c>
      <c r="AV4" t="e">
        <f>Table3[[#This Row],[PTS2]]+(3 * Table3[[#This Row],[GR]] * Table3[[#This Row],[PTS%2]])</f>
        <v>#DIV/0!</v>
      </c>
      <c r="AW4" s="15" t="str">
        <f>_xlfn.CONCAT(TEXT(Table3[[#This Row],[W]], "0"), "-", TEXT(Table3[[#This Row],[RL]],"0"), "-", TEXT(Table3[[#This Row],[OTL]]+Table3[[#This Row],[SOL]], "0"))</f>
        <v>0-0-0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0</v>
      </c>
      <c r="AZ4">
        <f>SUMIF(DataRegularSeason20242025!$D$3:$D$1315,$A4, DataRegularSeason20242025!$K$3:$K$1315)</f>
        <v>0</v>
      </c>
      <c r="BA4">
        <f t="shared" si="3"/>
        <v>0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0</v>
      </c>
      <c r="BD4">
        <f>SUMIF(DataRegularSeason20242025!$E$3:$E$1315,$A4,DataRegularSeason20242025!$J$3:$J$1315)</f>
        <v>0</v>
      </c>
      <c r="BE4">
        <f t="shared" si="4"/>
        <v>0</v>
      </c>
      <c r="BF4">
        <f t="shared" si="5"/>
        <v>0</v>
      </c>
      <c r="BG4">
        <f t="shared" si="6"/>
        <v>0</v>
      </c>
      <c r="BH4">
        <f t="shared" si="7"/>
        <v>0</v>
      </c>
      <c r="BI4" s="12" t="e">
        <f>Table3[[#This Row],[GF]]/Table3[[#This Row],[GP]]</f>
        <v>#DIV/0!</v>
      </c>
      <c r="BJ4" s="12" t="e">
        <f>Table3[[#This Row],[GA]]/Table3[[#This Row],[GP]]</f>
        <v>#DIV/0!</v>
      </c>
      <c r="BK4" s="12" t="e">
        <f>(Table3[[#This Row],[GF]]-Table3[[#This Row],[GA]])/Table3[[#This Row],[GP]]</f>
        <v>#DIV/0!</v>
      </c>
      <c r="BL4" s="42" t="str">
        <f>_xlfn.CONCAT(TEXT(Table3[[#This Row],[W_H]], "0"), "-", TEXT(Table3[[#This Row],[RL_H]],"0"), "-", TEXT(Table3[[#This Row],[OTL_H]]+Table3[[#This Row],[SOL_H]], "0"))</f>
        <v>0-0-0</v>
      </c>
      <c r="BM4" s="42" t="str">
        <f>_xlfn.CONCAT(TEXT(Table3[[#This Row],[W_A]], "0"), "-", TEXT(Table3[[#This Row],[RL_A]],"0"), "-", TEXT(Table3[[#This Row],[OTL_A]]+Table3[[#This Row],[SOL_A]], "0"))</f>
        <v>0-0-0</v>
      </c>
      <c r="BN4" s="42" t="e">
        <f>((2*(Table3[[#This Row],[W_H]]))+Table3[[#This Row],[OTL_H]]+Table3[[#This Row],[SOL_H]])/(2*Table3[[#This Row],[GP_H]])</f>
        <v>#DIV/0!</v>
      </c>
      <c r="BO4" s="42" t="e">
        <f>((2*(Table3[[#This Row],[W_A]]))+Table3[[#This Row],[OTL_A]]+Table3[[#This Row],[SOL_A]])/(2*Table3[[#This Row],[GP_A]])</f>
        <v>#DIV/0!</v>
      </c>
      <c r="BP4" s="16">
        <f>(Table3[[#This Row],[W]]*$CX$3)+(Table3[[#This Row],[L]]*$CX$4)+(Table3[[#This Row],[GF]]*$CX$5)+(Table3[[#This Row],[GA]]*$CX$6)</f>
        <v>0</v>
      </c>
      <c r="BQ4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4" s="16">
        <f>(Table3[[#This Row],[W]]*0.7) + ((Table3[[#This Row],[GF]] - Table3[[#This Row],[GA]])*0.25)+(Table3[[#This Row],[GF]]*0.1)+(Table3[[#This Row],[GA]]*0.05)+(Table3[[#This Row],[L]]*0.3)</f>
        <v>0</v>
      </c>
      <c r="BS4" s="16" t="e">
        <f>Table3[[#This Row],[TeamCost83]]/Table3[[#This Row],[GP]]</f>
        <v>#DIV/0!</v>
      </c>
      <c r="BT4">
        <f>COUNTIFS(Table2[AwayTeam],$A4,Table2[PredictedWinner], $A4, Table2[GameIsOver], 1)</f>
        <v>0</v>
      </c>
      <c r="BU4">
        <f>COUNTIFS(Table2[HomeTeam],$A4,Table2[PredictedWinner], $A4, Table2[GameIsOver], 1)</f>
        <v>0</v>
      </c>
      <c r="BV4">
        <f t="shared" si="8"/>
        <v>0</v>
      </c>
      <c r="BW4">
        <f t="shared" si="9"/>
        <v>0</v>
      </c>
      <c r="BX4">
        <f t="shared" si="10"/>
        <v>0</v>
      </c>
      <c r="BY4">
        <f t="shared" si="11"/>
        <v>0</v>
      </c>
      <c r="BZ4" t="e">
        <f>Table3[[#This Row],[TimesPredictedWinner]]/Table3[[#This Row],[GP]]</f>
        <v>#DIV/0!</v>
      </c>
      <c r="CD4" s="1">
        <v>45741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0</v>
      </c>
      <c r="CJ4">
        <f>SUMIFS(Table2[GamePredictionScore], Table2[HomeTeam], Table3[[#This Row],[Teams]])</f>
        <v>0</v>
      </c>
      <c r="CK4">
        <f>Table3[[#This Row],[Column4]]+Table3[[#This Row],[Column3]]</f>
        <v>0</v>
      </c>
      <c r="CL4" t="e">
        <f>Table3[[#This Row],[Column5]]/Table3[[#This Row],[GP]]</f>
        <v>#DIV/0!</v>
      </c>
      <c r="CR4" t="s">
        <v>138</v>
      </c>
      <c r="CS4">
        <f>$CS$2-$CS$3</f>
        <v>2</v>
      </c>
      <c r="CW4" t="s">
        <v>119</v>
      </c>
      <c r="CX4" s="16">
        <v>0.3</v>
      </c>
      <c r="CY4">
        <f>INDEX($AD$2:$AD$33,MATCH("CGY",$A$2:$A$33,0),1)</f>
        <v>0</v>
      </c>
      <c r="DA4" s="16">
        <f>CX4*CY4</f>
        <v>0</v>
      </c>
      <c r="DB4" s="10">
        <f>DA4/$DA$7</f>
        <v>0</v>
      </c>
    </row>
    <row r="5" spans="1:144" x14ac:dyDescent="0.25">
      <c r="A5" t="s">
        <v>17</v>
      </c>
      <c r="B5" t="s">
        <v>91</v>
      </c>
      <c r="C5" t="s">
        <v>74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1</v>
      </c>
      <c r="E5" s="10">
        <f>Table3[[#This Row],[Watched]]/Table3[[#This Row],[GP]]</f>
        <v>1</v>
      </c>
      <c r="F5">
        <f>COUNTIFS(DataRegularSeason20242025!$N$3:$N$1315,1,DataRegularSeason20242025!$D$3:$D$1315,$A5)</f>
        <v>0</v>
      </c>
      <c r="G5">
        <f>41-Table3[[#This Row],[GP_A]]</f>
        <v>41</v>
      </c>
      <c r="H5">
        <f>COUNTIFS(DataRegularSeason20242025!$E$3:$E$1315,$A5,DataRegularSeason20242025!$N$3:$N$1315,1)</f>
        <v>1</v>
      </c>
      <c r="I5">
        <f>41-Table3[[#This Row],[GP_H]]</f>
        <v>40</v>
      </c>
      <c r="J5">
        <f t="shared" si="0"/>
        <v>1</v>
      </c>
      <c r="K5">
        <f>82-Table3[[#This Row],[GP]]</f>
        <v>81</v>
      </c>
      <c r="L5">
        <f>COUNTIFS(DataRegularSeason20242025!$D$3:$D$1315,$A5, DataRegularSeason20242025!$L$3:$L$1315, $A5,DataRegularSeason20242025!$N$3:$N$1315,1)</f>
        <v>0</v>
      </c>
      <c r="M5">
        <f>COUNTIFS(DataRegularSeason20242025!$D$3:$D$1315,$A5, DataRegularSeason20242025!$L$3:$L$1315, $A5,DataRegularSeason20242025!$N$3:$N$1315,1,DataRegularSeason20242025!$M$3:$M$1315,"REG")</f>
        <v>0</v>
      </c>
      <c r="N5">
        <f>COUNTIFS(DataRegularSeason20242025!$D$3:$D$1315,$A5, DataRegularSeason20242025!$L$3:$L$1315, $A5,DataRegularSeason20242025!$N$3:$N$1315,1,DataRegularSeason20242025!$M$3:$M$1315,"OT")</f>
        <v>0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 t="shared" si="1"/>
        <v>0</v>
      </c>
      <c r="Q5">
        <f>COUNTIFS(DataRegularSeason20242025!$D$3:$D$1315,$A5, DataRegularSeason20242025!$S$3:$S$1315, $A5,DataRegularSeason20242025!$M$3:$M$1315,"REG")</f>
        <v>0</v>
      </c>
      <c r="R5">
        <f>COUNTIFS(DataRegularSeason20242025!$D$3:$D$1315,$A5, DataRegularSeason20242025!$S$3:$S$1315, $A5,DataRegularSeason20242025!$M$3:$M$1315,"OT")</f>
        <v>0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1</v>
      </c>
      <c r="U5">
        <f>COUNTIFS(DataRegularSeason20242025!$E$3:$E$1315,$A5, DataRegularSeason20242025!$L$3:$L$1315, $A5,DataRegularSeason20242025!$N$3:$N$1315,1,DataRegularSeason20242025!$M$3:$M$1315,"REG")</f>
        <v>1</v>
      </c>
      <c r="V5">
        <f>COUNTIFS(DataRegularSeason20242025!$E$3:$E$1315,$A5, DataRegularSeason20242025!$L$3:$L$1315, $A5,DataRegularSeason20242025!$N$3:$N$1315,1,DataRegularSeason20242025!$M$3:$M$1315,"OT")</f>
        <v>0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 t="shared" si="2"/>
        <v>0</v>
      </c>
      <c r="Y5">
        <f>COUNTIFS(DataRegularSeason20242025!$E$3:$E$1315,$A5, DataRegularSeason20242025!$S$3:$S$1315, $A5,DataRegularSeason20242025!$M$3:$M$1315,"REG")</f>
        <v>0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0</v>
      </c>
      <c r="AB5">
        <f>Table3[[#This Row],[W]]/MAX(1,Table3[[#This Row],[W]]+Table3[[#This Row],[L]])</f>
        <v>1</v>
      </c>
      <c r="AC5">
        <f>Table3[[#This Row],[W_A]]+Table3[[#This Row],[W_H]]</f>
        <v>1</v>
      </c>
      <c r="AD5">
        <f>Table3[[#This Row],[L_A]]+Table3[[#This Row],[L_H]]</f>
        <v>0</v>
      </c>
      <c r="AE5">
        <f>Table3[[#This Row],[RW_A]]+Table3[[#This Row],[RW_H]]</f>
        <v>1</v>
      </c>
      <c r="AF5">
        <f>Table3[[#This Row],[RL_A]]+Table3[[#This Row],[RL_H]]</f>
        <v>0</v>
      </c>
      <c r="AG5">
        <f>Table3[[#This Row],[OTW_A]]+Table3[[#This Row],[OTW_H]]</f>
        <v>0</v>
      </c>
      <c r="AH5">
        <f>Table3[[#This Row],[OTL_A]]+Table3[[#This Row],[OTL_H]]</f>
        <v>0</v>
      </c>
      <c r="AI5">
        <f>Table3[[#This Row],[SOW_A]]+Table3[[#This Row],[SOW_H]]</f>
        <v>0</v>
      </c>
      <c r="AJ5">
        <f>Table3[[#This Row],[SOL_A]]+Table3[[#This Row],[SOL_H]]</f>
        <v>0</v>
      </c>
      <c r="AK5" s="15" t="str">
        <f>_xlfn.CONCAT(TEXT(Table3[[#This Row],[OTW]]+Table3[[#This Row],[SOW]], "0"), "-", TEXT(Table3[[#This Row],[OTL]]+Table3[[#This Row],[SOL]],"0"))</f>
        <v>0-0</v>
      </c>
      <c r="AL5">
        <f>SUM(Table3[[#This Row],[OTW]],Table3[[#This Row],[OTL]],Table3[[#This Row],[SOW]],Table3[[#This Row],[SOL]])</f>
        <v>0</v>
      </c>
      <c r="AM5">
        <f>(Table3[[#This Row],[OTW]]+Table3[[#This Row],[SOW]])/IF(Table3[[#This Row],[Total_ExtraTimes]]=0,1,Table3[[#This Row],[Total_ExtraTimes]])</f>
        <v>0</v>
      </c>
      <c r="AN5">
        <f>Table3[[#This Row],[Total_ExtraTimes]]/MAX(1,Table3[[#This Row],[GP]])</f>
        <v>0</v>
      </c>
      <c r="AO5">
        <f>(2*(Table3[[#This Row],[W_A]]+Table3[[#This Row],[W_H]]))+Table3[[#This Row],[OTL_A]]+Table3[[#This Row],[SOL_A]]+Table3[[#This Row],[OTL_H]]+Table3[[#This Row],[SOL_H]]</f>
        <v>2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5" s="10">
        <f>Table3[[#This Row],[PTS]]/(2*Table3[[#This Row],[GP]])</f>
        <v>1</v>
      </c>
      <c r="AR5" s="10">
        <f>Table3[[#This Row],[PTS2]]/(3*Table3[[#This Row],[GP]])</f>
        <v>1</v>
      </c>
      <c r="AS5">
        <f>(2*Table3[[#This Row],[GR]])+Table3[[#This Row],[PTS]]</f>
        <v>164</v>
      </c>
      <c r="AT5">
        <f>(3*Table3[[#This Row],[GR]])+Table3[[#This Row],[PTS2]]</f>
        <v>246</v>
      </c>
      <c r="AU5">
        <f>Table3[[#This Row],[PTS]]+(2 * Table3[[#This Row],[GR]] * Table3[[#This Row],[PTS%]])</f>
        <v>164</v>
      </c>
      <c r="AV5">
        <f>Table3[[#This Row],[PTS2]]+(3 * Table3[[#This Row],[GR]] * Table3[[#This Row],[PTS%2]])</f>
        <v>246</v>
      </c>
      <c r="AW5" s="15" t="str">
        <f>_xlfn.CONCAT(TEXT(Table3[[#This Row],[W]], "0"), "-", TEXT(Table3[[#This Row],[RL]],"0"), "-", TEXT(Table3[[#This Row],[OTL]]+Table3[[#This Row],[SOL]], "0"))</f>
        <v>1-0-0</v>
      </c>
      <c r="AX5">
        <f>COUNTIFS(DataRegularSeason20242025!$D$3:$D$1315,Table3[[#This Row],[Teams]],DataRegularSeason20242025!$K$3:$K$1315,0)</f>
        <v>0</v>
      </c>
      <c r="AY5">
        <f>SUMIF(DataRegularSeason20242025!$D$3:$D$1315,$A5, DataRegularSeason20242025!$J$3:$J$1315)</f>
        <v>0</v>
      </c>
      <c r="AZ5">
        <f>SUMIF(DataRegularSeason20242025!$D$3:$D$1315,$A5, DataRegularSeason20242025!$K$3:$K$1315)</f>
        <v>0</v>
      </c>
      <c r="BA5">
        <f t="shared" si="3"/>
        <v>0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5</v>
      </c>
      <c r="BD5">
        <f>SUMIF(DataRegularSeason20242025!$E$3:$E$1315,$A5,DataRegularSeason20242025!$J$3:$J$1315)</f>
        <v>2</v>
      </c>
      <c r="BE5">
        <f t="shared" si="4"/>
        <v>3</v>
      </c>
      <c r="BF5">
        <f t="shared" si="5"/>
        <v>5</v>
      </c>
      <c r="BG5">
        <f t="shared" si="6"/>
        <v>2</v>
      </c>
      <c r="BH5">
        <f t="shared" si="7"/>
        <v>3</v>
      </c>
      <c r="BI5" s="12">
        <f>Table3[[#This Row],[GF]]/Table3[[#This Row],[GP]]</f>
        <v>5</v>
      </c>
      <c r="BJ5" s="12">
        <f>Table3[[#This Row],[GA]]/Table3[[#This Row],[GP]]</f>
        <v>2</v>
      </c>
      <c r="BK5" s="12">
        <f>(Table3[[#This Row],[GF]]-Table3[[#This Row],[GA]])/Table3[[#This Row],[GP]]</f>
        <v>3</v>
      </c>
      <c r="BL5" s="42" t="str">
        <f>_xlfn.CONCAT(TEXT(Table3[[#This Row],[W_H]], "0"), "-", TEXT(Table3[[#This Row],[RL_H]],"0"), "-", TEXT(Table3[[#This Row],[OTL_H]]+Table3[[#This Row],[SOL_H]], "0"))</f>
        <v>1-0-0</v>
      </c>
      <c r="BM5" s="42" t="str">
        <f>_xlfn.CONCAT(TEXT(Table3[[#This Row],[W_A]], "0"), "-", TEXT(Table3[[#This Row],[RL_A]],"0"), "-", TEXT(Table3[[#This Row],[OTL_A]]+Table3[[#This Row],[SOL_A]], "0"))</f>
        <v>0-0-0</v>
      </c>
      <c r="BN5" s="42">
        <f>((2*(Table3[[#This Row],[W_H]]))+Table3[[#This Row],[OTL_H]]+Table3[[#This Row],[SOL_H]])/(2*Table3[[#This Row],[GP_H]])</f>
        <v>1</v>
      </c>
      <c r="BO5" s="42" t="e">
        <f>((2*(Table3[[#This Row],[W_A]]))+Table3[[#This Row],[OTL_A]]+Table3[[#This Row],[SOL_A]])/(2*Table3[[#This Row],[GP_A]])</f>
        <v>#DIV/0!</v>
      </c>
      <c r="BP5" s="16">
        <f>(Table3[[#This Row],[W]]*$CX$3)+(Table3[[#This Row],[L]]*$CX$4)+(Table3[[#This Row],[GF]]*$CX$5)+(Table3[[#This Row],[GA]]*$CX$6)</f>
        <v>1.45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120.35</v>
      </c>
      <c r="BR5" s="16">
        <f>(Table3[[#This Row],[W]]*0.7) + ((Table3[[#This Row],[GF]] - Table3[[#This Row],[GA]])*0.25)+(Table3[[#This Row],[GF]]*0.1)+(Table3[[#This Row],[GA]]*0.05)+(Table3[[#This Row],[L]]*0.3)</f>
        <v>2.0499999999999998</v>
      </c>
      <c r="BS5" s="16">
        <f>Table3[[#This Row],[TeamCost83]]/Table3[[#This Row],[GP]]</f>
        <v>2.0499999999999998</v>
      </c>
      <c r="BT5">
        <f>COUNTIFS(Table2[AwayTeam],$A5,Table2[PredictedWinner], $A5, Table2[GameIsOver], 1)</f>
        <v>0</v>
      </c>
      <c r="BU5">
        <f>COUNTIFS(Table2[HomeTeam],$A5,Table2[PredictedWinner], $A5, Table2[GameIsOver], 1)</f>
        <v>1</v>
      </c>
      <c r="BV5">
        <f t="shared" si="8"/>
        <v>1</v>
      </c>
      <c r="BW5">
        <f t="shared" si="9"/>
        <v>0</v>
      </c>
      <c r="BX5">
        <f t="shared" si="10"/>
        <v>0</v>
      </c>
      <c r="BY5">
        <f t="shared" si="11"/>
        <v>0</v>
      </c>
      <c r="BZ5">
        <f>Table3[[#This Row],[TimesPredictedWinner]]/Table3[[#This Row],[GP]]</f>
        <v>1</v>
      </c>
      <c r="CB5">
        <v>1967</v>
      </c>
      <c r="CD5" s="1">
        <v>45749</v>
      </c>
      <c r="CE5" t="str">
        <f>INDEX(Table2[AwayTeam], Table3[[#This Row],[Column2]])</f>
        <v>COL</v>
      </c>
      <c r="CF5">
        <f>LARGE((Table2[[#This Row],[AwayTeam]]=Table3[[#This Row],[Teams]]), 1)</f>
        <v>0</v>
      </c>
      <c r="CI5">
        <f>SUMIFS(Table2[GamePredictionScore], Table2[AwayTeam], Table3[[#This Row],[Teams]])</f>
        <v>0</v>
      </c>
      <c r="CJ5">
        <f>SUMIFS(Table2[GamePredictionScore], Table2[HomeTeam], Table3[[#This Row],[Teams]])</f>
        <v>0.8</v>
      </c>
      <c r="CK5">
        <f>Table3[[#This Row],[Column4]]+Table3[[#This Row],[Column3]]</f>
        <v>0.8</v>
      </c>
      <c r="CL5">
        <f>Table3[[#This Row],[Column5]]/Table3[[#This Row],[GP]]</f>
        <v>0.8</v>
      </c>
      <c r="CR5" t="s">
        <v>140</v>
      </c>
      <c r="CS5">
        <f>SUM($BF$2:$BF$33)</f>
        <v>42</v>
      </c>
      <c r="CW5" t="s">
        <v>67</v>
      </c>
      <c r="CX5" s="16">
        <v>0.15</v>
      </c>
      <c r="CY5">
        <f>INDEX($BF$2:$BF$33,MATCH("CGY",$A$2:$A$33,0),1)</f>
        <v>4</v>
      </c>
      <c r="CZ5">
        <f>CY5/CY2</f>
        <v>4</v>
      </c>
      <c r="DA5" s="16">
        <f>CX5*CY5</f>
        <v>0.6</v>
      </c>
      <c r="DB5" s="10">
        <f>DA5/$DA$7</f>
        <v>0.42857142857142849</v>
      </c>
    </row>
    <row r="6" spans="1:144" ht="15.75" thickBot="1" x14ac:dyDescent="0.3">
      <c r="A6" t="s">
        <v>33</v>
      </c>
      <c r="B6" t="s">
        <v>90</v>
      </c>
      <c r="C6" t="s">
        <v>88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0</v>
      </c>
      <c r="E6" s="10" t="e">
        <f>Table3[[#This Row],[Watched]]/Table3[[#This Row],[GP]]</f>
        <v>#DIV/0!</v>
      </c>
      <c r="F6">
        <f>COUNTIFS(DataRegularSeason20242025!$N$3:$N$1315,1,DataRegularSeason20242025!$D$3:$D$1315,$A6)</f>
        <v>0</v>
      </c>
      <c r="G6">
        <f>41-Table3[[#This Row],[GP_A]]</f>
        <v>41</v>
      </c>
      <c r="H6">
        <f>COUNTIFS(DataRegularSeason20242025!$E$3:$E$1315,$A6,DataRegularSeason20242025!$N$3:$N$1315,1)</f>
        <v>0</v>
      </c>
      <c r="I6">
        <f>41-Table3[[#This Row],[GP_H]]</f>
        <v>41</v>
      </c>
      <c r="J6">
        <f t="shared" si="0"/>
        <v>0</v>
      </c>
      <c r="K6">
        <f>82-Table3[[#This Row],[GP]]</f>
        <v>82</v>
      </c>
      <c r="L6">
        <f>COUNTIFS(DataRegularSeason20242025!$D$3:$D$1315,$A6, DataRegularSeason20242025!$L$3:$L$1315, $A6,DataRegularSeason20242025!$N$3:$N$1315,1)</f>
        <v>0</v>
      </c>
      <c r="M6">
        <f>COUNTIFS(DataRegularSeason20242025!$D$3:$D$1315,$A6, DataRegularSeason20242025!$L$3:$L$1315, $A6,DataRegularSeason20242025!$N$3:$N$1315,1,DataRegularSeason20242025!$M$3:$M$1315,"REG")</f>
        <v>0</v>
      </c>
      <c r="N6">
        <f>COUNTIFS(DataRegularSeason20242025!$D$3:$D$1315,$A6, DataRegularSeason20242025!$L$3:$L$1315, $A6,DataRegularSeason20242025!$N$3:$N$1315,1,DataRegularSeason20242025!$M$3:$M$1315,"OT")</f>
        <v>0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 t="shared" si="1"/>
        <v>0</v>
      </c>
      <c r="Q6">
        <f>COUNTIFS(DataRegularSeason20242025!$D$3:$D$1315,$A6, DataRegularSeason20242025!$S$3:$S$1315, $A6,DataRegularSeason20242025!$M$3:$M$1315,"REG")</f>
        <v>0</v>
      </c>
      <c r="R6">
        <f>COUNTIFS(DataRegularSeason20242025!$D$3:$D$1315,$A6, DataRegularSeason20242025!$S$3:$S$1315, $A6,DataRegularSeason20242025!$M$3:$M$1315,"OT")</f>
        <v>0</v>
      </c>
      <c r="S6">
        <f>COUNTIFS(DataRegularSeason20242025!$D$3:$D$1315,$A6, DataRegularSeason20242025!$S$3:$S$1315, $A6,DataRegularSeason20242025!$M$3:$M$1315,"SO")</f>
        <v>0</v>
      </c>
      <c r="T6">
        <f>COUNTIFS(DataRegularSeason20242025!$E$3:$E$1315,$A6, DataRegularSeason20242025!$L$3:$L$1315, $A6, DataRegularSeason20242025!$N$3:$N$1315,1)</f>
        <v>0</v>
      </c>
      <c r="U6">
        <f>COUNTIFS(DataRegularSeason20242025!$E$3:$E$1315,$A6, DataRegularSeason20242025!$L$3:$L$1315, $A6,DataRegularSeason20242025!$N$3:$N$1315,1,DataRegularSeason20242025!$M$3:$M$1315,"REG")</f>
        <v>0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 t="shared" si="2"/>
        <v>0</v>
      </c>
      <c r="Y6">
        <f>COUNTIFS(DataRegularSeason20242025!$E$3:$E$1315,$A6, DataRegularSeason20242025!$S$3:$S$1315, $A6,DataRegularSeason20242025!$M$3:$M$1315,"REG")</f>
        <v>0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0</v>
      </c>
      <c r="AB6">
        <f>Table3[[#This Row],[W]]/MAX(1,Table3[[#This Row],[W]]+Table3[[#This Row],[L]])</f>
        <v>0</v>
      </c>
      <c r="AC6">
        <f>Table3[[#This Row],[W_A]]+Table3[[#This Row],[W_H]]</f>
        <v>0</v>
      </c>
      <c r="AD6">
        <f>Table3[[#This Row],[L_A]]+Table3[[#This Row],[L_H]]</f>
        <v>0</v>
      </c>
      <c r="AE6">
        <f>Table3[[#This Row],[RW_A]]+Table3[[#This Row],[RW_H]]</f>
        <v>0</v>
      </c>
      <c r="AF6">
        <f>Table3[[#This Row],[RL_A]]+Table3[[#This Row],[RL_H]]</f>
        <v>0</v>
      </c>
      <c r="AG6">
        <f>Table3[[#This Row],[OTW_A]]+Table3[[#This Row],[OTW_H]]</f>
        <v>0</v>
      </c>
      <c r="AH6">
        <f>Table3[[#This Row],[OTL_A]]+Table3[[#This Row],[OTL_H]]</f>
        <v>0</v>
      </c>
      <c r="AI6">
        <f>Table3[[#This Row],[SOW_A]]+Table3[[#This Row],[SOW_H]]</f>
        <v>0</v>
      </c>
      <c r="AJ6">
        <f>Table3[[#This Row],[SOL_A]]+Table3[[#This Row],[SOL_H]]</f>
        <v>0</v>
      </c>
      <c r="AK6" s="15" t="str">
        <f>_xlfn.CONCAT(TEXT(Table3[[#This Row],[OTW]]+Table3[[#This Row],[SOW]], "0"), "-", TEXT(Table3[[#This Row],[OTL]]+Table3[[#This Row],[SOL]],"0"))</f>
        <v>0-0</v>
      </c>
      <c r="AL6">
        <f>SUM(Table3[[#This Row],[OTW]],Table3[[#This Row],[OTL]],Table3[[#This Row],[SOW]],Table3[[#This Row],[SOL]])</f>
        <v>0</v>
      </c>
      <c r="AM6">
        <f>(Table3[[#This Row],[OTW]]+Table3[[#This Row],[SOW]])/IF(Table3[[#This Row],[Total_ExtraTimes]]=0,1,Table3[[#This Row],[Total_ExtraTimes]])</f>
        <v>0</v>
      </c>
      <c r="AN6">
        <f>Table3[[#This Row],[Total_ExtraTimes]]/MAX(1,Table3[[#This Row],[GP]])</f>
        <v>0</v>
      </c>
      <c r="AO6">
        <f>(2*(Table3[[#This Row],[W_A]]+Table3[[#This Row],[W_H]]))+Table3[[#This Row],[OTL_A]]+Table3[[#This Row],[SOL_A]]+Table3[[#This Row],[OTL_H]]+Table3[[#This Row],[SOL_H]]</f>
        <v>0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6" s="10" t="e">
        <f>Table3[[#This Row],[PTS]]/(2*Table3[[#This Row],[GP]])</f>
        <v>#DIV/0!</v>
      </c>
      <c r="AR6" s="10" t="e">
        <f>Table3[[#This Row],[PTS2]]/(3*Table3[[#This Row],[GP]])</f>
        <v>#DIV/0!</v>
      </c>
      <c r="AS6">
        <f>(2*Table3[[#This Row],[GR]])+Table3[[#This Row],[PTS]]</f>
        <v>164</v>
      </c>
      <c r="AT6">
        <f>(3*Table3[[#This Row],[GR]])+Table3[[#This Row],[PTS2]]</f>
        <v>246</v>
      </c>
      <c r="AU6" t="e">
        <f>Table3[[#This Row],[PTS]]+(2 * Table3[[#This Row],[GR]] * Table3[[#This Row],[PTS%]])</f>
        <v>#DIV/0!</v>
      </c>
      <c r="AV6" t="e">
        <f>Table3[[#This Row],[PTS2]]+(3 * Table3[[#This Row],[GR]] * Table3[[#This Row],[PTS%2]])</f>
        <v>#DIV/0!</v>
      </c>
      <c r="AW6" s="15" t="str">
        <f>_xlfn.CONCAT(TEXT(Table3[[#This Row],[W]], "0"), "-", TEXT(Table3[[#This Row],[RL]],"0"), "-", TEXT(Table3[[#This Row],[OTL]]+Table3[[#This Row],[SOL]], "0"))</f>
        <v>0-0-0</v>
      </c>
      <c r="AX6">
        <f>COUNTIFS(DataRegularSeason20242025!$D$3:$D$1315,Table3[[#This Row],[Teams]],DataRegularSeason20242025!$K$3:$K$1315,0)</f>
        <v>0</v>
      </c>
      <c r="AY6">
        <f>SUMIF(DataRegularSeason20242025!$D$3:$D$1315,$A6, DataRegularSeason20242025!$J$3:$J$1315)</f>
        <v>0</v>
      </c>
      <c r="AZ6">
        <f>SUMIF(DataRegularSeason20242025!$D$3:$D$1315,$A6, DataRegularSeason20242025!$K$3:$K$1315)</f>
        <v>0</v>
      </c>
      <c r="BA6">
        <f t="shared" si="3"/>
        <v>0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0</v>
      </c>
      <c r="BD6">
        <f>SUMIF(DataRegularSeason20242025!$E$3:$E$1315,$A6,DataRegularSeason20242025!$J$3:$J$1315)</f>
        <v>0</v>
      </c>
      <c r="BE6">
        <f t="shared" si="4"/>
        <v>0</v>
      </c>
      <c r="BF6">
        <f t="shared" si="5"/>
        <v>0</v>
      </c>
      <c r="BG6">
        <f t="shared" si="6"/>
        <v>0</v>
      </c>
      <c r="BH6">
        <f t="shared" si="7"/>
        <v>0</v>
      </c>
      <c r="BI6" s="12" t="e">
        <f>Table3[[#This Row],[GF]]/Table3[[#This Row],[GP]]</f>
        <v>#DIV/0!</v>
      </c>
      <c r="BJ6" s="12" t="e">
        <f>Table3[[#This Row],[GA]]/Table3[[#This Row],[GP]]</f>
        <v>#DIV/0!</v>
      </c>
      <c r="BK6" s="12" t="e">
        <f>(Table3[[#This Row],[GF]]-Table3[[#This Row],[GA]])/Table3[[#This Row],[GP]]</f>
        <v>#DIV/0!</v>
      </c>
      <c r="BL6" s="42" t="str">
        <f>_xlfn.CONCAT(TEXT(Table3[[#This Row],[W_H]], "0"), "-", TEXT(Table3[[#This Row],[RL_H]],"0"), "-", TEXT(Table3[[#This Row],[OTL_H]]+Table3[[#This Row],[SOL_H]], "0"))</f>
        <v>0-0-0</v>
      </c>
      <c r="BM6" s="42" t="str">
        <f>_xlfn.CONCAT(TEXT(Table3[[#This Row],[W_A]], "0"), "-", TEXT(Table3[[#This Row],[RL_A]],"0"), "-", TEXT(Table3[[#This Row],[OTL_A]]+Table3[[#This Row],[SOL_A]], "0"))</f>
        <v>0-0-0</v>
      </c>
      <c r="BN6" s="42" t="e">
        <f>((2*(Table3[[#This Row],[W_H]]))+Table3[[#This Row],[OTL_H]]+Table3[[#This Row],[SOL_H]])/(2*Table3[[#This Row],[GP_H]])</f>
        <v>#DIV/0!</v>
      </c>
      <c r="BO6" s="42" t="e">
        <f>((2*(Table3[[#This Row],[W_A]]))+Table3[[#This Row],[OTL_A]]+Table3[[#This Row],[SOL_A]])/(2*Table3[[#This Row],[GP_A]])</f>
        <v>#DIV/0!</v>
      </c>
      <c r="BP6" s="16">
        <f>(Table3[[#This Row],[W]]*$CX$3)+(Table3[[#This Row],[L]]*$CX$4)+(Table3[[#This Row],[GF]]*$CX$5)+(Table3[[#This Row],[GA]]*$CX$6)</f>
        <v>0</v>
      </c>
      <c r="BQ6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6" s="16">
        <f>(Table3[[#This Row],[W]]*0.7) + ((Table3[[#This Row],[GF]] - Table3[[#This Row],[GA]])*0.25)+(Table3[[#This Row],[GF]]*0.1)+(Table3[[#This Row],[GA]]*0.05)+(Table3[[#This Row],[L]]*0.3)</f>
        <v>0</v>
      </c>
      <c r="BS6" s="16" t="e">
        <f>Table3[[#This Row],[TeamCost83]]/Table3[[#This Row],[GP]]</f>
        <v>#DIV/0!</v>
      </c>
      <c r="BT6">
        <f>COUNTIFS(Table2[AwayTeam],$A6,Table2[PredictedWinner], $A6, Table2[GameIsOver], 1)</f>
        <v>0</v>
      </c>
      <c r="BU6">
        <f>COUNTIFS(Table2[HomeTeam],$A6,Table2[PredictedWinner], $A6, Table2[GameIsOver], 1)</f>
        <v>0</v>
      </c>
      <c r="BV6">
        <f t="shared" si="8"/>
        <v>0</v>
      </c>
      <c r="BW6">
        <f t="shared" si="9"/>
        <v>0</v>
      </c>
      <c r="BX6">
        <f t="shared" si="10"/>
        <v>0</v>
      </c>
      <c r="BY6">
        <f t="shared" si="11"/>
        <v>0</v>
      </c>
      <c r="BZ6" t="e">
        <f>Table3[[#This Row],[TimesPredictedWinner]]/Table3[[#This Row],[GP]]</f>
        <v>#DIV/0!</v>
      </c>
      <c r="CB6">
        <v>1999</v>
      </c>
      <c r="CD6" s="1">
        <v>45745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0</v>
      </c>
      <c r="CJ6">
        <f>SUMIFS(Table2[GamePredictionScore], Table2[HomeTeam], Table3[[#This Row],[Teams]])</f>
        <v>0</v>
      </c>
      <c r="CK6">
        <f>Table3[[#This Row],[Column4]]+Table3[[#This Row],[Column3]]</f>
        <v>0</v>
      </c>
      <c r="CL6" t="e">
        <f>Table3[[#This Row],[Column5]]/Table3[[#This Row],[GP]]</f>
        <v>#DIV/0!</v>
      </c>
      <c r="CR6" t="s">
        <v>141</v>
      </c>
      <c r="CS6">
        <f>SUM($AX$2:$AX$33)+SUM($BB$2:$BB$33)</f>
        <v>1</v>
      </c>
      <c r="CW6" t="s">
        <v>68</v>
      </c>
      <c r="CX6" s="16">
        <v>0.1</v>
      </c>
      <c r="CY6">
        <f>INDEX($BG$2:$BG$33,MATCH("CGY",$A$2:$A$33,0),1)</f>
        <v>3</v>
      </c>
      <c r="CZ6">
        <f>CY6/CY2</f>
        <v>3</v>
      </c>
      <c r="DA6" s="16">
        <f>CX6*CY6</f>
        <v>0.30000000000000004</v>
      </c>
      <c r="DB6" s="10">
        <f>DA6/$DA$7</f>
        <v>0.2142857142857143</v>
      </c>
    </row>
    <row r="7" spans="1:144" ht="16.5" thickTop="1" thickBot="1" x14ac:dyDescent="0.3">
      <c r="A7" t="s">
        <v>25</v>
      </c>
      <c r="B7" t="s">
        <v>90</v>
      </c>
      <c r="C7" t="s">
        <v>88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1</v>
      </c>
      <c r="E7" s="10">
        <f>Table3[[#This Row],[Watched]]/Table3[[#This Row],[GP]]</f>
        <v>1</v>
      </c>
      <c r="F7">
        <f>COUNTIFS(DataRegularSeason20242025!$N$3:$N$1315,1,DataRegularSeason20242025!$D$3:$D$1315,$A7)</f>
        <v>1</v>
      </c>
      <c r="G7">
        <f>41-Table3[[#This Row],[GP_A]]</f>
        <v>40</v>
      </c>
      <c r="H7">
        <f>COUNTIFS(DataRegularSeason20242025!$E$3:$E$1315,$A7,DataRegularSeason20242025!$N$3:$N$1315,1)</f>
        <v>0</v>
      </c>
      <c r="I7">
        <f>41-Table3[[#This Row],[GP_H]]</f>
        <v>41</v>
      </c>
      <c r="J7">
        <f t="shared" si="0"/>
        <v>1</v>
      </c>
      <c r="K7">
        <f>82-Table3[[#This Row],[GP]]</f>
        <v>81</v>
      </c>
      <c r="L7">
        <f>COUNTIFS(DataRegularSeason20242025!$D$3:$D$1315,$A7, DataRegularSeason20242025!$L$3:$L$1315, $A7,DataRegularSeason20242025!$N$3:$N$1315,1)</f>
        <v>1</v>
      </c>
      <c r="M7">
        <f>COUNTIFS(DataRegularSeason20242025!$D$3:$D$1315,$A7, DataRegularSeason20242025!$L$3:$L$1315, $A7,DataRegularSeason20242025!$N$3:$N$1315,1,DataRegularSeason20242025!$M$3:$M$1315,"REG")</f>
        <v>1</v>
      </c>
      <c r="N7">
        <f>COUNTIFS(DataRegularSeason20242025!$D$3:$D$1315,$A7, DataRegularSeason20242025!$L$3:$L$1315, $A7,DataRegularSeason20242025!$N$3:$N$1315,1,DataRegularSeason20242025!$M$3:$M$1315,"OT")</f>
        <v>0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 t="shared" si="1"/>
        <v>0</v>
      </c>
      <c r="Q7">
        <f>COUNTIFS(DataRegularSeason20242025!$D$3:$D$1315,$A7, DataRegularSeason20242025!$S$3:$S$1315, $A7,DataRegularSeason20242025!$M$3:$M$1315,"REG")</f>
        <v>0</v>
      </c>
      <c r="R7">
        <f>COUNTIFS(DataRegularSeason20242025!$D$3:$D$1315,$A7, DataRegularSeason20242025!$S$3:$S$1315, $A7,DataRegularSeason20242025!$M$3:$M$1315,"OT")</f>
        <v>0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0</v>
      </c>
      <c r="U7">
        <f>COUNTIFS(DataRegularSeason20242025!$E$3:$E$1315,$A7, DataRegularSeason20242025!$L$3:$L$1315, $A7,DataRegularSeason20242025!$N$3:$N$1315,1,DataRegularSeason20242025!$M$3:$M$1315,"REG")</f>
        <v>0</v>
      </c>
      <c r="V7">
        <f>COUNTIFS(DataRegularSeason20242025!$E$3:$E$1315,$A7, DataRegularSeason20242025!$L$3:$L$1315, $A7,DataRegularSeason20242025!$N$3:$N$1315,1,DataRegularSeason20242025!$M$3:$M$1315,"OT")</f>
        <v>0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 t="shared" si="2"/>
        <v>0</v>
      </c>
      <c r="Y7">
        <f>COUNTIFS(DataRegularSeason20242025!$E$3:$E$1315,$A7, DataRegularSeason20242025!$S$3:$S$1315, $A7,DataRegularSeason20242025!$M$3:$M$1315,"REG")</f>
        <v>0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0</v>
      </c>
      <c r="AB7">
        <f>Table3[[#This Row],[W]]/MAX(1,Table3[[#This Row],[W]]+Table3[[#This Row],[L]])</f>
        <v>1</v>
      </c>
      <c r="AC7">
        <f>Table3[[#This Row],[W_A]]+Table3[[#This Row],[W_H]]</f>
        <v>1</v>
      </c>
      <c r="AD7">
        <f>Table3[[#This Row],[L_A]]+Table3[[#This Row],[L_H]]</f>
        <v>0</v>
      </c>
      <c r="AE7">
        <f>Table3[[#This Row],[RW_A]]+Table3[[#This Row],[RW_H]]</f>
        <v>1</v>
      </c>
      <c r="AF7">
        <f>Table3[[#This Row],[RL_A]]+Table3[[#This Row],[RL_H]]</f>
        <v>0</v>
      </c>
      <c r="AG7">
        <f>Table3[[#This Row],[OTW_A]]+Table3[[#This Row],[OTW_H]]</f>
        <v>0</v>
      </c>
      <c r="AH7">
        <f>Table3[[#This Row],[OTL_A]]+Table3[[#This Row],[OTL_H]]</f>
        <v>0</v>
      </c>
      <c r="AI7">
        <f>Table3[[#This Row],[SOW_A]]+Table3[[#This Row],[SOW_H]]</f>
        <v>0</v>
      </c>
      <c r="AJ7">
        <f>Table3[[#This Row],[SOL_A]]+Table3[[#This Row],[SOL_H]]</f>
        <v>0</v>
      </c>
      <c r="AK7" s="15" t="str">
        <f>_xlfn.CONCAT(TEXT(Table3[[#This Row],[OTW]]+Table3[[#This Row],[SOW]], "0"), "-", TEXT(Table3[[#This Row],[OTL]]+Table3[[#This Row],[SOL]],"0"))</f>
        <v>0-0</v>
      </c>
      <c r="AL7">
        <f>SUM(Table3[[#This Row],[OTW]],Table3[[#This Row],[OTL]],Table3[[#This Row],[SOW]],Table3[[#This Row],[SOL]])</f>
        <v>0</v>
      </c>
      <c r="AM7">
        <f>(Table3[[#This Row],[OTW]]+Table3[[#This Row],[SOW]])/IF(Table3[[#This Row],[Total_ExtraTimes]]=0,1,Table3[[#This Row],[Total_ExtraTimes]])</f>
        <v>0</v>
      </c>
      <c r="AN7">
        <f>Table3[[#This Row],[Total_ExtraTimes]]/MAX(1,Table3[[#This Row],[GP]])</f>
        <v>0</v>
      </c>
      <c r="AO7">
        <f>(2*(Table3[[#This Row],[W_A]]+Table3[[#This Row],[W_H]]))+Table3[[#This Row],[OTL_A]]+Table3[[#This Row],[SOL_A]]+Table3[[#This Row],[OTL_H]]+Table3[[#This Row],[SOL_H]]</f>
        <v>2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7" s="10">
        <f>Table3[[#This Row],[PTS]]/(2*Table3[[#This Row],[GP]])</f>
        <v>1</v>
      </c>
      <c r="AR7" s="10">
        <f>Table3[[#This Row],[PTS2]]/(3*Table3[[#This Row],[GP]])</f>
        <v>1</v>
      </c>
      <c r="AS7">
        <f>(2*Table3[[#This Row],[GR]])+Table3[[#This Row],[PTS]]</f>
        <v>164</v>
      </c>
      <c r="AT7">
        <f>(3*Table3[[#This Row],[GR]])+Table3[[#This Row],[PTS2]]</f>
        <v>246</v>
      </c>
      <c r="AU7">
        <f>Table3[[#This Row],[PTS]]+(2 * Table3[[#This Row],[GR]] * Table3[[#This Row],[PTS%]])</f>
        <v>164</v>
      </c>
      <c r="AV7">
        <f>Table3[[#This Row],[PTS2]]+(3 * Table3[[#This Row],[GR]] * Table3[[#This Row],[PTS%2]])</f>
        <v>246</v>
      </c>
      <c r="AW7" s="15" t="str">
        <f>_xlfn.CONCAT(TEXT(Table3[[#This Row],[W]], "0"), "-", TEXT(Table3[[#This Row],[RL]],"0"), "-", TEXT(Table3[[#This Row],[OTL]]+Table3[[#This Row],[SOL]], "0"))</f>
        <v>1-0-0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4</v>
      </c>
      <c r="AZ7">
        <f>SUMIF(DataRegularSeason20242025!$D$3:$D$1315,$A7, DataRegularSeason20242025!$K$3:$K$1315)</f>
        <v>1</v>
      </c>
      <c r="BA7">
        <f t="shared" si="3"/>
        <v>3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0</v>
      </c>
      <c r="BD7">
        <f>SUMIF(DataRegularSeason20242025!$E$3:$E$1315,$A7,DataRegularSeason20242025!$J$3:$J$1315)</f>
        <v>0</v>
      </c>
      <c r="BE7">
        <f t="shared" si="4"/>
        <v>0</v>
      </c>
      <c r="BF7">
        <f t="shared" si="5"/>
        <v>4</v>
      </c>
      <c r="BG7">
        <f t="shared" si="6"/>
        <v>1</v>
      </c>
      <c r="BH7">
        <f t="shared" si="7"/>
        <v>3</v>
      </c>
      <c r="BI7" s="12">
        <f>Table3[[#This Row],[GF]]/Table3[[#This Row],[GP]]</f>
        <v>4</v>
      </c>
      <c r="BJ7" s="12">
        <f>Table3[[#This Row],[GA]]/Table3[[#This Row],[GP]]</f>
        <v>1</v>
      </c>
      <c r="BK7" s="12">
        <f>(Table3[[#This Row],[GF]]-Table3[[#This Row],[GA]])/Table3[[#This Row],[GP]]</f>
        <v>3</v>
      </c>
      <c r="BL7" s="42" t="str">
        <f>_xlfn.CONCAT(TEXT(Table3[[#This Row],[W_H]], "0"), "-", TEXT(Table3[[#This Row],[RL_H]],"0"), "-", TEXT(Table3[[#This Row],[OTL_H]]+Table3[[#This Row],[SOL_H]], "0"))</f>
        <v>0-0-0</v>
      </c>
      <c r="BM7" s="42" t="str">
        <f>_xlfn.CONCAT(TEXT(Table3[[#This Row],[W_A]], "0"), "-", TEXT(Table3[[#This Row],[RL_A]],"0"), "-", TEXT(Table3[[#This Row],[OTL_A]]+Table3[[#This Row],[SOL_A]], "0"))</f>
        <v>1-0-0</v>
      </c>
      <c r="BN7" s="42" t="e">
        <f>((2*(Table3[[#This Row],[W_H]]))+Table3[[#This Row],[OTL_H]]+Table3[[#This Row],[SOL_H]])/(2*Table3[[#This Row],[GP_H]])</f>
        <v>#DIV/0!</v>
      </c>
      <c r="BO7" s="42">
        <f>((2*(Table3[[#This Row],[W_A]]))+Table3[[#This Row],[OTL_A]]+Table3[[#This Row],[SOL_A]])/(2*Table3[[#This Row],[GP_A]])</f>
        <v>1</v>
      </c>
      <c r="BP7" s="16">
        <f>(Table3[[#This Row],[W]]*$CX$3)+(Table3[[#This Row],[L]]*$CX$4)+(Table3[[#This Row],[GF]]*$CX$5)+(Table3[[#This Row],[GA]]*$CX$6)</f>
        <v>1.2000000000000002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99.600000000000009</v>
      </c>
      <c r="BR7" s="16">
        <f>(Table3[[#This Row],[W]]*0.7) + ((Table3[[#This Row],[GF]] - Table3[[#This Row],[GA]])*0.25)+(Table3[[#This Row],[GF]]*0.1)+(Table3[[#This Row],[GA]]*0.05)+(Table3[[#This Row],[L]]*0.3)</f>
        <v>1.9000000000000001</v>
      </c>
      <c r="BS7" s="16">
        <f>Table3[[#This Row],[TeamCost83]]/Table3[[#This Row],[GP]]</f>
        <v>1.9000000000000001</v>
      </c>
      <c r="BT7">
        <f>COUNTIFS(Table2[AwayTeam],$A7,Table2[PredictedWinner], $A7, Table2[GameIsOver], 1)</f>
        <v>1</v>
      </c>
      <c r="BU7">
        <f>COUNTIFS(Table2[HomeTeam],$A7,Table2[PredictedWinner], $A7, Table2[GameIsOver], 1)</f>
        <v>0</v>
      </c>
      <c r="BV7">
        <f t="shared" si="8"/>
        <v>1</v>
      </c>
      <c r="BW7">
        <f t="shared" si="9"/>
        <v>0</v>
      </c>
      <c r="BX7">
        <f t="shared" si="10"/>
        <v>0</v>
      </c>
      <c r="BY7">
        <f t="shared" si="11"/>
        <v>0</v>
      </c>
      <c r="BZ7">
        <f>Table3[[#This Row],[TimesPredictedWinner]]/Table3[[#This Row],[GP]]</f>
        <v>1</v>
      </c>
      <c r="CB7">
        <v>2022</v>
      </c>
      <c r="CD7" s="1">
        <v>45750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0.8</v>
      </c>
      <c r="CJ7">
        <f>SUMIFS(Table2[GamePredictionScore], Table2[HomeTeam], Table3[[#This Row],[Teams]])</f>
        <v>0</v>
      </c>
      <c r="CK7">
        <f>Table3[[#This Row],[Column4]]+Table3[[#This Row],[Column3]]</f>
        <v>0.8</v>
      </c>
      <c r="CL7">
        <f>Table3[[#This Row],[Column5]]/Table3[[#This Row],[GP]]</f>
        <v>0.8</v>
      </c>
      <c r="CR7" t="s">
        <v>142</v>
      </c>
      <c r="CS7">
        <f>SUM($AG$2:$AG$33)</f>
        <v>0</v>
      </c>
      <c r="CW7" t="s">
        <v>544</v>
      </c>
      <c r="CX7">
        <f>INDEX($AQ$2:$AQ$33,MATCH("CGY",$A$2:$A$33,0),1)</f>
        <v>1</v>
      </c>
      <c r="CZ7" s="17">
        <f>(CX4+(ABS(CX3-CX4)*CX7))+(CX5*CZ5)+(CX6*CZ6)</f>
        <v>1.4000000000000001</v>
      </c>
      <c r="DA7" s="88">
        <f>SUM(DA3:DA6)</f>
        <v>1.4000000000000001</v>
      </c>
    </row>
    <row r="8" spans="1:144" ht="15.75" thickTop="1" x14ac:dyDescent="0.25">
      <c r="A8" t="s">
        <v>40</v>
      </c>
      <c r="B8" t="s">
        <v>91</v>
      </c>
      <c r="C8" t="s">
        <v>74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0</v>
      </c>
      <c r="E8" s="10" t="e">
        <f>Table3[[#This Row],[Watched]]/Table3[[#This Row],[GP]]</f>
        <v>#DIV/0!</v>
      </c>
      <c r="F8">
        <f>COUNTIFS(DataRegularSeason20242025!$N$3:$N$1315,1,DataRegularSeason20242025!$D$3:$D$1315,$A8)</f>
        <v>0</v>
      </c>
      <c r="G8">
        <f>41-Table3[[#This Row],[GP_A]]</f>
        <v>41</v>
      </c>
      <c r="H8">
        <f>COUNTIFS(DataRegularSeason20242025!$E$3:$E$1315,$A8,DataRegularSeason20242025!$N$3:$N$1315,1)</f>
        <v>0</v>
      </c>
      <c r="I8">
        <f>41-Table3[[#This Row],[GP_H]]</f>
        <v>41</v>
      </c>
      <c r="J8">
        <f t="shared" si="0"/>
        <v>0</v>
      </c>
      <c r="K8">
        <f>82-Table3[[#This Row],[GP]]</f>
        <v>82</v>
      </c>
      <c r="L8">
        <f>COUNTIFS(DataRegularSeason20242025!$D$3:$D$1315,$A8, DataRegularSeason20242025!$L$3:$L$1315, $A8,DataRegularSeason20242025!$N$3:$N$1315,1)</f>
        <v>0</v>
      </c>
      <c r="M8">
        <f>COUNTIFS(DataRegularSeason20242025!$D$3:$D$1315,$A8, DataRegularSeason20242025!$L$3:$L$1315, $A8,DataRegularSeason20242025!$N$3:$N$1315,1,DataRegularSeason20242025!$M$3:$M$1315,"REG")</f>
        <v>0</v>
      </c>
      <c r="N8">
        <f>COUNTIFS(DataRegularSeason20242025!$D$3:$D$1315,$A8, DataRegularSeason20242025!$L$3:$L$1315, $A8,DataRegularSeason20242025!$N$3:$N$1315,1,DataRegularSeason20242025!$M$3:$M$1315,"OT")</f>
        <v>0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 t="shared" si="1"/>
        <v>0</v>
      </c>
      <c r="Q8">
        <f>COUNTIFS(DataRegularSeason20242025!$D$3:$D$1315,$A8, DataRegularSeason20242025!$S$3:$S$1315, $A8,DataRegularSeason20242025!$M$3:$M$1315,"REG")</f>
        <v>0</v>
      </c>
      <c r="R8">
        <f>COUNTIFS(DataRegularSeason20242025!$D$3:$D$1315,$A8, DataRegularSeason20242025!$S$3:$S$1315, $A8,DataRegularSeason20242025!$M$3:$M$1315,"OT")</f>
        <v>0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0</v>
      </c>
      <c r="U8">
        <f>COUNTIFS(DataRegularSeason20242025!$E$3:$E$1315,$A8, DataRegularSeason20242025!$L$3:$L$1315, $A8,DataRegularSeason20242025!$N$3:$N$1315,1,DataRegularSeason20242025!$M$3:$M$1315,"REG")</f>
        <v>0</v>
      </c>
      <c r="V8">
        <f>COUNTIFS(DataRegularSeason20242025!$E$3:$E$1315,$A8, DataRegularSeason20242025!$L$3:$L$1315, $A8,DataRegularSeason20242025!$N$3:$N$1315,1,DataRegularSeason20242025!$M$3:$M$1315,"OT")</f>
        <v>0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 t="shared" si="2"/>
        <v>0</v>
      </c>
      <c r="Y8">
        <f>COUNTIFS(DataRegularSeason20242025!$E$3:$E$1315,$A8, DataRegularSeason20242025!$S$3:$S$1315, $A8,DataRegularSeason20242025!$M$3:$M$1315,"REG")</f>
        <v>0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0</v>
      </c>
      <c r="AB8">
        <f>Table3[[#This Row],[W]]/MAX(1,Table3[[#This Row],[W]]+Table3[[#This Row],[L]])</f>
        <v>0</v>
      </c>
      <c r="AC8">
        <f>Table3[[#This Row],[W_A]]+Table3[[#This Row],[W_H]]</f>
        <v>0</v>
      </c>
      <c r="AD8">
        <f>Table3[[#This Row],[L_A]]+Table3[[#This Row],[L_H]]</f>
        <v>0</v>
      </c>
      <c r="AE8">
        <f>Table3[[#This Row],[RW_A]]+Table3[[#This Row],[RW_H]]</f>
        <v>0</v>
      </c>
      <c r="AF8">
        <f>Table3[[#This Row],[RL_A]]+Table3[[#This Row],[RL_H]]</f>
        <v>0</v>
      </c>
      <c r="AG8">
        <f>Table3[[#This Row],[OTW_A]]+Table3[[#This Row],[OTW_H]]</f>
        <v>0</v>
      </c>
      <c r="AH8">
        <f>Table3[[#This Row],[OTL_A]]+Table3[[#This Row],[OTL_H]]</f>
        <v>0</v>
      </c>
      <c r="AI8">
        <f>Table3[[#This Row],[SOW_A]]+Table3[[#This Row],[SOW_H]]</f>
        <v>0</v>
      </c>
      <c r="AJ8">
        <f>Table3[[#This Row],[SOL_A]]+Table3[[#This Row],[SOL_H]]</f>
        <v>0</v>
      </c>
      <c r="AK8" s="15" t="str">
        <f>_xlfn.CONCAT(TEXT(Table3[[#This Row],[OTW]]+Table3[[#This Row],[SOW]], "0"), "-", TEXT(Table3[[#This Row],[OTL]]+Table3[[#This Row],[SOL]],"0"))</f>
        <v>0-0</v>
      </c>
      <c r="AL8">
        <f>SUM(Table3[[#This Row],[OTW]],Table3[[#This Row],[OTL]],Table3[[#This Row],[SOW]],Table3[[#This Row],[SOL]])</f>
        <v>0</v>
      </c>
      <c r="AM8">
        <f>(Table3[[#This Row],[OTW]]+Table3[[#This Row],[SOW]])/IF(Table3[[#This Row],[Total_ExtraTimes]]=0,1,Table3[[#This Row],[Total_ExtraTimes]])</f>
        <v>0</v>
      </c>
      <c r="AN8">
        <f>Table3[[#This Row],[Total_ExtraTimes]]/MAX(1,Table3[[#This Row],[GP]])</f>
        <v>0</v>
      </c>
      <c r="AO8">
        <f>(2*(Table3[[#This Row],[W_A]]+Table3[[#This Row],[W_H]]))+Table3[[#This Row],[OTL_A]]+Table3[[#This Row],[SOL_A]]+Table3[[#This Row],[OTL_H]]+Table3[[#This Row],[SOL_H]]</f>
        <v>0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8" s="10" t="e">
        <f>Table3[[#This Row],[PTS]]/(2*Table3[[#This Row],[GP]])</f>
        <v>#DIV/0!</v>
      </c>
      <c r="AR8" s="10" t="e">
        <f>Table3[[#This Row],[PTS2]]/(3*Table3[[#This Row],[GP]])</f>
        <v>#DIV/0!</v>
      </c>
      <c r="AS8">
        <f>(2*Table3[[#This Row],[GR]])+Table3[[#This Row],[PTS]]</f>
        <v>164</v>
      </c>
      <c r="AT8">
        <f>(3*Table3[[#This Row],[GR]])+Table3[[#This Row],[PTS2]]</f>
        <v>246</v>
      </c>
      <c r="AU8" t="e">
        <f>Table3[[#This Row],[PTS]]+(2 * Table3[[#This Row],[GR]] * Table3[[#This Row],[PTS%]])</f>
        <v>#DIV/0!</v>
      </c>
      <c r="AV8" t="e">
        <f>Table3[[#This Row],[PTS2]]+(3 * Table3[[#This Row],[GR]] * Table3[[#This Row],[PTS%2]])</f>
        <v>#DIV/0!</v>
      </c>
      <c r="AW8" s="15" t="str">
        <f>_xlfn.CONCAT(TEXT(Table3[[#This Row],[W]], "0"), "-", TEXT(Table3[[#This Row],[RL]],"0"), "-", TEXT(Table3[[#This Row],[OTL]]+Table3[[#This Row],[SOL]], "0"))</f>
        <v>0-0-0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0</v>
      </c>
      <c r="AZ8">
        <f>SUMIF(DataRegularSeason20242025!$D$3:$D$1315,$A8, DataRegularSeason20242025!$K$3:$K$1315)</f>
        <v>0</v>
      </c>
      <c r="BA8">
        <f t="shared" si="3"/>
        <v>0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0</v>
      </c>
      <c r="BD8">
        <f>SUMIF(DataRegularSeason20242025!$E$3:$E$1315,$A8,DataRegularSeason20242025!$J$3:$J$1315)</f>
        <v>0</v>
      </c>
      <c r="BE8">
        <f t="shared" si="4"/>
        <v>0</v>
      </c>
      <c r="BF8">
        <f t="shared" si="5"/>
        <v>0</v>
      </c>
      <c r="BG8">
        <f t="shared" si="6"/>
        <v>0</v>
      </c>
      <c r="BH8">
        <f t="shared" si="7"/>
        <v>0</v>
      </c>
      <c r="BI8" s="12" t="e">
        <f>Table3[[#This Row],[GF]]/Table3[[#This Row],[GP]]</f>
        <v>#DIV/0!</v>
      </c>
      <c r="BJ8" s="12" t="e">
        <f>Table3[[#This Row],[GA]]/Table3[[#This Row],[GP]]</f>
        <v>#DIV/0!</v>
      </c>
      <c r="BK8" s="12" t="e">
        <f>(Table3[[#This Row],[GF]]-Table3[[#This Row],[GA]])/Table3[[#This Row],[GP]]</f>
        <v>#DIV/0!</v>
      </c>
      <c r="BL8" s="42" t="str">
        <f>_xlfn.CONCAT(TEXT(Table3[[#This Row],[W_H]], "0"), "-", TEXT(Table3[[#This Row],[RL_H]],"0"), "-", TEXT(Table3[[#This Row],[OTL_H]]+Table3[[#This Row],[SOL_H]], "0"))</f>
        <v>0-0-0</v>
      </c>
      <c r="BM8" s="42" t="str">
        <f>_xlfn.CONCAT(TEXT(Table3[[#This Row],[W_A]], "0"), "-", TEXT(Table3[[#This Row],[RL_A]],"0"), "-", TEXT(Table3[[#This Row],[OTL_A]]+Table3[[#This Row],[SOL_A]], "0"))</f>
        <v>0-0-0</v>
      </c>
      <c r="BN8" s="42" t="e">
        <f>((2*(Table3[[#This Row],[W_H]]))+Table3[[#This Row],[OTL_H]]+Table3[[#This Row],[SOL_H]])/(2*Table3[[#This Row],[GP_H]])</f>
        <v>#DIV/0!</v>
      </c>
      <c r="BO8" s="42" t="e">
        <f>((2*(Table3[[#This Row],[W_A]]))+Table3[[#This Row],[OTL_A]]+Table3[[#This Row],[SOL_A]])/(2*Table3[[#This Row],[GP_A]])</f>
        <v>#DIV/0!</v>
      </c>
      <c r="BP8" s="16">
        <f>(Table3[[#This Row],[W]]*$CX$3)+(Table3[[#This Row],[L]]*$CX$4)+(Table3[[#This Row],[GF]]*$CX$5)+(Table3[[#This Row],[GA]]*$CX$6)</f>
        <v>0</v>
      </c>
      <c r="BQ8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8" s="16">
        <f>(Table3[[#This Row],[W]]*0.7) + ((Table3[[#This Row],[GF]] - Table3[[#This Row],[GA]])*0.25)+(Table3[[#This Row],[GF]]*0.1)+(Table3[[#This Row],[GA]]*0.05)+(Table3[[#This Row],[L]]*0.3)</f>
        <v>0</v>
      </c>
      <c r="BS8" s="16" t="e">
        <f>Table3[[#This Row],[TeamCost83]]/Table3[[#This Row],[GP]]</f>
        <v>#DIV/0!</v>
      </c>
      <c r="BT8">
        <f>COUNTIFS(Table2[AwayTeam],$A8,Table2[PredictedWinner], $A8, Table2[GameIsOver], 1)</f>
        <v>0</v>
      </c>
      <c r="BU8">
        <f>COUNTIFS(Table2[HomeTeam],$A8,Table2[PredictedWinner], $A8, Table2[GameIsOver], 1)</f>
        <v>0</v>
      </c>
      <c r="BV8">
        <f t="shared" si="8"/>
        <v>0</v>
      </c>
      <c r="BW8">
        <f t="shared" si="9"/>
        <v>0</v>
      </c>
      <c r="BX8">
        <f t="shared" si="10"/>
        <v>0</v>
      </c>
      <c r="BY8">
        <f t="shared" si="11"/>
        <v>0</v>
      </c>
      <c r="BZ8" t="e">
        <f>Table3[[#This Row],[TimesPredictedWinner]]/Table3[[#This Row],[GP]]</f>
        <v>#DIV/0!</v>
      </c>
      <c r="CB8">
        <v>2021</v>
      </c>
      <c r="CD8" s="1">
        <v>45751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0</v>
      </c>
      <c r="CJ8">
        <f>SUMIFS(Table2[GamePredictionScore], Table2[HomeTeam], Table3[[#This Row],[Teams]])</f>
        <v>0</v>
      </c>
      <c r="CK8">
        <f>Table3[[#This Row],[Column4]]+Table3[[#This Row],[Column3]]</f>
        <v>0</v>
      </c>
      <c r="CL8" t="e">
        <f>Table3[[#This Row],[Column5]]/Table3[[#This Row],[GP]]</f>
        <v>#DIV/0!</v>
      </c>
      <c r="CR8" t="s">
        <v>143</v>
      </c>
      <c r="CS8">
        <f>SUM($AI$2:$AI$33)</f>
        <v>2</v>
      </c>
      <c r="CY8" t="s">
        <v>153</v>
      </c>
      <c r="CZ8" s="17">
        <f>CZ7*82</f>
        <v>114.80000000000001</v>
      </c>
      <c r="DA8" s="16">
        <f>DA7+((82-CY2)*CZ7)</f>
        <v>114.80000000000001</v>
      </c>
    </row>
    <row r="9" spans="1:144" x14ac:dyDescent="0.25">
      <c r="A9" t="s">
        <v>41</v>
      </c>
      <c r="B9" t="s">
        <v>91</v>
      </c>
      <c r="C9" t="s">
        <v>92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0</v>
      </c>
      <c r="E9" s="10" t="e">
        <f>Table3[[#This Row],[Watched]]/Table3[[#This Row],[GP]]</f>
        <v>#DIV/0!</v>
      </c>
      <c r="F9">
        <f>COUNTIFS(DataRegularSeason20242025!$N$3:$N$1315,1,DataRegularSeason20242025!$D$3:$D$1315,$A9)</f>
        <v>0</v>
      </c>
      <c r="G9">
        <f>41-Table3[[#This Row],[GP_A]]</f>
        <v>41</v>
      </c>
      <c r="H9">
        <f>COUNTIFS(DataRegularSeason20242025!$E$3:$E$1315,$A9,DataRegularSeason20242025!$N$3:$N$1315,1)</f>
        <v>0</v>
      </c>
      <c r="I9">
        <f>41-Table3[[#This Row],[GP_H]]</f>
        <v>41</v>
      </c>
      <c r="J9">
        <f t="shared" si="0"/>
        <v>0</v>
      </c>
      <c r="K9">
        <f>82-Table3[[#This Row],[GP]]</f>
        <v>82</v>
      </c>
      <c r="L9">
        <f>COUNTIFS(DataRegularSeason20242025!$D$3:$D$1315,$A9, DataRegularSeason20242025!$L$3:$L$1315, $A9,DataRegularSeason20242025!$N$3:$N$1315,1)</f>
        <v>0</v>
      </c>
      <c r="M9">
        <f>COUNTIFS(DataRegularSeason20242025!$D$3:$D$1315,$A9, DataRegularSeason20242025!$L$3:$L$1315, $A9,DataRegularSeason20242025!$N$3:$N$1315,1,DataRegularSeason20242025!$M$3:$M$1315,"REG")</f>
        <v>0</v>
      </c>
      <c r="N9">
        <f>COUNTIFS(DataRegularSeason20242025!$D$3:$D$1315,$A9, DataRegularSeason20242025!$L$3:$L$1315, $A9,DataRegularSeason20242025!$N$3:$N$1315,1,DataRegularSeason20242025!$M$3:$M$1315,"OT")</f>
        <v>0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 t="shared" si="1"/>
        <v>0</v>
      </c>
      <c r="Q9">
        <f>COUNTIFS(DataRegularSeason20242025!$D$3:$D$1315,$A9, DataRegularSeason20242025!$S$3:$S$1315, $A9,DataRegularSeason20242025!$M$3:$M$1315,"REG")</f>
        <v>0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0</v>
      </c>
      <c r="U9">
        <f>COUNTIFS(DataRegularSeason20242025!$E$3:$E$1315,$A9, DataRegularSeason20242025!$L$3:$L$1315, $A9,DataRegularSeason20242025!$N$3:$N$1315,1,DataRegularSeason20242025!$M$3:$M$1315,"REG")</f>
        <v>0</v>
      </c>
      <c r="V9">
        <f>COUNTIFS(DataRegularSeason20242025!$E$3:$E$1315,$A9, DataRegularSeason20242025!$L$3:$L$1315, $A9,DataRegularSeason20242025!$N$3:$N$1315,1,DataRegularSeason20242025!$M$3:$M$1315,"OT")</f>
        <v>0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 t="shared" si="2"/>
        <v>0</v>
      </c>
      <c r="Y9">
        <f>COUNTIFS(DataRegularSeason20242025!$E$3:$E$1315,$A9, DataRegularSeason20242025!$S$3:$S$1315, $A9,DataRegularSeason20242025!$M$3:$M$1315,"REG")</f>
        <v>0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</v>
      </c>
      <c r="AC9">
        <f>Table3[[#This Row],[W_A]]+Table3[[#This Row],[W_H]]</f>
        <v>0</v>
      </c>
      <c r="AD9">
        <f>Table3[[#This Row],[L_A]]+Table3[[#This Row],[L_H]]</f>
        <v>0</v>
      </c>
      <c r="AE9">
        <f>Table3[[#This Row],[RW_A]]+Table3[[#This Row],[RW_H]]</f>
        <v>0</v>
      </c>
      <c r="AF9">
        <f>Table3[[#This Row],[RL_A]]+Table3[[#This Row],[RL_H]]</f>
        <v>0</v>
      </c>
      <c r="AG9">
        <f>Table3[[#This Row],[OTW_A]]+Table3[[#This Row],[OTW_H]]</f>
        <v>0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0-0</v>
      </c>
      <c r="AL9">
        <f>SUM(Table3[[#This Row],[OTW]],Table3[[#This Row],[OTL]],Table3[[#This Row],[SOW]],Table3[[#This Row],[SOL]])</f>
        <v>0</v>
      </c>
      <c r="AM9">
        <f>(Table3[[#This Row],[OTW]]+Table3[[#This Row],[SOW]])/IF(Table3[[#This Row],[Total_ExtraTimes]]=0,1,Table3[[#This Row],[Total_ExtraTimes]])</f>
        <v>0</v>
      </c>
      <c r="AN9">
        <f>Table3[[#This Row],[Total_ExtraTimes]]/MAX(1,Table3[[#This Row],[GP]])</f>
        <v>0</v>
      </c>
      <c r="AO9">
        <f>(2*(Table3[[#This Row],[W_A]]+Table3[[#This Row],[W_H]]))+Table3[[#This Row],[OTL_A]]+Table3[[#This Row],[SOL_A]]+Table3[[#This Row],[OTL_H]]+Table3[[#This Row],[SOL_H]]</f>
        <v>0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9" s="10" t="e">
        <f>Table3[[#This Row],[PTS]]/(2*Table3[[#This Row],[GP]])</f>
        <v>#DIV/0!</v>
      </c>
      <c r="AR9" s="10" t="e">
        <f>Table3[[#This Row],[PTS2]]/(3*Table3[[#This Row],[GP]])</f>
        <v>#DIV/0!</v>
      </c>
      <c r="AS9">
        <f>(2*Table3[[#This Row],[GR]])+Table3[[#This Row],[PTS]]</f>
        <v>164</v>
      </c>
      <c r="AT9">
        <f>(3*Table3[[#This Row],[GR]])+Table3[[#This Row],[PTS2]]</f>
        <v>246</v>
      </c>
      <c r="AU9" t="e">
        <f>Table3[[#This Row],[PTS]]+(2 * Table3[[#This Row],[GR]] * Table3[[#This Row],[PTS%]])</f>
        <v>#DIV/0!</v>
      </c>
      <c r="AV9" t="e">
        <f>Table3[[#This Row],[PTS2]]+(3 * Table3[[#This Row],[GR]] * Table3[[#This Row],[PTS%2]])</f>
        <v>#DIV/0!</v>
      </c>
      <c r="AW9" s="15" t="str">
        <f>_xlfn.CONCAT(TEXT(Table3[[#This Row],[W]], "0"), "-", TEXT(Table3[[#This Row],[RL]],"0"), "-", TEXT(Table3[[#This Row],[OTL]]+Table3[[#This Row],[SOL]], "0"))</f>
        <v>0-0-0</v>
      </c>
      <c r="AX9">
        <f>COUNTIFS(DataRegularSeason20242025!$D$3:$D$1315,Table3[[#This Row],[Teams]],DataRegularSeason20242025!$K$3:$K$1315,0)</f>
        <v>0</v>
      </c>
      <c r="AY9">
        <f>SUMIF(DataRegularSeason20242025!$D$3:$D$1315,$A9, DataRegularSeason20242025!$J$3:$J$1315)</f>
        <v>0</v>
      </c>
      <c r="AZ9">
        <f>SUMIF(DataRegularSeason20242025!$D$3:$D$1315,$A9, DataRegularSeason20242025!$K$3:$K$1315)</f>
        <v>0</v>
      </c>
      <c r="BA9">
        <f t="shared" si="3"/>
        <v>0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0</v>
      </c>
      <c r="BD9">
        <f>SUMIF(DataRegularSeason20242025!$E$3:$E$1315,$A9,DataRegularSeason20242025!$J$3:$J$1315)</f>
        <v>0</v>
      </c>
      <c r="BE9">
        <f t="shared" si="4"/>
        <v>0</v>
      </c>
      <c r="BF9">
        <f t="shared" si="5"/>
        <v>0</v>
      </c>
      <c r="BG9">
        <f t="shared" si="6"/>
        <v>0</v>
      </c>
      <c r="BH9">
        <f t="shared" si="7"/>
        <v>0</v>
      </c>
      <c r="BI9" s="12" t="e">
        <f>Table3[[#This Row],[GF]]/Table3[[#This Row],[GP]]</f>
        <v>#DIV/0!</v>
      </c>
      <c r="BJ9" s="12" t="e">
        <f>Table3[[#This Row],[GA]]/Table3[[#This Row],[GP]]</f>
        <v>#DIV/0!</v>
      </c>
      <c r="BK9" s="12" t="e">
        <f>(Table3[[#This Row],[GF]]-Table3[[#This Row],[GA]])/Table3[[#This Row],[GP]]</f>
        <v>#DIV/0!</v>
      </c>
      <c r="BL9" s="42" t="str">
        <f>_xlfn.CONCAT(TEXT(Table3[[#This Row],[W_H]], "0"), "-", TEXT(Table3[[#This Row],[RL_H]],"0"), "-", TEXT(Table3[[#This Row],[OTL_H]]+Table3[[#This Row],[SOL_H]], "0"))</f>
        <v>0-0-0</v>
      </c>
      <c r="BM9" s="42" t="str">
        <f>_xlfn.CONCAT(TEXT(Table3[[#This Row],[W_A]], "0"), "-", TEXT(Table3[[#This Row],[RL_A]],"0"), "-", TEXT(Table3[[#This Row],[OTL_A]]+Table3[[#This Row],[SOL_A]], "0"))</f>
        <v>0-0-0</v>
      </c>
      <c r="BN9" s="42" t="e">
        <f>((2*(Table3[[#This Row],[W_H]]))+Table3[[#This Row],[OTL_H]]+Table3[[#This Row],[SOL_H]])/(2*Table3[[#This Row],[GP_H]])</f>
        <v>#DIV/0!</v>
      </c>
      <c r="BO9" s="42" t="e">
        <f>((2*(Table3[[#This Row],[W_A]]))+Table3[[#This Row],[OTL_A]]+Table3[[#This Row],[SOL_A]])/(2*Table3[[#This Row],[GP_A]])</f>
        <v>#DIV/0!</v>
      </c>
      <c r="BP9" s="16">
        <f>(Table3[[#This Row],[W]]*$CX$3)+(Table3[[#This Row],[L]]*$CX$4)+(Table3[[#This Row],[GF]]*$CX$5)+(Table3[[#This Row],[GA]]*$CX$6)</f>
        <v>0</v>
      </c>
      <c r="BQ9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9" s="16">
        <f>(Table3[[#This Row],[W]]*0.7) + ((Table3[[#This Row],[GF]] - Table3[[#This Row],[GA]])*0.25)+(Table3[[#This Row],[GF]]*0.1)+(Table3[[#This Row],[GA]]*0.05)+(Table3[[#This Row],[L]]*0.3)</f>
        <v>0</v>
      </c>
      <c r="BS9" s="16" t="e">
        <f>Table3[[#This Row],[TeamCost83]]/Table3[[#This Row],[GP]]</f>
        <v>#DIV/0!</v>
      </c>
      <c r="BT9">
        <f>COUNTIFS(Table2[AwayTeam],$A9,Table2[PredictedWinner], $A9, Table2[GameIsOver], 1)</f>
        <v>0</v>
      </c>
      <c r="BU9">
        <f>COUNTIFS(Table2[HomeTeam],$A9,Table2[PredictedWinner], $A9, Table2[GameIsOver], 1)</f>
        <v>0</v>
      </c>
      <c r="BV9">
        <f t="shared" si="8"/>
        <v>0</v>
      </c>
      <c r="BW9">
        <f t="shared" si="9"/>
        <v>0</v>
      </c>
      <c r="BX9">
        <f t="shared" si="10"/>
        <v>0</v>
      </c>
      <c r="BY9">
        <f t="shared" si="11"/>
        <v>0</v>
      </c>
      <c r="BZ9" t="e">
        <f>Table3[[#This Row],[TimesPredictedWinner]]/Table3[[#This Row],[GP]]</f>
        <v>#DIV/0!</v>
      </c>
      <c r="CB9">
        <v>2006</v>
      </c>
      <c r="CD9" s="1">
        <v>45749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0</v>
      </c>
      <c r="CJ9">
        <f>SUMIFS(Table2[GamePredictionScore], Table2[HomeTeam], Table3[[#This Row],[Teams]])</f>
        <v>0</v>
      </c>
      <c r="CK9">
        <f>Table3[[#This Row],[Column4]]+Table3[[#This Row],[Column3]]</f>
        <v>0</v>
      </c>
      <c r="CL9" t="e">
        <f>Table3[[#This Row],[Column5]]/Table3[[#This Row],[GP]]</f>
        <v>#DIV/0!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1.4</v>
      </c>
    </row>
    <row r="10" spans="1:144" x14ac:dyDescent="0.25">
      <c r="A10" t="s">
        <v>36</v>
      </c>
      <c r="B10" t="s">
        <v>90</v>
      </c>
      <c r="C10" t="s">
        <v>88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0</v>
      </c>
      <c r="E10" s="10" t="e">
        <f>Table3[[#This Row],[Watched]]/Table3[[#This Row],[GP]]</f>
        <v>#DIV/0!</v>
      </c>
      <c r="F10">
        <f>COUNTIFS(DataRegularSeason20242025!$N$3:$N$1315,1,DataRegularSeason20242025!$D$3:$D$1315,$A10)</f>
        <v>0</v>
      </c>
      <c r="G10">
        <f>41-Table3[[#This Row],[GP_A]]</f>
        <v>41</v>
      </c>
      <c r="H10">
        <f>COUNTIFS(DataRegularSeason20242025!$E$3:$E$1315,$A10,DataRegularSeason20242025!$N$3:$N$1315,1)</f>
        <v>0</v>
      </c>
      <c r="I10">
        <f>41-Table3[[#This Row],[GP_H]]</f>
        <v>41</v>
      </c>
      <c r="J10">
        <f t="shared" si="0"/>
        <v>0</v>
      </c>
      <c r="K10">
        <f>82-Table3[[#This Row],[GP]]</f>
        <v>82</v>
      </c>
      <c r="L10">
        <f>COUNTIFS(DataRegularSeason20242025!$D$3:$D$1315,$A10, DataRegularSeason20242025!$L$3:$L$1315, $A10,DataRegularSeason20242025!$N$3:$N$1315,1)</f>
        <v>0</v>
      </c>
      <c r="M10">
        <f>COUNTIFS(DataRegularSeason20242025!$D$3:$D$1315,$A10, DataRegularSeason20242025!$L$3:$L$1315, $A10,DataRegularSeason20242025!$N$3:$N$1315,1,DataRegularSeason20242025!$M$3:$M$1315,"REG")</f>
        <v>0</v>
      </c>
      <c r="N10">
        <f>COUNTIFS(DataRegularSeason20242025!$D$3:$D$1315,$A10, DataRegularSeason20242025!$L$3:$L$1315, $A10,DataRegularSeason20242025!$N$3:$N$1315,1,DataRegularSeason20242025!$M$3:$M$1315,"OT")</f>
        <v>0</v>
      </c>
      <c r="O10">
        <f>COUNTIFS(DataRegularSeason20242025!$D$3:$D$1315,$A10, DataRegularSeason20242025!$L$3:$L$1315, $A10,DataRegularSeason20242025!$N$3:$N$1315,1,DataRegularSeason20242025!$M$3:$M$1315,"SO")</f>
        <v>0</v>
      </c>
      <c r="P10">
        <f t="shared" si="1"/>
        <v>0</v>
      </c>
      <c r="Q10">
        <f>COUNTIFS(DataRegularSeason20242025!$D$3:$D$1315,$A10, DataRegularSeason20242025!$S$3:$S$1315, $A10,DataRegularSeason20242025!$M$3:$M$1315,"REG")</f>
        <v>0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0</v>
      </c>
      <c r="U10">
        <f>COUNTIFS(DataRegularSeason20242025!$E$3:$E$1315,$A10, DataRegularSeason20242025!$L$3:$L$1315, $A10,DataRegularSeason20242025!$N$3:$N$1315,1,DataRegularSeason20242025!$M$3:$M$1315,"REG")</f>
        <v>0</v>
      </c>
      <c r="V10">
        <f>COUNTIFS(DataRegularSeason20242025!$E$3:$E$1315,$A10, DataRegularSeason20242025!$L$3:$L$1315, $A10,DataRegularSeason20242025!$N$3:$N$1315,1,DataRegularSeason20242025!$M$3:$M$1315,"OT")</f>
        <v>0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 t="shared" si="2"/>
        <v>0</v>
      </c>
      <c r="Y10">
        <f>COUNTIFS(DataRegularSeason20242025!$E$3:$E$1315,$A10, DataRegularSeason20242025!$S$3:$S$1315, $A10,DataRegularSeason20242025!$M$3:$M$1315,"REG")</f>
        <v>0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</v>
      </c>
      <c r="AC10">
        <f>Table3[[#This Row],[W_A]]+Table3[[#This Row],[W_H]]</f>
        <v>0</v>
      </c>
      <c r="AD10">
        <f>Table3[[#This Row],[L_A]]+Table3[[#This Row],[L_H]]</f>
        <v>0</v>
      </c>
      <c r="AE10">
        <f>Table3[[#This Row],[RW_A]]+Table3[[#This Row],[RW_H]]</f>
        <v>0</v>
      </c>
      <c r="AF10">
        <f>Table3[[#This Row],[RL_A]]+Table3[[#This Row],[RL_H]]</f>
        <v>0</v>
      </c>
      <c r="AG10">
        <f>Table3[[#This Row],[OTW_A]]+Table3[[#This Row],[OTW_H]]</f>
        <v>0</v>
      </c>
      <c r="AH10">
        <f>Table3[[#This Row],[OTL_A]]+Table3[[#This Row],[OTL_H]]</f>
        <v>0</v>
      </c>
      <c r="AI10">
        <f>Table3[[#This Row],[SOW_A]]+Table3[[#This Row],[SOW_H]]</f>
        <v>0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0-0</v>
      </c>
      <c r="AL10">
        <f>SUM(Table3[[#This Row],[OTW]],Table3[[#This Row],[OTL]],Table3[[#This Row],[SOW]],Table3[[#This Row],[SOL]])</f>
        <v>0</v>
      </c>
      <c r="AM10">
        <f>(Table3[[#This Row],[OTW]]+Table3[[#This Row],[SOW]])/IF(Table3[[#This Row],[Total_ExtraTimes]]=0,1,Table3[[#This Row],[Total_ExtraTimes]])</f>
        <v>0</v>
      </c>
      <c r="AN10">
        <f>Table3[[#This Row],[Total_ExtraTimes]]/MAX(1,Table3[[#This Row],[GP]])</f>
        <v>0</v>
      </c>
      <c r="AO10">
        <f>(2*(Table3[[#This Row],[W_A]]+Table3[[#This Row],[W_H]]))+Table3[[#This Row],[OTL_A]]+Table3[[#This Row],[SOL_A]]+Table3[[#This Row],[OTL_H]]+Table3[[#This Row],[SOL_H]]</f>
        <v>0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0" s="10" t="e">
        <f>Table3[[#This Row],[PTS]]/(2*Table3[[#This Row],[GP]])</f>
        <v>#DIV/0!</v>
      </c>
      <c r="AR10" s="10" t="e">
        <f>Table3[[#This Row],[PTS2]]/(3*Table3[[#This Row],[GP]])</f>
        <v>#DIV/0!</v>
      </c>
      <c r="AS10">
        <f>(2*Table3[[#This Row],[GR]])+Table3[[#This Row],[PTS]]</f>
        <v>164</v>
      </c>
      <c r="AT10">
        <f>(3*Table3[[#This Row],[GR]])+Table3[[#This Row],[PTS2]]</f>
        <v>246</v>
      </c>
      <c r="AU10" t="e">
        <f>Table3[[#This Row],[PTS]]+(2 * Table3[[#This Row],[GR]] * Table3[[#This Row],[PTS%]])</f>
        <v>#DIV/0!</v>
      </c>
      <c r="AV10" t="e">
        <f>Table3[[#This Row],[PTS2]]+(3 * Table3[[#This Row],[GR]] * Table3[[#This Row],[PTS%2]])</f>
        <v>#DIV/0!</v>
      </c>
      <c r="AW10" s="15" t="str">
        <f>_xlfn.CONCAT(TEXT(Table3[[#This Row],[W]], "0"), "-", TEXT(Table3[[#This Row],[RL]],"0"), "-", TEXT(Table3[[#This Row],[OTL]]+Table3[[#This Row],[SOL]], "0"))</f>
        <v>0-0-0</v>
      </c>
      <c r="AX10">
        <f>COUNTIFS(DataRegularSeason20242025!$D$3:$D$1315,Table3[[#This Row],[Teams]],DataRegularSeason20242025!$K$3:$K$1315,0)</f>
        <v>0</v>
      </c>
      <c r="AY10">
        <f>SUMIF(DataRegularSeason20242025!$D$3:$D$1315,$A10, DataRegularSeason20242025!$J$3:$J$1315)</f>
        <v>0</v>
      </c>
      <c r="AZ10">
        <f>SUMIF(DataRegularSeason20242025!$D$3:$D$1315,$A10, DataRegularSeason20242025!$K$3:$K$1315)</f>
        <v>0</v>
      </c>
      <c r="BA10">
        <f t="shared" si="3"/>
        <v>0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0</v>
      </c>
      <c r="BD10">
        <f>SUMIF(DataRegularSeason20242025!$E$3:$E$1315,$A10,DataRegularSeason20242025!$J$3:$J$1315)</f>
        <v>0</v>
      </c>
      <c r="BE10">
        <f t="shared" si="4"/>
        <v>0</v>
      </c>
      <c r="BF10">
        <f t="shared" si="5"/>
        <v>0</v>
      </c>
      <c r="BG10">
        <f t="shared" si="6"/>
        <v>0</v>
      </c>
      <c r="BH10">
        <f t="shared" si="7"/>
        <v>0</v>
      </c>
      <c r="BI10" s="12" t="e">
        <f>Table3[[#This Row],[GF]]/Table3[[#This Row],[GP]]</f>
        <v>#DIV/0!</v>
      </c>
      <c r="BJ10" s="12" t="e">
        <f>Table3[[#This Row],[GA]]/Table3[[#This Row],[GP]]</f>
        <v>#DIV/0!</v>
      </c>
      <c r="BK10" s="12" t="e">
        <f>(Table3[[#This Row],[GF]]-Table3[[#This Row],[GA]])/Table3[[#This Row],[GP]]</f>
        <v>#DIV/0!</v>
      </c>
      <c r="BL10" s="42" t="str">
        <f>_xlfn.CONCAT(TEXT(Table3[[#This Row],[W_H]], "0"), "-", TEXT(Table3[[#This Row],[RL_H]],"0"), "-", TEXT(Table3[[#This Row],[OTL_H]]+Table3[[#This Row],[SOL_H]], "0"))</f>
        <v>0-0-0</v>
      </c>
      <c r="BM10" s="42" t="str">
        <f>_xlfn.CONCAT(TEXT(Table3[[#This Row],[W_A]], "0"), "-", TEXT(Table3[[#This Row],[RL_A]],"0"), "-", TEXT(Table3[[#This Row],[OTL_A]]+Table3[[#This Row],[SOL_A]], "0"))</f>
        <v>0-0-0</v>
      </c>
      <c r="BN10" s="42" t="e">
        <f>((2*(Table3[[#This Row],[W_H]]))+Table3[[#This Row],[OTL_H]]+Table3[[#This Row],[SOL_H]])/(2*Table3[[#This Row],[GP_H]])</f>
        <v>#DIV/0!</v>
      </c>
      <c r="BO10" s="42" t="e">
        <f>((2*(Table3[[#This Row],[W_A]]))+Table3[[#This Row],[OTL_A]]+Table3[[#This Row],[SOL_A]])/(2*Table3[[#This Row],[GP_A]])</f>
        <v>#DIV/0!</v>
      </c>
      <c r="BP10" s="16">
        <f>(Table3[[#This Row],[W]]*$CX$3)+(Table3[[#This Row],[L]]*$CX$4)+(Table3[[#This Row],[GF]]*$CX$5)+(Table3[[#This Row],[GA]]*$CX$6)</f>
        <v>0</v>
      </c>
      <c r="BQ10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0" s="16">
        <f>(Table3[[#This Row],[W]]*0.7) + ((Table3[[#This Row],[GF]] - Table3[[#This Row],[GA]])*0.25)+(Table3[[#This Row],[GF]]*0.1)+(Table3[[#This Row],[GA]]*0.05)+(Table3[[#This Row],[L]]*0.3)</f>
        <v>0</v>
      </c>
      <c r="BS10" s="16" t="e">
        <f>Table3[[#This Row],[TeamCost83]]/Table3[[#This Row],[GP]]</f>
        <v>#DIV/0!</v>
      </c>
      <c r="BT10">
        <f>COUNTIFS(Table2[AwayTeam],$A10,Table2[PredictedWinner], $A10, Table2[GameIsOver], 1)</f>
        <v>0</v>
      </c>
      <c r="BU10">
        <f>COUNTIFS(Table2[HomeTeam],$A10,Table2[PredictedWinner], $A10, Table2[GameIsOver], 1)</f>
        <v>0</v>
      </c>
      <c r="BV10">
        <f t="shared" si="8"/>
        <v>0</v>
      </c>
      <c r="BW10">
        <f t="shared" si="9"/>
        <v>0</v>
      </c>
      <c r="BX10">
        <f t="shared" si="10"/>
        <v>0</v>
      </c>
      <c r="BY10">
        <f t="shared" si="11"/>
        <v>0</v>
      </c>
      <c r="BZ10" t="e">
        <f>Table3[[#This Row],[TimesPredictedWinner]]/Table3[[#This Row],[GP]]</f>
        <v>#DIV/0!</v>
      </c>
      <c r="CD10" s="1">
        <v>45762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0</v>
      </c>
      <c r="CJ10">
        <f>SUMIFS(Table2[GamePredictionScore], Table2[HomeTeam], Table3[[#This Row],[Teams]])</f>
        <v>0</v>
      </c>
      <c r="CK10">
        <f>Table3[[#This Row],[Column4]]+Table3[[#This Row],[Column3]]</f>
        <v>0</v>
      </c>
      <c r="CL10" t="e">
        <f>Table3[[#This Row],[Column5]]/Table3[[#This Row],[GP]]</f>
        <v>#DIV/0!</v>
      </c>
      <c r="CR10" t="s">
        <v>147</v>
      </c>
      <c r="CS10" s="1">
        <f>_xlfn.MAXIFS(DataRegularSeason20242025!$B$3:$B$1315,DataRegularSeason20242025!$N$3:$N$1315,1)</f>
        <v>45938</v>
      </c>
      <c r="CW10" t="s">
        <v>153</v>
      </c>
      <c r="CX10" s="16">
        <f>CW9*82</f>
        <v>114.8</v>
      </c>
    </row>
    <row r="11" spans="1:144" x14ac:dyDescent="0.25">
      <c r="A11" t="s">
        <v>29</v>
      </c>
      <c r="B11" t="s">
        <v>91</v>
      </c>
      <c r="C11" t="s">
        <v>74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0</v>
      </c>
      <c r="E11" s="10" t="e">
        <f>Table3[[#This Row],[Watched]]/Table3[[#This Row],[GP]]</f>
        <v>#DIV/0!</v>
      </c>
      <c r="F11">
        <f>COUNTIFS(DataRegularSeason20242025!$N$3:$N$1315,1,DataRegularSeason20242025!$D$3:$D$1315,$A11)</f>
        <v>0</v>
      </c>
      <c r="G11">
        <f>41-Table3[[#This Row],[GP_A]]</f>
        <v>41</v>
      </c>
      <c r="H11">
        <f>COUNTIFS(DataRegularSeason20242025!$E$3:$E$1315,$A11,DataRegularSeason20242025!$N$3:$N$1315,1)</f>
        <v>0</v>
      </c>
      <c r="I11">
        <f>41-Table3[[#This Row],[GP_H]]</f>
        <v>41</v>
      </c>
      <c r="J11">
        <f t="shared" si="0"/>
        <v>0</v>
      </c>
      <c r="K11">
        <f>82-Table3[[#This Row],[GP]]</f>
        <v>82</v>
      </c>
      <c r="L11">
        <f>COUNTIFS(DataRegularSeason20242025!$D$3:$D$1315,$A11, DataRegularSeason20242025!$L$3:$L$1315, $A11,DataRegularSeason20242025!$N$3:$N$1315,1)</f>
        <v>0</v>
      </c>
      <c r="M11">
        <f>COUNTIFS(DataRegularSeason20242025!$D$3:$D$1315,$A11, DataRegularSeason20242025!$L$3:$L$1315, $A11,DataRegularSeason20242025!$N$3:$N$1315,1,DataRegularSeason20242025!$M$3:$M$1315,"REG")</f>
        <v>0</v>
      </c>
      <c r="N11">
        <f>COUNTIFS(DataRegularSeason20242025!$D$3:$D$1315,$A11, DataRegularSeason20242025!$L$3:$L$1315, $A11,DataRegularSeason20242025!$N$3:$N$1315,1,DataRegularSeason20242025!$M$3:$M$1315,"OT")</f>
        <v>0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 t="shared" si="1"/>
        <v>0</v>
      </c>
      <c r="Q11">
        <f>COUNTIFS(DataRegularSeason20242025!$D$3:$D$1315,$A11, DataRegularSeason20242025!$S$3:$S$1315, $A11,DataRegularSeason20242025!$M$3:$M$1315,"REG")</f>
        <v>0</v>
      </c>
      <c r="R11">
        <f>COUNTIFS(DataRegularSeason20242025!$D$3:$D$1315,$A11, DataRegularSeason20242025!$S$3:$S$1315, $A11,DataRegularSeason20242025!$M$3:$M$1315,"OT")</f>
        <v>0</v>
      </c>
      <c r="S11">
        <f>COUNTIFS(DataRegularSeason20242025!$D$3:$D$1315,$A11, DataRegularSeason20242025!$S$3:$S$1315, $A11,DataRegularSeason20242025!$M$3:$M$1315,"SO")</f>
        <v>0</v>
      </c>
      <c r="T11">
        <f>COUNTIFS(DataRegularSeason20242025!$E$3:$E$1315,$A11, DataRegularSeason20242025!$L$3:$L$1315, $A11, DataRegularSeason20242025!$N$3:$N$1315,1)</f>
        <v>0</v>
      </c>
      <c r="U11">
        <f>COUNTIFS(DataRegularSeason20242025!$E$3:$E$1315,$A11, DataRegularSeason20242025!$L$3:$L$1315, $A11,DataRegularSeason20242025!$N$3:$N$1315,1,DataRegularSeason20242025!$M$3:$M$1315,"REG")</f>
        <v>0</v>
      </c>
      <c r="V11">
        <f>COUNTIFS(DataRegularSeason20242025!$E$3:$E$1315,$A11, DataRegularSeason20242025!$L$3:$L$1315, $A11,DataRegularSeason20242025!$N$3:$N$1315,1,DataRegularSeason20242025!$M$3:$M$1315,"OT")</f>
        <v>0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 t="shared" si="2"/>
        <v>0</v>
      </c>
      <c r="Y11">
        <f>COUNTIFS(DataRegularSeason20242025!$E$3:$E$1315,$A11, DataRegularSeason20242025!$S$3:$S$1315, $A11,DataRegularSeason20242025!$M$3:$M$1315,"REG")</f>
        <v>0</v>
      </c>
      <c r="Z11">
        <f>COUNTIFS(DataRegularSeason20242025!$E$3:$E$1315,$A11, DataRegularSeason20242025!$S$3:$S$1315, $A11,DataRegularSeason20242025!$M$3:$M$1315,"OT")</f>
        <v>0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</v>
      </c>
      <c r="AC11">
        <f>Table3[[#This Row],[W_A]]+Table3[[#This Row],[W_H]]</f>
        <v>0</v>
      </c>
      <c r="AD11">
        <f>Table3[[#This Row],[L_A]]+Table3[[#This Row],[L_H]]</f>
        <v>0</v>
      </c>
      <c r="AE11">
        <f>Table3[[#This Row],[RW_A]]+Table3[[#This Row],[RW_H]]</f>
        <v>0</v>
      </c>
      <c r="AF11">
        <f>Table3[[#This Row],[RL_A]]+Table3[[#This Row],[RL_H]]</f>
        <v>0</v>
      </c>
      <c r="AG11">
        <f>Table3[[#This Row],[OTW_A]]+Table3[[#This Row],[OTW_H]]</f>
        <v>0</v>
      </c>
      <c r="AH11">
        <f>Table3[[#This Row],[OTL_A]]+Table3[[#This Row],[OTL_H]]</f>
        <v>0</v>
      </c>
      <c r="AI11">
        <f>Table3[[#This Row],[SOW_A]]+Table3[[#This Row],[SOW_H]]</f>
        <v>0</v>
      </c>
      <c r="AJ11">
        <f>Table3[[#This Row],[SOL_A]]+Table3[[#This Row],[SOL_H]]</f>
        <v>0</v>
      </c>
      <c r="AK11" s="15" t="str">
        <f>_xlfn.CONCAT(TEXT(Table3[[#This Row],[OTW]]+Table3[[#This Row],[SOW]], "0"), "-", TEXT(Table3[[#This Row],[OTL]]+Table3[[#This Row],[SOL]],"0"))</f>
        <v>0-0</v>
      </c>
      <c r="AL11">
        <f>SUM(Table3[[#This Row],[OTW]],Table3[[#This Row],[OTL]],Table3[[#This Row],[SOW]],Table3[[#This Row],[SOL]])</f>
        <v>0</v>
      </c>
      <c r="AM11">
        <f>(Table3[[#This Row],[OTW]]+Table3[[#This Row],[SOW]])/IF(Table3[[#This Row],[Total_ExtraTimes]]=0,1,Table3[[#This Row],[Total_ExtraTimes]])</f>
        <v>0</v>
      </c>
      <c r="AN11">
        <f>Table3[[#This Row],[Total_ExtraTimes]]/MAX(1,Table3[[#This Row],[GP]])</f>
        <v>0</v>
      </c>
      <c r="AO11">
        <f>(2*(Table3[[#This Row],[W_A]]+Table3[[#This Row],[W_H]]))+Table3[[#This Row],[OTL_A]]+Table3[[#This Row],[SOL_A]]+Table3[[#This Row],[OTL_H]]+Table3[[#This Row],[SOL_H]]</f>
        <v>0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1" s="10" t="e">
        <f>Table3[[#This Row],[PTS]]/(2*Table3[[#This Row],[GP]])</f>
        <v>#DIV/0!</v>
      </c>
      <c r="AR11" s="10" t="e">
        <f>Table3[[#This Row],[PTS2]]/(3*Table3[[#This Row],[GP]])</f>
        <v>#DIV/0!</v>
      </c>
      <c r="AS11">
        <f>(2*Table3[[#This Row],[GR]])+Table3[[#This Row],[PTS]]</f>
        <v>164</v>
      </c>
      <c r="AT11">
        <f>(3*Table3[[#This Row],[GR]])+Table3[[#This Row],[PTS2]]</f>
        <v>246</v>
      </c>
      <c r="AU11" t="e">
        <f>Table3[[#This Row],[PTS]]+(2 * Table3[[#This Row],[GR]] * Table3[[#This Row],[PTS%]])</f>
        <v>#DIV/0!</v>
      </c>
      <c r="AV11" t="e">
        <f>Table3[[#This Row],[PTS2]]+(3 * Table3[[#This Row],[GR]] * Table3[[#This Row],[PTS%2]])</f>
        <v>#DIV/0!</v>
      </c>
      <c r="AW11" s="15" t="str">
        <f>_xlfn.CONCAT(TEXT(Table3[[#This Row],[W]], "0"), "-", TEXT(Table3[[#This Row],[RL]],"0"), "-", TEXT(Table3[[#This Row],[OTL]]+Table3[[#This Row],[SOL]], "0"))</f>
        <v>0-0-0</v>
      </c>
      <c r="AX11">
        <f>COUNTIFS(DataRegularSeason20242025!$D$3:$D$1315,Table3[[#This Row],[Teams]],DataRegularSeason20242025!$K$3:$K$1315,0)</f>
        <v>0</v>
      </c>
      <c r="AY11">
        <f>SUMIF(DataRegularSeason20242025!$D$3:$D$1315,$A11, DataRegularSeason20242025!$J$3:$J$1315)</f>
        <v>0</v>
      </c>
      <c r="AZ11">
        <f>SUMIF(DataRegularSeason20242025!$D$3:$D$1315,$A11, DataRegularSeason20242025!$K$3:$K$1315)</f>
        <v>0</v>
      </c>
      <c r="BA11">
        <f t="shared" si="3"/>
        <v>0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0</v>
      </c>
      <c r="BD11">
        <f>SUMIF(DataRegularSeason20242025!$E$3:$E$1315,$A11,DataRegularSeason20242025!$J$3:$J$1315)</f>
        <v>0</v>
      </c>
      <c r="BE11">
        <f t="shared" si="4"/>
        <v>0</v>
      </c>
      <c r="BF11">
        <f t="shared" si="5"/>
        <v>0</v>
      </c>
      <c r="BG11">
        <f t="shared" si="6"/>
        <v>0</v>
      </c>
      <c r="BH11">
        <f t="shared" si="7"/>
        <v>0</v>
      </c>
      <c r="BI11" s="12" t="e">
        <f>Table3[[#This Row],[GF]]/Table3[[#This Row],[GP]]</f>
        <v>#DIV/0!</v>
      </c>
      <c r="BJ11" s="12" t="e">
        <f>Table3[[#This Row],[GA]]/Table3[[#This Row],[GP]]</f>
        <v>#DIV/0!</v>
      </c>
      <c r="BK11" s="12" t="e">
        <f>(Table3[[#This Row],[GF]]-Table3[[#This Row],[GA]])/Table3[[#This Row],[GP]]</f>
        <v>#DIV/0!</v>
      </c>
      <c r="BL11" s="42" t="str">
        <f>_xlfn.CONCAT(TEXT(Table3[[#This Row],[W_H]], "0"), "-", TEXT(Table3[[#This Row],[RL_H]],"0"), "-", TEXT(Table3[[#This Row],[OTL_H]]+Table3[[#This Row],[SOL_H]], "0"))</f>
        <v>0-0-0</v>
      </c>
      <c r="BM11" s="42" t="str">
        <f>_xlfn.CONCAT(TEXT(Table3[[#This Row],[W_A]], "0"), "-", TEXT(Table3[[#This Row],[RL_A]],"0"), "-", TEXT(Table3[[#This Row],[OTL_A]]+Table3[[#This Row],[SOL_A]], "0"))</f>
        <v>0-0-0</v>
      </c>
      <c r="BN11" s="42" t="e">
        <f>((2*(Table3[[#This Row],[W_H]]))+Table3[[#This Row],[OTL_H]]+Table3[[#This Row],[SOL_H]])/(2*Table3[[#This Row],[GP_H]])</f>
        <v>#DIV/0!</v>
      </c>
      <c r="BO11" s="42" t="e">
        <f>((2*(Table3[[#This Row],[W_A]]))+Table3[[#This Row],[OTL_A]]+Table3[[#This Row],[SOL_A]])/(2*Table3[[#This Row],[GP_A]])</f>
        <v>#DIV/0!</v>
      </c>
      <c r="BP11" s="16">
        <f>(Table3[[#This Row],[W]]*$CX$3)+(Table3[[#This Row],[L]]*$CX$4)+(Table3[[#This Row],[GF]]*$CX$5)+(Table3[[#This Row],[GA]]*$CX$6)</f>
        <v>0</v>
      </c>
      <c r="BQ11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1" s="16">
        <f>(Table3[[#This Row],[W]]*0.7) + ((Table3[[#This Row],[GF]] - Table3[[#This Row],[GA]])*0.25)+(Table3[[#This Row],[GF]]*0.1)+(Table3[[#This Row],[GA]]*0.05)+(Table3[[#This Row],[L]]*0.3)</f>
        <v>0</v>
      </c>
      <c r="BS11" s="16" t="e">
        <f>Table3[[#This Row],[TeamCost83]]/Table3[[#This Row],[GP]]</f>
        <v>#DIV/0!</v>
      </c>
      <c r="BT11">
        <f>COUNTIFS(Table2[AwayTeam],$A11,Table2[PredictedWinner], $A11, Table2[GameIsOver], 1)</f>
        <v>0</v>
      </c>
      <c r="BU11">
        <f>COUNTIFS(Table2[HomeTeam],$A11,Table2[PredictedWinner], $A11, Table2[GameIsOver], 1)</f>
        <v>0</v>
      </c>
      <c r="BV11">
        <f t="shared" si="8"/>
        <v>0</v>
      </c>
      <c r="BW11">
        <f t="shared" si="9"/>
        <v>0</v>
      </c>
      <c r="BX11">
        <f t="shared" si="10"/>
        <v>0</v>
      </c>
      <c r="BY11">
        <f t="shared" si="11"/>
        <v>0</v>
      </c>
      <c r="BZ11" t="e">
        <f>Table3[[#This Row],[TimesPredictedWinner]]/Table3[[#This Row],[GP]]</f>
        <v>#DIV/0!</v>
      </c>
      <c r="CD11" s="1">
        <v>45755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0</v>
      </c>
      <c r="CJ11">
        <f>SUMIFS(Table2[GamePredictionScore], Table2[HomeTeam], Table3[[#This Row],[Teams]])</f>
        <v>0</v>
      </c>
      <c r="CK11">
        <f>Table3[[#This Row],[Column4]]+Table3[[#This Row],[Column3]]</f>
        <v>0</v>
      </c>
      <c r="CL11" t="e">
        <f>Table3[[#This Row],[Column5]]/Table3[[#This Row],[GP]]</f>
        <v>#DIV/0!</v>
      </c>
      <c r="CR11" t="s">
        <v>148</v>
      </c>
      <c r="CS11">
        <f>$CS$2/($CS$10-$CS$9)</f>
        <v>7</v>
      </c>
      <c r="CW11">
        <f>ROUND(CZ5,0)</f>
        <v>4</v>
      </c>
    </row>
    <row r="12" spans="1:144" x14ac:dyDescent="0.25">
      <c r="A12" t="s">
        <v>12</v>
      </c>
      <c r="B12" t="s">
        <v>90</v>
      </c>
      <c r="C12" t="s">
        <v>88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0</v>
      </c>
      <c r="E12" s="10" t="e">
        <f>Table3[[#This Row],[Watched]]/Table3[[#This Row],[GP]]</f>
        <v>#DIV/0!</v>
      </c>
      <c r="F12">
        <f>COUNTIFS(DataRegularSeason20242025!$N$3:$N$1315,1,DataRegularSeason20242025!$D$3:$D$1315,$A12)</f>
        <v>0</v>
      </c>
      <c r="G12">
        <f>41-Table3[[#This Row],[GP_A]]</f>
        <v>41</v>
      </c>
      <c r="H12">
        <f>COUNTIFS(DataRegularSeason20242025!$E$3:$E$1315,$A12,DataRegularSeason20242025!$N$3:$N$1315,1)</f>
        <v>0</v>
      </c>
      <c r="I12">
        <f>41-Table3[[#This Row],[GP_H]]</f>
        <v>41</v>
      </c>
      <c r="J12">
        <f t="shared" si="0"/>
        <v>0</v>
      </c>
      <c r="K12">
        <f>82-Table3[[#This Row],[GP]]</f>
        <v>82</v>
      </c>
      <c r="L12">
        <f>COUNTIFS(DataRegularSeason20242025!$D$3:$D$1315,$A12, DataRegularSeason20242025!$L$3:$L$1315, $A12,DataRegularSeason20242025!$N$3:$N$1315,1)</f>
        <v>0</v>
      </c>
      <c r="M12">
        <f>COUNTIFS(DataRegularSeason20242025!$D$3:$D$1315,$A12, DataRegularSeason20242025!$L$3:$L$1315, $A12,DataRegularSeason20242025!$N$3:$N$1315,1,DataRegularSeason20242025!$M$3:$M$1315,"REG")</f>
        <v>0</v>
      </c>
      <c r="N12">
        <f>COUNTIFS(DataRegularSeason20242025!$D$3:$D$1315,$A12, DataRegularSeason20242025!$L$3:$L$1315, $A12,DataRegularSeason20242025!$N$3:$N$1315,1,DataRegularSeason20242025!$M$3:$M$1315,"OT")</f>
        <v>0</v>
      </c>
      <c r="O12">
        <f>COUNTIFS(DataRegularSeason20242025!$D$3:$D$1315,$A12, DataRegularSeason20242025!$L$3:$L$1315, $A12,DataRegularSeason20242025!$N$3:$N$1315,1,DataRegularSeason20242025!$M$3:$M$1315,"SO")</f>
        <v>0</v>
      </c>
      <c r="P12">
        <f t="shared" si="1"/>
        <v>0</v>
      </c>
      <c r="Q12">
        <f>COUNTIFS(DataRegularSeason20242025!$D$3:$D$1315,$A12, DataRegularSeason20242025!$S$3:$S$1315, $A12,DataRegularSeason20242025!$M$3:$M$1315,"REG")</f>
        <v>0</v>
      </c>
      <c r="R12">
        <f>COUNTIFS(DataRegularSeason20242025!$D$3:$D$1315,$A12, DataRegularSeason20242025!$S$3:$S$1315, $A12,DataRegularSeason20242025!$M$3:$M$1315,"OT")</f>
        <v>0</v>
      </c>
      <c r="S12">
        <f>COUNTIFS(DataRegularSeason20242025!$D$3:$D$1315,$A12, DataRegularSeason20242025!$S$3:$S$1315, $A12,DataRegularSeason20242025!$M$3:$M$1315,"SO")</f>
        <v>0</v>
      </c>
      <c r="T12">
        <f>COUNTIFS(DataRegularSeason20242025!$E$3:$E$1315,$A12, DataRegularSeason20242025!$L$3:$L$1315, $A12, DataRegularSeason20242025!$N$3:$N$1315,1)</f>
        <v>0</v>
      </c>
      <c r="U12">
        <f>COUNTIFS(DataRegularSeason20242025!$E$3:$E$1315,$A12, DataRegularSeason20242025!$L$3:$L$1315, $A12,DataRegularSeason20242025!$N$3:$N$1315,1,DataRegularSeason20242025!$M$3:$M$1315,"REG")</f>
        <v>0</v>
      </c>
      <c r="V12">
        <f>COUNTIFS(DataRegularSeason20242025!$E$3:$E$1315,$A12, DataRegularSeason20242025!$L$3:$L$1315, $A12,DataRegularSeason20242025!$N$3:$N$1315,1,DataRegularSeason20242025!$M$3:$M$1315,"OT")</f>
        <v>0</v>
      </c>
      <c r="W12">
        <f>COUNTIFS(DataRegularSeason20242025!$E$3:$E$1315,$A12, DataRegularSeason20242025!$L$3:$L$1315, $A12,DataRegularSeason20242025!$N$3:$N$1315,1,DataRegularSeason20242025!$M$3:$M$1315,"SO")</f>
        <v>0</v>
      </c>
      <c r="X12">
        <f t="shared" si="2"/>
        <v>0</v>
      </c>
      <c r="Y12">
        <f>COUNTIFS(DataRegularSeason20242025!$E$3:$E$1315,$A12, DataRegularSeason20242025!$S$3:$S$1315, $A12,DataRegularSeason20242025!$M$3:$M$1315,"REG")</f>
        <v>0</v>
      </c>
      <c r="Z12">
        <f>COUNTIFS(DataRegularSeason20242025!$E$3:$E$1315,$A12, DataRegularSeason20242025!$S$3:$S$1315, $A12,DataRegularSeason20242025!$M$3:$M$1315,"OT")</f>
        <v>0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</v>
      </c>
      <c r="AC12">
        <f>Table3[[#This Row],[W_A]]+Table3[[#This Row],[W_H]]</f>
        <v>0</v>
      </c>
      <c r="AD12">
        <f>Table3[[#This Row],[L_A]]+Table3[[#This Row],[L_H]]</f>
        <v>0</v>
      </c>
      <c r="AE12">
        <f>Table3[[#This Row],[RW_A]]+Table3[[#This Row],[RW_H]]</f>
        <v>0</v>
      </c>
      <c r="AF12">
        <f>Table3[[#This Row],[RL_A]]+Table3[[#This Row],[RL_H]]</f>
        <v>0</v>
      </c>
      <c r="AG12">
        <f>Table3[[#This Row],[OTW_A]]+Table3[[#This Row],[OTW_H]]</f>
        <v>0</v>
      </c>
      <c r="AH12">
        <f>Table3[[#This Row],[OTL_A]]+Table3[[#This Row],[OTL_H]]</f>
        <v>0</v>
      </c>
      <c r="AI12">
        <f>Table3[[#This Row],[SOW_A]]+Table3[[#This Row],[SOW_H]]</f>
        <v>0</v>
      </c>
      <c r="AJ12">
        <f>Table3[[#This Row],[SOL_A]]+Table3[[#This Row],[SOL_H]]</f>
        <v>0</v>
      </c>
      <c r="AK12" s="15" t="str">
        <f>_xlfn.CONCAT(TEXT(Table3[[#This Row],[OTW]]+Table3[[#This Row],[SOW]], "0"), "-", TEXT(Table3[[#This Row],[OTL]]+Table3[[#This Row],[SOL]],"0"))</f>
        <v>0-0</v>
      </c>
      <c r="AL12">
        <f>SUM(Table3[[#This Row],[OTW]],Table3[[#This Row],[OTL]],Table3[[#This Row],[SOW]],Table3[[#This Row],[SOL]])</f>
        <v>0</v>
      </c>
      <c r="AM12">
        <f>(Table3[[#This Row],[OTW]]+Table3[[#This Row],[SOW]])/IF(Table3[[#This Row],[Total_ExtraTimes]]=0,1,Table3[[#This Row],[Total_ExtraTimes]])</f>
        <v>0</v>
      </c>
      <c r="AN12">
        <f>Table3[[#This Row],[Total_ExtraTimes]]/MAX(1,Table3[[#This Row],[GP]])</f>
        <v>0</v>
      </c>
      <c r="AO12">
        <f>(2*(Table3[[#This Row],[W_A]]+Table3[[#This Row],[W_H]]))+Table3[[#This Row],[OTL_A]]+Table3[[#This Row],[SOL_A]]+Table3[[#This Row],[OTL_H]]+Table3[[#This Row],[SOL_H]]</f>
        <v>0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2" s="10" t="e">
        <f>Table3[[#This Row],[PTS]]/(2*Table3[[#This Row],[GP]])</f>
        <v>#DIV/0!</v>
      </c>
      <c r="AR12" s="10" t="e">
        <f>Table3[[#This Row],[PTS2]]/(3*Table3[[#This Row],[GP]])</f>
        <v>#DIV/0!</v>
      </c>
      <c r="AS12">
        <f>(2*Table3[[#This Row],[GR]])+Table3[[#This Row],[PTS]]</f>
        <v>164</v>
      </c>
      <c r="AT12">
        <f>(3*Table3[[#This Row],[GR]])+Table3[[#This Row],[PTS2]]</f>
        <v>246</v>
      </c>
      <c r="AU12" t="e">
        <f>Table3[[#This Row],[PTS]]+(2 * Table3[[#This Row],[GR]] * Table3[[#This Row],[PTS%]])</f>
        <v>#DIV/0!</v>
      </c>
      <c r="AV12" t="e">
        <f>Table3[[#This Row],[PTS2]]+(3 * Table3[[#This Row],[GR]] * Table3[[#This Row],[PTS%2]])</f>
        <v>#DIV/0!</v>
      </c>
      <c r="AW12" s="15" t="str">
        <f>_xlfn.CONCAT(TEXT(Table3[[#This Row],[W]], "0"), "-", TEXT(Table3[[#This Row],[RL]],"0"), "-", TEXT(Table3[[#This Row],[OTL]]+Table3[[#This Row],[SOL]], "0"))</f>
        <v>0-0-0</v>
      </c>
      <c r="AX12">
        <f>COUNTIFS(DataRegularSeason20242025!$D$3:$D$1315,Table3[[#This Row],[Teams]],DataRegularSeason20242025!$K$3:$K$1315,0)</f>
        <v>0</v>
      </c>
      <c r="AY12">
        <f>SUMIF(DataRegularSeason20242025!$D$3:$D$1315,$A12, DataRegularSeason20242025!$J$3:$J$1315)</f>
        <v>0</v>
      </c>
      <c r="AZ12">
        <f>SUMIF(DataRegularSeason20242025!$D$3:$D$1315,$A12, DataRegularSeason20242025!$K$3:$K$1315)</f>
        <v>0</v>
      </c>
      <c r="BA12">
        <f t="shared" si="3"/>
        <v>0</v>
      </c>
      <c r="BB12">
        <f>COUNTIFS(DataRegularSeason20242025!$E$3:$E$1315,Table3[[#This Row],[Teams]],DataRegularSeason20242025!$J$3:$J$1315,0)</f>
        <v>0</v>
      </c>
      <c r="BC12">
        <f>SUMIF(DataRegularSeason20242025!$E$3:$E$1315,$A12,DataRegularSeason20242025!$K$3:$K$1315)</f>
        <v>0</v>
      </c>
      <c r="BD12">
        <f>SUMIF(DataRegularSeason20242025!$E$3:$E$1315,$A12,DataRegularSeason20242025!$J$3:$J$1315)</f>
        <v>0</v>
      </c>
      <c r="BE12">
        <f t="shared" si="4"/>
        <v>0</v>
      </c>
      <c r="BF12">
        <f t="shared" si="5"/>
        <v>0</v>
      </c>
      <c r="BG12">
        <f t="shared" si="6"/>
        <v>0</v>
      </c>
      <c r="BH12">
        <f t="shared" si="7"/>
        <v>0</v>
      </c>
      <c r="BI12" s="12" t="e">
        <f>Table3[[#This Row],[GF]]/Table3[[#This Row],[GP]]</f>
        <v>#DIV/0!</v>
      </c>
      <c r="BJ12" s="12" t="e">
        <f>Table3[[#This Row],[GA]]/Table3[[#This Row],[GP]]</f>
        <v>#DIV/0!</v>
      </c>
      <c r="BK12" s="12" t="e">
        <f>(Table3[[#This Row],[GF]]-Table3[[#This Row],[GA]])/Table3[[#This Row],[GP]]</f>
        <v>#DIV/0!</v>
      </c>
      <c r="BL12" s="42" t="str">
        <f>_xlfn.CONCAT(TEXT(Table3[[#This Row],[W_H]], "0"), "-", TEXT(Table3[[#This Row],[RL_H]],"0"), "-", TEXT(Table3[[#This Row],[OTL_H]]+Table3[[#This Row],[SOL_H]], "0"))</f>
        <v>0-0-0</v>
      </c>
      <c r="BM12" s="42" t="str">
        <f>_xlfn.CONCAT(TEXT(Table3[[#This Row],[W_A]], "0"), "-", TEXT(Table3[[#This Row],[RL_A]],"0"), "-", TEXT(Table3[[#This Row],[OTL_A]]+Table3[[#This Row],[SOL_A]], "0"))</f>
        <v>0-0-0</v>
      </c>
      <c r="BN12" s="42" t="e">
        <f>((2*(Table3[[#This Row],[W_H]]))+Table3[[#This Row],[OTL_H]]+Table3[[#This Row],[SOL_H]])/(2*Table3[[#This Row],[GP_H]])</f>
        <v>#DIV/0!</v>
      </c>
      <c r="BO12" s="42" t="e">
        <f>((2*(Table3[[#This Row],[W_A]]))+Table3[[#This Row],[OTL_A]]+Table3[[#This Row],[SOL_A]])/(2*Table3[[#This Row],[GP_A]])</f>
        <v>#DIV/0!</v>
      </c>
      <c r="BP12" s="16">
        <f>(Table3[[#This Row],[W]]*$CX$3)+(Table3[[#This Row],[L]]*$CX$4)+(Table3[[#This Row],[GF]]*$CX$5)+(Table3[[#This Row],[GA]]*$CX$6)</f>
        <v>0</v>
      </c>
      <c r="BQ12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2" s="16">
        <f>(Table3[[#This Row],[W]]*0.7) + ((Table3[[#This Row],[GF]] - Table3[[#This Row],[GA]])*0.25)+(Table3[[#This Row],[GF]]*0.1)+(Table3[[#This Row],[GA]]*0.05)+(Table3[[#This Row],[L]]*0.3)</f>
        <v>0</v>
      </c>
      <c r="BS12" s="16" t="e">
        <f>Table3[[#This Row],[TeamCost83]]/Table3[[#This Row],[GP]]</f>
        <v>#DIV/0!</v>
      </c>
      <c r="BT12">
        <f>COUNTIFS(Table2[AwayTeam],$A12,Table2[PredictedWinner], $A12, Table2[GameIsOver], 1)</f>
        <v>0</v>
      </c>
      <c r="BU12">
        <f>COUNTIFS(Table2[HomeTeam],$A12,Table2[PredictedWinner], $A12, Table2[GameIsOver], 1)</f>
        <v>0</v>
      </c>
      <c r="BV12">
        <f t="shared" si="8"/>
        <v>0</v>
      </c>
      <c r="BW12">
        <f t="shared" si="9"/>
        <v>0</v>
      </c>
      <c r="BX12">
        <f t="shared" si="10"/>
        <v>0</v>
      </c>
      <c r="BY12">
        <f t="shared" si="11"/>
        <v>0</v>
      </c>
      <c r="BZ12" t="e">
        <f>Table3[[#This Row],[TimesPredictedWinner]]/Table3[[#This Row],[GP]]</f>
        <v>#DIV/0!</v>
      </c>
      <c r="CB12">
        <v>2019</v>
      </c>
      <c r="CD12" s="1">
        <v>45762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0</v>
      </c>
      <c r="CJ12">
        <f>SUMIFS(Table2[GamePredictionScore], Table2[HomeTeam], Table3[[#This Row],[Teams]])</f>
        <v>0</v>
      </c>
      <c r="CK12">
        <f>Table3[[#This Row],[Column4]]+Table3[[#This Row],[Column3]]</f>
        <v>0</v>
      </c>
      <c r="CL12" t="e">
        <f>Table3[[#This Row],[Column5]]/Table3[[#This Row],[GP]]</f>
        <v>#DIV/0!</v>
      </c>
      <c r="CR12" t="s">
        <v>149</v>
      </c>
      <c r="CS12">
        <f>$CS$3/($CS$10-$CS$9)</f>
        <v>5</v>
      </c>
    </row>
    <row r="13" spans="1:144" x14ac:dyDescent="0.25">
      <c r="A13" t="s">
        <v>23</v>
      </c>
      <c r="B13" t="s">
        <v>90</v>
      </c>
      <c r="C13" t="s">
        <v>93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1</v>
      </c>
      <c r="E13" s="10">
        <f>Table3[[#This Row],[Watched]]/Table3[[#This Row],[GP]]</f>
        <v>1</v>
      </c>
      <c r="F13">
        <f>COUNTIFS(DataRegularSeason20242025!$N$3:$N$1315,1,DataRegularSeason20242025!$D$3:$D$1315,$A13)</f>
        <v>1</v>
      </c>
      <c r="G13">
        <f>41-Table3[[#This Row],[GP_A]]</f>
        <v>40</v>
      </c>
      <c r="H13">
        <f>COUNTIFS(DataRegularSeason20242025!$E$3:$E$1315,$A13,DataRegularSeason20242025!$N$3:$N$1315,1)</f>
        <v>0</v>
      </c>
      <c r="I13">
        <f>41-Table3[[#This Row],[GP_H]]</f>
        <v>41</v>
      </c>
      <c r="J13">
        <f t="shared" si="0"/>
        <v>1</v>
      </c>
      <c r="K13">
        <f>82-Table3[[#This Row],[GP]]</f>
        <v>81</v>
      </c>
      <c r="L13">
        <f>COUNTIFS(DataRegularSeason20242025!$D$3:$D$1315,$A13, DataRegularSeason20242025!$L$3:$L$1315, $A13,DataRegularSeason20242025!$N$3:$N$1315,1)</f>
        <v>1</v>
      </c>
      <c r="M13">
        <f>COUNTIFS(DataRegularSeason20242025!$D$3:$D$1315,$A13, DataRegularSeason20242025!$L$3:$L$1315, $A13,DataRegularSeason20242025!$N$3:$N$1315,1,DataRegularSeason20242025!$M$3:$M$1315,"REG")</f>
        <v>0</v>
      </c>
      <c r="N13">
        <f>COUNTIFS(DataRegularSeason20242025!$D$3:$D$1315,$A13, DataRegularSeason20242025!$L$3:$L$1315, $A13,DataRegularSeason20242025!$N$3:$N$1315,1,DataRegularSeason20242025!$M$3:$M$1315,"OT")</f>
        <v>0</v>
      </c>
      <c r="O13">
        <f>COUNTIFS(DataRegularSeason20242025!$D$3:$D$1315,$A13, DataRegularSeason20242025!$L$3:$L$1315, $A13,DataRegularSeason20242025!$N$3:$N$1315,1,DataRegularSeason20242025!$M$3:$M$1315,"SO")</f>
        <v>1</v>
      </c>
      <c r="P13">
        <f t="shared" si="1"/>
        <v>0</v>
      </c>
      <c r="Q13">
        <f>COUNTIFS(DataRegularSeason20242025!$D$3:$D$1315,$A13, DataRegularSeason20242025!$S$3:$S$1315, $A13,DataRegularSeason20242025!$M$3:$M$1315,"REG")</f>
        <v>0</v>
      </c>
      <c r="R13">
        <f>COUNTIFS(DataRegularSeason20242025!$D$3:$D$1315,$A13, DataRegularSeason20242025!$S$3:$S$1315, $A13,DataRegularSeason20242025!$M$3:$M$1315,"OT")</f>
        <v>0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0</v>
      </c>
      <c r="U13">
        <f>COUNTIFS(DataRegularSeason20242025!$E$3:$E$1315,$A13, DataRegularSeason20242025!$L$3:$L$1315, $A13,DataRegularSeason20242025!$N$3:$N$1315,1,DataRegularSeason20242025!$M$3:$M$1315,"REG")</f>
        <v>0</v>
      </c>
      <c r="V13">
        <f>COUNTIFS(DataRegularSeason20242025!$E$3:$E$1315,$A13, DataRegularSeason20242025!$L$3:$L$1315, $A13,DataRegularSeason20242025!$N$3:$N$1315,1,DataRegularSeason20242025!$M$3:$M$1315,"OT")</f>
        <v>0</v>
      </c>
      <c r="W13">
        <f>COUNTIFS(DataRegularSeason20242025!$E$3:$E$1315,$A13, DataRegularSeason20242025!$L$3:$L$1315, $A13,DataRegularSeason20242025!$N$3:$N$1315,1,DataRegularSeason20242025!$M$3:$M$1315,"SO")</f>
        <v>0</v>
      </c>
      <c r="X13">
        <f t="shared" si="2"/>
        <v>0</v>
      </c>
      <c r="Y13">
        <f>COUNTIFS(DataRegularSeason20242025!$E$3:$E$1315,$A13, DataRegularSeason20242025!$S$3:$S$1315, $A13,DataRegularSeason20242025!$M$3:$M$1315,"REG")</f>
        <v>0</v>
      </c>
      <c r="Z13">
        <f>COUNTIFS(DataRegularSeason20242025!$E$3:$E$1315,$A13, DataRegularSeason20242025!$S$3:$S$1315, $A13,DataRegularSeason20242025!$M$3:$M$1315,"OT")</f>
        <v>0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1</v>
      </c>
      <c r="AC13">
        <f>Table3[[#This Row],[W_A]]+Table3[[#This Row],[W_H]]</f>
        <v>1</v>
      </c>
      <c r="AD13">
        <f>Table3[[#This Row],[L_A]]+Table3[[#This Row],[L_H]]</f>
        <v>0</v>
      </c>
      <c r="AE13">
        <f>Table3[[#This Row],[RW_A]]+Table3[[#This Row],[RW_H]]</f>
        <v>0</v>
      </c>
      <c r="AF13">
        <f>Table3[[#This Row],[RL_A]]+Table3[[#This Row],[RL_H]]</f>
        <v>0</v>
      </c>
      <c r="AG13">
        <f>Table3[[#This Row],[OTW_A]]+Table3[[#This Row],[OTW_H]]</f>
        <v>0</v>
      </c>
      <c r="AH13">
        <f>Table3[[#This Row],[OTL_A]]+Table3[[#This Row],[OTL_H]]</f>
        <v>0</v>
      </c>
      <c r="AI13">
        <f>Table3[[#This Row],[SOW_A]]+Table3[[#This Row],[SOW_H]]</f>
        <v>1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1-0</v>
      </c>
      <c r="AL13">
        <f>SUM(Table3[[#This Row],[OTW]],Table3[[#This Row],[OTL]],Table3[[#This Row],[SOW]],Table3[[#This Row],[SOL]])</f>
        <v>1</v>
      </c>
      <c r="AM13">
        <f>(Table3[[#This Row],[OTW]]+Table3[[#This Row],[SOW]])/IF(Table3[[#This Row],[Total_ExtraTimes]]=0,1,Table3[[#This Row],[Total_ExtraTimes]])</f>
        <v>1</v>
      </c>
      <c r="AN13">
        <f>Table3[[#This Row],[Total_ExtraTimes]]/MAX(1,Table3[[#This Row],[GP]])</f>
        <v>1</v>
      </c>
      <c r="AO13">
        <f>(2*(Table3[[#This Row],[W_A]]+Table3[[#This Row],[W_H]]))+Table3[[#This Row],[OTL_A]]+Table3[[#This Row],[SOL_A]]+Table3[[#This Row],[OTL_H]]+Table3[[#This Row],[SOL_H]]</f>
        <v>2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13" s="10">
        <f>Table3[[#This Row],[PTS]]/(2*Table3[[#This Row],[GP]])</f>
        <v>1</v>
      </c>
      <c r="AR13" s="10">
        <f>Table3[[#This Row],[PTS2]]/(3*Table3[[#This Row],[GP]])</f>
        <v>0.66666666666666663</v>
      </c>
      <c r="AS13">
        <f>(2*Table3[[#This Row],[GR]])+Table3[[#This Row],[PTS]]</f>
        <v>164</v>
      </c>
      <c r="AT13">
        <f>(3*Table3[[#This Row],[GR]])+Table3[[#This Row],[PTS2]]</f>
        <v>245</v>
      </c>
      <c r="AU13">
        <f>Table3[[#This Row],[PTS]]+(2 * Table3[[#This Row],[GR]] * Table3[[#This Row],[PTS%]])</f>
        <v>164</v>
      </c>
      <c r="AV13">
        <f>Table3[[#This Row],[PTS2]]+(3 * Table3[[#This Row],[GR]] * Table3[[#This Row],[PTS%2]])</f>
        <v>164</v>
      </c>
      <c r="AW13" s="15" t="str">
        <f>_xlfn.CONCAT(TEXT(Table3[[#This Row],[W]], "0"), "-", TEXT(Table3[[#This Row],[RL]],"0"), "-", TEXT(Table3[[#This Row],[OTL]]+Table3[[#This Row],[SOL]], "0"))</f>
        <v>1-0-0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4</v>
      </c>
      <c r="AZ13">
        <f>SUMIF(DataRegularSeason20242025!$D$3:$D$1315,$A13, DataRegularSeason20242025!$K$3:$K$1315)</f>
        <v>3</v>
      </c>
      <c r="BA13">
        <f t="shared" si="3"/>
        <v>1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0</v>
      </c>
      <c r="BD13">
        <f>SUMIF(DataRegularSeason20242025!$E$3:$E$1315,$A13,DataRegularSeason20242025!$J$3:$J$1315)</f>
        <v>0</v>
      </c>
      <c r="BE13">
        <f t="shared" si="4"/>
        <v>0</v>
      </c>
      <c r="BF13">
        <f t="shared" si="5"/>
        <v>4</v>
      </c>
      <c r="BG13">
        <f t="shared" si="6"/>
        <v>3</v>
      </c>
      <c r="BH13">
        <f t="shared" si="7"/>
        <v>1</v>
      </c>
      <c r="BI13" s="12">
        <f>Table3[[#This Row],[GF]]/Table3[[#This Row],[GP]]</f>
        <v>4</v>
      </c>
      <c r="BJ13" s="12">
        <f>Table3[[#This Row],[GA]]/Table3[[#This Row],[GP]]</f>
        <v>3</v>
      </c>
      <c r="BK13" s="12">
        <f>(Table3[[#This Row],[GF]]-Table3[[#This Row],[GA]])/Table3[[#This Row],[GP]]</f>
        <v>1</v>
      </c>
      <c r="BL13" s="42" t="str">
        <f>_xlfn.CONCAT(TEXT(Table3[[#This Row],[W_H]], "0"), "-", TEXT(Table3[[#This Row],[RL_H]],"0"), "-", TEXT(Table3[[#This Row],[OTL_H]]+Table3[[#This Row],[SOL_H]], "0"))</f>
        <v>0-0-0</v>
      </c>
      <c r="BM13" s="42" t="str">
        <f>_xlfn.CONCAT(TEXT(Table3[[#This Row],[W_A]], "0"), "-", TEXT(Table3[[#This Row],[RL_A]],"0"), "-", TEXT(Table3[[#This Row],[OTL_A]]+Table3[[#This Row],[SOL_A]], "0"))</f>
        <v>1-0-0</v>
      </c>
      <c r="BN13" s="42" t="e">
        <f>((2*(Table3[[#This Row],[W_H]]))+Table3[[#This Row],[OTL_H]]+Table3[[#This Row],[SOL_H]])/(2*Table3[[#This Row],[GP_H]])</f>
        <v>#DIV/0!</v>
      </c>
      <c r="BO13" s="42">
        <f>((2*(Table3[[#This Row],[W_A]]))+Table3[[#This Row],[OTL_A]]+Table3[[#This Row],[SOL_A]])/(2*Table3[[#This Row],[GP_A]])</f>
        <v>1</v>
      </c>
      <c r="BP13" s="16">
        <f>(Table3[[#This Row],[W]]*$CX$3)+(Table3[[#This Row],[L]]*$CX$4)+(Table3[[#This Row],[GF]]*$CX$5)+(Table3[[#This Row],[GA]]*$CX$6)</f>
        <v>1.4000000000000001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116.2</v>
      </c>
      <c r="BR13" s="16">
        <f>(Table3[[#This Row],[W]]*0.7) + ((Table3[[#This Row],[GF]] - Table3[[#This Row],[GA]])*0.25)+(Table3[[#This Row],[GF]]*0.1)+(Table3[[#This Row],[GA]]*0.05)+(Table3[[#This Row],[L]]*0.3)</f>
        <v>1.5</v>
      </c>
      <c r="BS13" s="16">
        <f>Table3[[#This Row],[TeamCost83]]/Table3[[#This Row],[GP]]</f>
        <v>1.5</v>
      </c>
      <c r="BT13">
        <f>COUNTIFS(Table2[AwayTeam],$A13,Table2[PredictedWinner], $A13, Table2[GameIsOver], 1)</f>
        <v>0</v>
      </c>
      <c r="BU13">
        <f>COUNTIFS(Table2[HomeTeam],$A13,Table2[PredictedWinner], $A13, Table2[GameIsOver], 1)</f>
        <v>0</v>
      </c>
      <c r="BV13">
        <f t="shared" si="8"/>
        <v>0</v>
      </c>
      <c r="BW13">
        <f t="shared" si="9"/>
        <v>1</v>
      </c>
      <c r="BX13">
        <f t="shared" si="10"/>
        <v>0</v>
      </c>
      <c r="BY13">
        <f t="shared" si="11"/>
        <v>1</v>
      </c>
      <c r="BZ13">
        <f>Table3[[#This Row],[TimesPredictedWinner]]/Table3[[#This Row],[GP]]</f>
        <v>0</v>
      </c>
      <c r="CB13">
        <v>1989</v>
      </c>
      <c r="CC13" s="1">
        <v>45762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0.1</v>
      </c>
      <c r="CJ13">
        <f>SUMIFS(Table2[GamePredictionScore], Table2[HomeTeam], Table3[[#This Row],[Teams]])</f>
        <v>0</v>
      </c>
      <c r="CK13">
        <f>Table3[[#This Row],[Column4]]+Table3[[#This Row],[Column3]]</f>
        <v>0.1</v>
      </c>
      <c r="CL13">
        <f>Table3[[#This Row],[Column5]]/Table3[[#This Row],[GP]]</f>
        <v>0.1</v>
      </c>
      <c r="CR13" t="s">
        <v>154</v>
      </c>
      <c r="CS13">
        <f>(CS5/CS2)/2</f>
        <v>3</v>
      </c>
    </row>
    <row r="14" spans="1:144" x14ac:dyDescent="0.25">
      <c r="A14" t="s">
        <v>31</v>
      </c>
      <c r="B14" t="s">
        <v>91</v>
      </c>
      <c r="C14" t="s">
        <v>92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0</v>
      </c>
      <c r="E14" s="10" t="e">
        <f>Table3[[#This Row],[Watched]]/Table3[[#This Row],[GP]]</f>
        <v>#DIV/0!</v>
      </c>
      <c r="F14">
        <f>COUNTIFS(DataRegularSeason20242025!$N$3:$N$1315,1,DataRegularSeason20242025!$D$3:$D$1315,$A14)</f>
        <v>0</v>
      </c>
      <c r="G14">
        <f>41-Table3[[#This Row],[GP_A]]</f>
        <v>41</v>
      </c>
      <c r="H14">
        <f>COUNTIFS(DataRegularSeason20242025!$E$3:$E$1315,$A14,DataRegularSeason20242025!$N$3:$N$1315,1)</f>
        <v>0</v>
      </c>
      <c r="I14">
        <f>41-Table3[[#This Row],[GP_H]]</f>
        <v>41</v>
      </c>
      <c r="J14">
        <f t="shared" si="0"/>
        <v>0</v>
      </c>
      <c r="K14">
        <f>82-Table3[[#This Row],[GP]]</f>
        <v>82</v>
      </c>
      <c r="L14">
        <f>COUNTIFS(DataRegularSeason20242025!$D$3:$D$1315,$A14, DataRegularSeason20242025!$L$3:$L$1315, $A14,DataRegularSeason20242025!$N$3:$N$1315,1)</f>
        <v>0</v>
      </c>
      <c r="M14">
        <f>COUNTIFS(DataRegularSeason20242025!$D$3:$D$1315,$A14, DataRegularSeason20242025!$L$3:$L$1315, $A14,DataRegularSeason20242025!$N$3:$N$1315,1,DataRegularSeason20242025!$M$3:$M$1315,"REG")</f>
        <v>0</v>
      </c>
      <c r="N14">
        <f>COUNTIFS(DataRegularSeason20242025!$D$3:$D$1315,$A14, DataRegularSeason20242025!$L$3:$L$1315, $A14,DataRegularSeason20242025!$N$3:$N$1315,1,DataRegularSeason20242025!$M$3:$M$1315,"OT")</f>
        <v>0</v>
      </c>
      <c r="O14">
        <f>COUNTIFS(DataRegularSeason20242025!$D$3:$D$1315,$A14, DataRegularSeason20242025!$L$3:$L$1315, $A14,DataRegularSeason20242025!$N$3:$N$1315,1,DataRegularSeason20242025!$M$3:$M$1315,"SO")</f>
        <v>0</v>
      </c>
      <c r="P14">
        <f t="shared" si="1"/>
        <v>0</v>
      </c>
      <c r="Q14">
        <f>COUNTIFS(DataRegularSeason20242025!$D$3:$D$1315,$A14, DataRegularSeason20242025!$S$3:$S$1315, $A14,DataRegularSeason20242025!$M$3:$M$1315,"REG")</f>
        <v>0</v>
      </c>
      <c r="R14">
        <f>COUNTIFS(DataRegularSeason20242025!$D$3:$D$1315,$A14, DataRegularSeason20242025!$S$3:$S$1315, $A14,DataRegularSeason20242025!$M$3:$M$1315,"OT")</f>
        <v>0</v>
      </c>
      <c r="S14">
        <f>COUNTIFS(DataRegularSeason20242025!$D$3:$D$1315,$A14, DataRegularSeason20242025!$S$3:$S$1315, $A14,DataRegularSeason20242025!$M$3:$M$1315,"SO")</f>
        <v>0</v>
      </c>
      <c r="T14">
        <f>COUNTIFS(DataRegularSeason20242025!$E$3:$E$1315,$A14, DataRegularSeason20242025!$L$3:$L$1315, $A14, DataRegularSeason20242025!$N$3:$N$1315,1)</f>
        <v>0</v>
      </c>
      <c r="U14">
        <f>COUNTIFS(DataRegularSeason20242025!$E$3:$E$1315,$A14, DataRegularSeason20242025!$L$3:$L$1315, $A14,DataRegularSeason20242025!$N$3:$N$1315,1,DataRegularSeason20242025!$M$3:$M$1315,"REG")</f>
        <v>0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 t="shared" si="2"/>
        <v>0</v>
      </c>
      <c r="Y14">
        <f>COUNTIFS(DataRegularSeason20242025!$E$3:$E$1315,$A14, DataRegularSeason20242025!$S$3:$S$1315, $A14,DataRegularSeason20242025!$M$3:$M$1315,"REG")</f>
        <v>0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</v>
      </c>
      <c r="AC14">
        <f>Table3[[#This Row],[W_A]]+Table3[[#This Row],[W_H]]</f>
        <v>0</v>
      </c>
      <c r="AD14">
        <f>Table3[[#This Row],[L_A]]+Table3[[#This Row],[L_H]]</f>
        <v>0</v>
      </c>
      <c r="AE14">
        <f>Table3[[#This Row],[RW_A]]+Table3[[#This Row],[RW_H]]</f>
        <v>0</v>
      </c>
      <c r="AF14">
        <f>Table3[[#This Row],[RL_A]]+Table3[[#This Row],[RL_H]]</f>
        <v>0</v>
      </c>
      <c r="AG14">
        <f>Table3[[#This Row],[OTW_A]]+Table3[[#This Row],[OTW_H]]</f>
        <v>0</v>
      </c>
      <c r="AH14">
        <f>Table3[[#This Row],[OTL_A]]+Table3[[#This Row],[OTL_H]]</f>
        <v>0</v>
      </c>
      <c r="AI14">
        <f>Table3[[#This Row],[SOW_A]]+Table3[[#This Row],[SOW_H]]</f>
        <v>0</v>
      </c>
      <c r="AJ14">
        <f>Table3[[#This Row],[SOL_A]]+Table3[[#This Row],[SOL_H]]</f>
        <v>0</v>
      </c>
      <c r="AK14" s="15" t="str">
        <f>_xlfn.CONCAT(TEXT(Table3[[#This Row],[OTW]]+Table3[[#This Row],[SOW]], "0"), "-", TEXT(Table3[[#This Row],[OTL]]+Table3[[#This Row],[SOL]],"0"))</f>
        <v>0-0</v>
      </c>
      <c r="AL14">
        <f>SUM(Table3[[#This Row],[OTW]],Table3[[#This Row],[OTL]],Table3[[#This Row],[SOW]],Table3[[#This Row],[SOL]])</f>
        <v>0</v>
      </c>
      <c r="AM14">
        <f>(Table3[[#This Row],[OTW]]+Table3[[#This Row],[SOW]])/IF(Table3[[#This Row],[Total_ExtraTimes]]=0,1,Table3[[#This Row],[Total_ExtraTimes]])</f>
        <v>0</v>
      </c>
      <c r="AN14">
        <f>Table3[[#This Row],[Total_ExtraTimes]]/MAX(1,Table3[[#This Row],[GP]])</f>
        <v>0</v>
      </c>
      <c r="AO14">
        <f>(2*(Table3[[#This Row],[W_A]]+Table3[[#This Row],[W_H]]))+Table3[[#This Row],[OTL_A]]+Table3[[#This Row],[SOL_A]]+Table3[[#This Row],[OTL_H]]+Table3[[#This Row],[SOL_H]]</f>
        <v>0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4" s="10" t="e">
        <f>Table3[[#This Row],[PTS]]/(2*Table3[[#This Row],[GP]])</f>
        <v>#DIV/0!</v>
      </c>
      <c r="AR14" s="10" t="e">
        <f>Table3[[#This Row],[PTS2]]/(3*Table3[[#This Row],[GP]])</f>
        <v>#DIV/0!</v>
      </c>
      <c r="AS14">
        <f>(2*Table3[[#This Row],[GR]])+Table3[[#This Row],[PTS]]</f>
        <v>164</v>
      </c>
      <c r="AT14">
        <f>(3*Table3[[#This Row],[GR]])+Table3[[#This Row],[PTS2]]</f>
        <v>246</v>
      </c>
      <c r="AU14" t="e">
        <f>Table3[[#This Row],[PTS]]+(2 * Table3[[#This Row],[GR]] * Table3[[#This Row],[PTS%]])</f>
        <v>#DIV/0!</v>
      </c>
      <c r="AV14" t="e">
        <f>Table3[[#This Row],[PTS2]]+(3 * Table3[[#This Row],[GR]] * Table3[[#This Row],[PTS%2]])</f>
        <v>#DIV/0!</v>
      </c>
      <c r="AW14" s="15" t="str">
        <f>_xlfn.CONCAT(TEXT(Table3[[#This Row],[W]], "0"), "-", TEXT(Table3[[#This Row],[RL]],"0"), "-", TEXT(Table3[[#This Row],[OTL]]+Table3[[#This Row],[SOL]], "0"))</f>
        <v>0-0-0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0</v>
      </c>
      <c r="AZ14">
        <f>SUMIF(DataRegularSeason20242025!$D$3:$D$1315,$A14, DataRegularSeason20242025!$K$3:$K$1315)</f>
        <v>0</v>
      </c>
      <c r="BA14">
        <f t="shared" si="3"/>
        <v>0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0</v>
      </c>
      <c r="BD14">
        <f>SUMIF(DataRegularSeason20242025!$E$3:$E$1315,$A14,DataRegularSeason20242025!$J$3:$J$1315)</f>
        <v>0</v>
      </c>
      <c r="BE14">
        <f t="shared" si="4"/>
        <v>0</v>
      </c>
      <c r="BF14">
        <f t="shared" si="5"/>
        <v>0</v>
      </c>
      <c r="BG14">
        <f t="shared" si="6"/>
        <v>0</v>
      </c>
      <c r="BH14">
        <f t="shared" si="7"/>
        <v>0</v>
      </c>
      <c r="BI14" s="12" t="e">
        <f>Table3[[#This Row],[GF]]/Table3[[#This Row],[GP]]</f>
        <v>#DIV/0!</v>
      </c>
      <c r="BJ14" s="12" t="e">
        <f>Table3[[#This Row],[GA]]/Table3[[#This Row],[GP]]</f>
        <v>#DIV/0!</v>
      </c>
      <c r="BK14" s="12" t="e">
        <f>(Table3[[#This Row],[GF]]-Table3[[#This Row],[GA]])/Table3[[#This Row],[GP]]</f>
        <v>#DIV/0!</v>
      </c>
      <c r="BL14" s="42" t="str">
        <f>_xlfn.CONCAT(TEXT(Table3[[#This Row],[W_H]], "0"), "-", TEXT(Table3[[#This Row],[RL_H]],"0"), "-", TEXT(Table3[[#This Row],[OTL_H]]+Table3[[#This Row],[SOL_H]], "0"))</f>
        <v>0-0-0</v>
      </c>
      <c r="BM14" s="42" t="str">
        <f>_xlfn.CONCAT(TEXT(Table3[[#This Row],[W_A]], "0"), "-", TEXT(Table3[[#This Row],[RL_A]],"0"), "-", TEXT(Table3[[#This Row],[OTL_A]]+Table3[[#This Row],[SOL_A]], "0"))</f>
        <v>0-0-0</v>
      </c>
      <c r="BN14" s="42" t="e">
        <f>((2*(Table3[[#This Row],[W_H]]))+Table3[[#This Row],[OTL_H]]+Table3[[#This Row],[SOL_H]])/(2*Table3[[#This Row],[GP_H]])</f>
        <v>#DIV/0!</v>
      </c>
      <c r="BO14" s="42" t="e">
        <f>((2*(Table3[[#This Row],[W_A]]))+Table3[[#This Row],[OTL_A]]+Table3[[#This Row],[SOL_A]])/(2*Table3[[#This Row],[GP_A]])</f>
        <v>#DIV/0!</v>
      </c>
      <c r="BP14" s="16">
        <f>(Table3[[#This Row],[W]]*$CX$3)+(Table3[[#This Row],[L]]*$CX$4)+(Table3[[#This Row],[GF]]*$CX$5)+(Table3[[#This Row],[GA]]*$CX$6)</f>
        <v>0</v>
      </c>
      <c r="BQ14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4" s="16">
        <f>(Table3[[#This Row],[W]]*0.7) + ((Table3[[#This Row],[GF]] - Table3[[#This Row],[GA]])*0.25)+(Table3[[#This Row],[GF]]*0.1)+(Table3[[#This Row],[GA]]*0.05)+(Table3[[#This Row],[L]]*0.3)</f>
        <v>0</v>
      </c>
      <c r="BS14" s="16" t="e">
        <f>Table3[[#This Row],[TeamCost83]]/Table3[[#This Row],[GP]]</f>
        <v>#DIV/0!</v>
      </c>
      <c r="BT14">
        <f>COUNTIFS(Table2[AwayTeam],$A14,Table2[PredictedWinner], $A14, Table2[GameIsOver], 1)</f>
        <v>0</v>
      </c>
      <c r="BU14">
        <f>COUNTIFS(Table2[HomeTeam],$A14,Table2[PredictedWinner], $A14, Table2[GameIsOver], 1)</f>
        <v>0</v>
      </c>
      <c r="BV14">
        <f t="shared" si="8"/>
        <v>0</v>
      </c>
      <c r="BW14">
        <f t="shared" si="9"/>
        <v>0</v>
      </c>
      <c r="BX14">
        <f t="shared" si="10"/>
        <v>0</v>
      </c>
      <c r="BY14">
        <f t="shared" si="11"/>
        <v>0</v>
      </c>
      <c r="BZ14" t="e">
        <f>Table3[[#This Row],[TimesPredictedWinner]]/Table3[[#This Row],[GP]]</f>
        <v>#DIV/0!</v>
      </c>
      <c r="CB14">
        <v>2003</v>
      </c>
      <c r="CD14" s="1">
        <v>45755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0</v>
      </c>
      <c r="CJ14">
        <f>SUMIFS(Table2[GamePredictionScore], Table2[HomeTeam], Table3[[#This Row],[Teams]])</f>
        <v>0</v>
      </c>
      <c r="CK14">
        <f>Table3[[#This Row],[Column4]]+Table3[[#This Row],[Column3]]</f>
        <v>0</v>
      </c>
      <c r="CL14" t="e">
        <f>Table3[[#This Row],[Column5]]/Table3[[#This Row],[GP]]</f>
        <v>#DIV/0!</v>
      </c>
      <c r="CR14" t="s">
        <v>460</v>
      </c>
      <c r="CS14">
        <f>CS7+CS8</f>
        <v>2</v>
      </c>
    </row>
    <row r="15" spans="1:144" ht="15.75" thickBot="1" x14ac:dyDescent="0.3">
      <c r="A15" t="s">
        <v>14</v>
      </c>
      <c r="B15" t="s">
        <v>90</v>
      </c>
      <c r="C15" t="s">
        <v>88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0</v>
      </c>
      <c r="E15" s="10" t="e">
        <f>Table3[[#This Row],[Watched]]/Table3[[#This Row],[GP]]</f>
        <v>#DIV/0!</v>
      </c>
      <c r="F15">
        <f>COUNTIFS(DataRegularSeason20242025!$N$3:$N$1315,1,DataRegularSeason20242025!$D$3:$D$1315,$A15)</f>
        <v>0</v>
      </c>
      <c r="G15">
        <f>41-Table3[[#This Row],[GP_A]]</f>
        <v>41</v>
      </c>
      <c r="H15">
        <f>COUNTIFS(DataRegularSeason20242025!$E$3:$E$1315,$A15,DataRegularSeason20242025!$N$3:$N$1315,1)</f>
        <v>0</v>
      </c>
      <c r="I15">
        <f>41-Table3[[#This Row],[GP_H]]</f>
        <v>41</v>
      </c>
      <c r="J15">
        <f t="shared" si="0"/>
        <v>0</v>
      </c>
      <c r="K15">
        <f>82-Table3[[#This Row],[GP]]</f>
        <v>82</v>
      </c>
      <c r="L15">
        <f>COUNTIFS(DataRegularSeason20242025!$D$3:$D$1315,$A15, DataRegularSeason20242025!$L$3:$L$1315, $A15,DataRegularSeason20242025!$N$3:$N$1315,1)</f>
        <v>0</v>
      </c>
      <c r="M15">
        <f>COUNTIFS(DataRegularSeason20242025!$D$3:$D$1315,$A15, DataRegularSeason20242025!$L$3:$L$1315, $A15,DataRegularSeason20242025!$N$3:$N$1315,1,DataRegularSeason20242025!$M$3:$M$1315,"REG")</f>
        <v>0</v>
      </c>
      <c r="N15">
        <f>COUNTIFS(DataRegularSeason20242025!$D$3:$D$1315,$A15, DataRegularSeason20242025!$L$3:$L$1315, $A15,DataRegularSeason20242025!$N$3:$N$1315,1,DataRegularSeason20242025!$M$3:$M$1315,"OT")</f>
        <v>0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 t="shared" si="1"/>
        <v>0</v>
      </c>
      <c r="Q15">
        <f>COUNTIFS(DataRegularSeason20242025!$D$3:$D$1315,$A15, DataRegularSeason20242025!$S$3:$S$1315, $A15,DataRegularSeason20242025!$M$3:$M$1315,"REG")</f>
        <v>0</v>
      </c>
      <c r="R15">
        <f>COUNTIFS(DataRegularSeason20242025!$D$3:$D$1315,$A15, DataRegularSeason20242025!$S$3:$S$1315, $A15,DataRegularSeason20242025!$M$3:$M$1315,"OT")</f>
        <v>0</v>
      </c>
      <c r="S15">
        <f>COUNTIFS(DataRegularSeason20242025!$D$3:$D$1315,$A15, DataRegularSeason20242025!$S$3:$S$1315, $A15,DataRegularSeason20242025!$M$3:$M$1315,"SO")</f>
        <v>0</v>
      </c>
      <c r="T15">
        <f>COUNTIFS(DataRegularSeason20242025!$E$3:$E$1315,$A15, DataRegularSeason20242025!$L$3:$L$1315, $A15, DataRegularSeason20242025!$N$3:$N$1315,1)</f>
        <v>0</v>
      </c>
      <c r="U15">
        <f>COUNTIFS(DataRegularSeason20242025!$E$3:$E$1315,$A15, DataRegularSeason20242025!$L$3:$L$1315, $A15,DataRegularSeason20242025!$N$3:$N$1315,1,DataRegularSeason20242025!$M$3:$M$1315,"REG")</f>
        <v>0</v>
      </c>
      <c r="V15">
        <f>COUNTIFS(DataRegularSeason20242025!$E$3:$E$1315,$A15, DataRegularSeason20242025!$L$3:$L$1315, $A15,DataRegularSeason20242025!$N$3:$N$1315,1,DataRegularSeason20242025!$M$3:$M$1315,"OT")</f>
        <v>0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 t="shared" si="2"/>
        <v>0</v>
      </c>
      <c r="Y15">
        <f>COUNTIFS(DataRegularSeason20242025!$E$3:$E$1315,$A15, DataRegularSeason20242025!$S$3:$S$1315, $A15,DataRegularSeason20242025!$M$3:$M$1315,"REG")</f>
        <v>0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0</v>
      </c>
      <c r="AB15">
        <f>Table3[[#This Row],[W]]/MAX(1,Table3[[#This Row],[W]]+Table3[[#This Row],[L]])</f>
        <v>0</v>
      </c>
      <c r="AC15">
        <f>Table3[[#This Row],[W_A]]+Table3[[#This Row],[W_H]]</f>
        <v>0</v>
      </c>
      <c r="AD15">
        <f>Table3[[#This Row],[L_A]]+Table3[[#This Row],[L_H]]</f>
        <v>0</v>
      </c>
      <c r="AE15">
        <f>Table3[[#This Row],[RW_A]]+Table3[[#This Row],[RW_H]]</f>
        <v>0</v>
      </c>
      <c r="AF15">
        <f>Table3[[#This Row],[RL_A]]+Table3[[#This Row],[RL_H]]</f>
        <v>0</v>
      </c>
      <c r="AG15">
        <f>Table3[[#This Row],[OTW_A]]+Table3[[#This Row],[OTW_H]]</f>
        <v>0</v>
      </c>
      <c r="AH15">
        <f>Table3[[#This Row],[OTL_A]]+Table3[[#This Row],[OTL_H]]</f>
        <v>0</v>
      </c>
      <c r="AI15">
        <f>Table3[[#This Row],[SOW_A]]+Table3[[#This Row],[SOW_H]]</f>
        <v>0</v>
      </c>
      <c r="AJ15">
        <f>Table3[[#This Row],[SOL_A]]+Table3[[#This Row],[SOL_H]]</f>
        <v>0</v>
      </c>
      <c r="AK15" s="15" t="str">
        <f>_xlfn.CONCAT(TEXT(Table3[[#This Row],[OTW]]+Table3[[#This Row],[SOW]], "0"), "-", TEXT(Table3[[#This Row],[OTL]]+Table3[[#This Row],[SOL]],"0"))</f>
        <v>0-0</v>
      </c>
      <c r="AL15">
        <f>SUM(Table3[[#This Row],[OTW]],Table3[[#This Row],[OTL]],Table3[[#This Row],[SOW]],Table3[[#This Row],[SOL]])</f>
        <v>0</v>
      </c>
      <c r="AM15">
        <f>(Table3[[#This Row],[OTW]]+Table3[[#This Row],[SOW]])/IF(Table3[[#This Row],[Total_ExtraTimes]]=0,1,Table3[[#This Row],[Total_ExtraTimes]])</f>
        <v>0</v>
      </c>
      <c r="AN15">
        <f>Table3[[#This Row],[Total_ExtraTimes]]/MAX(1,Table3[[#This Row],[GP]])</f>
        <v>0</v>
      </c>
      <c r="AO15">
        <f>(2*(Table3[[#This Row],[W_A]]+Table3[[#This Row],[W_H]]))+Table3[[#This Row],[OTL_A]]+Table3[[#This Row],[SOL_A]]+Table3[[#This Row],[OTL_H]]+Table3[[#This Row],[SOL_H]]</f>
        <v>0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5" s="10" t="e">
        <f>Table3[[#This Row],[PTS]]/(2*Table3[[#This Row],[GP]])</f>
        <v>#DIV/0!</v>
      </c>
      <c r="AR15" s="10" t="e">
        <f>Table3[[#This Row],[PTS2]]/(3*Table3[[#This Row],[GP]])</f>
        <v>#DIV/0!</v>
      </c>
      <c r="AS15">
        <f>(2*Table3[[#This Row],[GR]])+Table3[[#This Row],[PTS]]</f>
        <v>164</v>
      </c>
      <c r="AT15">
        <f>(3*Table3[[#This Row],[GR]])+Table3[[#This Row],[PTS2]]</f>
        <v>246</v>
      </c>
      <c r="AU15" t="e">
        <f>Table3[[#This Row],[PTS]]+(2 * Table3[[#This Row],[GR]] * Table3[[#This Row],[PTS%]])</f>
        <v>#DIV/0!</v>
      </c>
      <c r="AV15" t="e">
        <f>Table3[[#This Row],[PTS2]]+(3 * Table3[[#This Row],[GR]] * Table3[[#This Row],[PTS%2]])</f>
        <v>#DIV/0!</v>
      </c>
      <c r="AW15" s="15" t="str">
        <f>_xlfn.CONCAT(TEXT(Table3[[#This Row],[W]], "0"), "-", TEXT(Table3[[#This Row],[RL]],"0"), "-", TEXT(Table3[[#This Row],[OTL]]+Table3[[#This Row],[SOL]], "0"))</f>
        <v>0-0-0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0</v>
      </c>
      <c r="AZ15">
        <f>SUMIF(DataRegularSeason20242025!$D$3:$D$1315,$A15, DataRegularSeason20242025!$K$3:$K$1315)</f>
        <v>0</v>
      </c>
      <c r="BA15">
        <f t="shared" si="3"/>
        <v>0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0</v>
      </c>
      <c r="BD15">
        <f>SUMIF(DataRegularSeason20242025!$E$3:$E$1315,$A15,DataRegularSeason20242025!$J$3:$J$1315)</f>
        <v>0</v>
      </c>
      <c r="BE15">
        <f t="shared" si="4"/>
        <v>0</v>
      </c>
      <c r="BF15">
        <f t="shared" si="5"/>
        <v>0</v>
      </c>
      <c r="BG15">
        <f t="shared" si="6"/>
        <v>0</v>
      </c>
      <c r="BH15">
        <f t="shared" si="7"/>
        <v>0</v>
      </c>
      <c r="BI15" s="12" t="e">
        <f>Table3[[#This Row],[GF]]/Table3[[#This Row],[GP]]</f>
        <v>#DIV/0!</v>
      </c>
      <c r="BJ15" s="12" t="e">
        <f>Table3[[#This Row],[GA]]/Table3[[#This Row],[GP]]</f>
        <v>#DIV/0!</v>
      </c>
      <c r="BK15" s="12" t="e">
        <f>(Table3[[#This Row],[GF]]-Table3[[#This Row],[GA]])/Table3[[#This Row],[GP]]</f>
        <v>#DIV/0!</v>
      </c>
      <c r="BL15" s="42" t="str">
        <f>_xlfn.CONCAT(TEXT(Table3[[#This Row],[W_H]], "0"), "-", TEXT(Table3[[#This Row],[RL_H]],"0"), "-", TEXT(Table3[[#This Row],[OTL_H]]+Table3[[#This Row],[SOL_H]], "0"))</f>
        <v>0-0-0</v>
      </c>
      <c r="BM15" s="42" t="str">
        <f>_xlfn.CONCAT(TEXT(Table3[[#This Row],[W_A]], "0"), "-", TEXT(Table3[[#This Row],[RL_A]],"0"), "-", TEXT(Table3[[#This Row],[OTL_A]]+Table3[[#This Row],[SOL_A]], "0"))</f>
        <v>0-0-0</v>
      </c>
      <c r="BN15" s="42" t="e">
        <f>((2*(Table3[[#This Row],[W_H]]))+Table3[[#This Row],[OTL_H]]+Table3[[#This Row],[SOL_H]])/(2*Table3[[#This Row],[GP_H]])</f>
        <v>#DIV/0!</v>
      </c>
      <c r="BO15" s="42" t="e">
        <f>((2*(Table3[[#This Row],[W_A]]))+Table3[[#This Row],[OTL_A]]+Table3[[#This Row],[SOL_A]])/(2*Table3[[#This Row],[GP_A]])</f>
        <v>#DIV/0!</v>
      </c>
      <c r="BP15" s="16">
        <f>(Table3[[#This Row],[W]]*$CX$3)+(Table3[[#This Row],[L]]*$CX$4)+(Table3[[#This Row],[GF]]*$CX$5)+(Table3[[#This Row],[GA]]*$CX$6)</f>
        <v>0</v>
      </c>
      <c r="BQ15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5" s="16">
        <f>(Table3[[#This Row],[W]]*0.7) + ((Table3[[#This Row],[GF]] - Table3[[#This Row],[GA]])*0.25)+(Table3[[#This Row],[GF]]*0.1)+(Table3[[#This Row],[GA]]*0.05)+(Table3[[#This Row],[L]]*0.3)</f>
        <v>0</v>
      </c>
      <c r="BS15" s="16" t="e">
        <f>Table3[[#This Row],[TeamCost83]]/Table3[[#This Row],[GP]]</f>
        <v>#DIV/0!</v>
      </c>
      <c r="BT15">
        <f>COUNTIFS(Table2[AwayTeam],$A15,Table2[PredictedWinner], $A15, Table2[GameIsOver], 1)</f>
        <v>0</v>
      </c>
      <c r="BU15">
        <f>COUNTIFS(Table2[HomeTeam],$A15,Table2[PredictedWinner], $A15, Table2[GameIsOver], 1)</f>
        <v>0</v>
      </c>
      <c r="BV15">
        <f t="shared" si="8"/>
        <v>0</v>
      </c>
      <c r="BW15">
        <f t="shared" si="9"/>
        <v>0</v>
      </c>
      <c r="BX15">
        <f t="shared" si="10"/>
        <v>0</v>
      </c>
      <c r="BY15">
        <f t="shared" si="11"/>
        <v>0</v>
      </c>
      <c r="BZ15" t="e">
        <f>Table3[[#This Row],[TimesPredictedWinner]]/Table3[[#This Row],[GP]]</f>
        <v>#DIV/0!</v>
      </c>
      <c r="CC15" s="1">
        <v>45756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0</v>
      </c>
      <c r="CJ15">
        <f>SUMIFS(Table2[GamePredictionScore], Table2[HomeTeam], Table3[[#This Row],[Teams]])</f>
        <v>0</v>
      </c>
      <c r="CK15">
        <f>Table3[[#This Row],[Column4]]+Table3[[#This Row],[Column3]]</f>
        <v>0</v>
      </c>
      <c r="CL15" t="e">
        <f>Table3[[#This Row],[Column5]]/Table3[[#This Row],[GP]]</f>
        <v>#DIV/0!</v>
      </c>
      <c r="CR15" t="s">
        <v>461</v>
      </c>
      <c r="CS15">
        <f>CS14/CS2</f>
        <v>0.2857142857142857</v>
      </c>
    </row>
    <row r="16" spans="1:144" x14ac:dyDescent="0.25">
      <c r="A16" t="s">
        <v>35</v>
      </c>
      <c r="B16" t="s">
        <v>91</v>
      </c>
      <c r="C16" t="s">
        <v>92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0</v>
      </c>
      <c r="E16" s="10" t="e">
        <f>Table3[[#This Row],[Watched]]/Table3[[#This Row],[GP]]</f>
        <v>#DIV/0!</v>
      </c>
      <c r="F16">
        <f>COUNTIFS(DataRegularSeason20242025!$N$3:$N$1315,1,DataRegularSeason20242025!$D$3:$D$1315,$A16)</f>
        <v>0</v>
      </c>
      <c r="G16">
        <f>41-Table3[[#This Row],[GP_A]]</f>
        <v>41</v>
      </c>
      <c r="H16">
        <f>COUNTIFS(DataRegularSeason20242025!$E$3:$E$1315,$A16,DataRegularSeason20242025!$N$3:$N$1315,1)</f>
        <v>0</v>
      </c>
      <c r="I16">
        <f>41-Table3[[#This Row],[GP_H]]</f>
        <v>41</v>
      </c>
      <c r="J16">
        <f t="shared" si="0"/>
        <v>0</v>
      </c>
      <c r="K16">
        <f>82-Table3[[#This Row],[GP]]</f>
        <v>82</v>
      </c>
      <c r="L16">
        <f>COUNTIFS(DataRegularSeason20242025!$D$3:$D$1315,$A16, DataRegularSeason20242025!$L$3:$L$1315, $A16,DataRegularSeason20242025!$N$3:$N$1315,1)</f>
        <v>0</v>
      </c>
      <c r="M16">
        <f>COUNTIFS(DataRegularSeason20242025!$D$3:$D$1315,$A16, DataRegularSeason20242025!$L$3:$L$1315, $A16,DataRegularSeason20242025!$N$3:$N$1315,1,DataRegularSeason20242025!$M$3:$M$1315,"REG")</f>
        <v>0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0</v>
      </c>
      <c r="P16">
        <f t="shared" si="1"/>
        <v>0</v>
      </c>
      <c r="Q16">
        <f>COUNTIFS(DataRegularSeason20242025!$D$3:$D$1315,$A16, DataRegularSeason20242025!$S$3:$S$1315, $A16,DataRegularSeason20242025!$M$3:$M$1315,"REG")</f>
        <v>0</v>
      </c>
      <c r="R16">
        <f>COUNTIFS(DataRegularSeason20242025!$D$3:$D$1315,$A16, DataRegularSeason20242025!$S$3:$S$1315, $A16,DataRegularSeason20242025!$M$3:$M$1315,"OT")</f>
        <v>0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0</v>
      </c>
      <c r="U16">
        <f>COUNTIFS(DataRegularSeason20242025!$E$3:$E$1315,$A16, DataRegularSeason20242025!$L$3:$L$1315, $A16,DataRegularSeason20242025!$N$3:$N$1315,1,DataRegularSeason20242025!$M$3:$M$1315,"REG")</f>
        <v>0</v>
      </c>
      <c r="V16">
        <f>COUNTIFS(DataRegularSeason20242025!$E$3:$E$1315,$A16, DataRegularSeason20242025!$L$3:$L$1315, $A16,DataRegularSeason20242025!$N$3:$N$1315,1,DataRegularSeason20242025!$M$3:$M$1315,"OT")</f>
        <v>0</v>
      </c>
      <c r="W16">
        <f>COUNTIFS(DataRegularSeason20242025!$E$3:$E$1315,$A16, DataRegularSeason20242025!$L$3:$L$1315, $A16,DataRegularSeason20242025!$N$3:$N$1315,1,DataRegularSeason20242025!$M$3:$M$1315,"SO")</f>
        <v>0</v>
      </c>
      <c r="X16">
        <f t="shared" si="2"/>
        <v>0</v>
      </c>
      <c r="Y16">
        <f>COUNTIFS(DataRegularSeason20242025!$E$3:$E$1315,$A16, DataRegularSeason20242025!$S$3:$S$1315, $A16,DataRegularSeason20242025!$M$3:$M$1315,"REG")</f>
        <v>0</v>
      </c>
      <c r="Z16">
        <f>COUNTIFS(DataRegularSeason20242025!$E$3:$E$1315,$A16, DataRegularSeason20242025!$S$3:$S$1315, $A16,DataRegularSeason20242025!$M$3:$M$1315,"OT")</f>
        <v>0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</v>
      </c>
      <c r="AC16">
        <f>Table3[[#This Row],[W_A]]+Table3[[#This Row],[W_H]]</f>
        <v>0</v>
      </c>
      <c r="AD16">
        <f>Table3[[#This Row],[L_A]]+Table3[[#This Row],[L_H]]</f>
        <v>0</v>
      </c>
      <c r="AE16">
        <f>Table3[[#This Row],[RW_A]]+Table3[[#This Row],[RW_H]]</f>
        <v>0</v>
      </c>
      <c r="AF16">
        <f>Table3[[#This Row],[RL_A]]+Table3[[#This Row],[RL_H]]</f>
        <v>0</v>
      </c>
      <c r="AG16">
        <f>Table3[[#This Row],[OTW_A]]+Table3[[#This Row],[OTW_H]]</f>
        <v>0</v>
      </c>
      <c r="AH16">
        <f>Table3[[#This Row],[OTL_A]]+Table3[[#This Row],[OTL_H]]</f>
        <v>0</v>
      </c>
      <c r="AI16">
        <f>Table3[[#This Row],[SOW_A]]+Table3[[#This Row],[SOW_H]]</f>
        <v>0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0-0</v>
      </c>
      <c r="AL16">
        <f>SUM(Table3[[#This Row],[OTW]],Table3[[#This Row],[OTL]],Table3[[#This Row],[SOW]],Table3[[#This Row],[SOL]])</f>
        <v>0</v>
      </c>
      <c r="AM16">
        <f>(Table3[[#This Row],[OTW]]+Table3[[#This Row],[SOW]])/IF(Table3[[#This Row],[Total_ExtraTimes]]=0,1,Table3[[#This Row],[Total_ExtraTimes]])</f>
        <v>0</v>
      </c>
      <c r="AN16">
        <f>Table3[[#This Row],[Total_ExtraTimes]]/MAX(1,Table3[[#This Row],[GP]])</f>
        <v>0</v>
      </c>
      <c r="AO16">
        <f>(2*(Table3[[#This Row],[W_A]]+Table3[[#This Row],[W_H]]))+Table3[[#This Row],[OTL_A]]+Table3[[#This Row],[SOL_A]]+Table3[[#This Row],[OTL_H]]+Table3[[#This Row],[SOL_H]]</f>
        <v>0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6" s="10" t="e">
        <f>Table3[[#This Row],[PTS]]/(2*Table3[[#This Row],[GP]])</f>
        <v>#DIV/0!</v>
      </c>
      <c r="AR16" s="10" t="e">
        <f>Table3[[#This Row],[PTS2]]/(3*Table3[[#This Row],[GP]])</f>
        <v>#DIV/0!</v>
      </c>
      <c r="AS16">
        <f>(2*Table3[[#This Row],[GR]])+Table3[[#This Row],[PTS]]</f>
        <v>164</v>
      </c>
      <c r="AT16">
        <f>(3*Table3[[#This Row],[GR]])+Table3[[#This Row],[PTS2]]</f>
        <v>246</v>
      </c>
      <c r="AU16" t="e">
        <f>Table3[[#This Row],[PTS]]+(2 * Table3[[#This Row],[GR]] * Table3[[#This Row],[PTS%]])</f>
        <v>#DIV/0!</v>
      </c>
      <c r="AV16" t="e">
        <f>Table3[[#This Row],[PTS2]]+(3 * Table3[[#This Row],[GR]] * Table3[[#This Row],[PTS%2]])</f>
        <v>#DIV/0!</v>
      </c>
      <c r="AW16" s="15" t="str">
        <f>_xlfn.CONCAT(TEXT(Table3[[#This Row],[W]], "0"), "-", TEXT(Table3[[#This Row],[RL]],"0"), "-", TEXT(Table3[[#This Row],[OTL]]+Table3[[#This Row],[SOL]], "0"))</f>
        <v>0-0-0</v>
      </c>
      <c r="AX16">
        <f>COUNTIFS(DataRegularSeason20242025!$D$3:$D$1315,Table3[[#This Row],[Teams]],DataRegularSeason20242025!$K$3:$K$1315,0)</f>
        <v>0</v>
      </c>
      <c r="AY16">
        <f>SUMIF(DataRegularSeason20242025!$D$3:$D$1315,$A16, DataRegularSeason20242025!$J$3:$J$1315)</f>
        <v>0</v>
      </c>
      <c r="AZ16">
        <f>SUMIF(DataRegularSeason20242025!$D$3:$D$1315,$A16, DataRegularSeason20242025!$K$3:$K$1315)</f>
        <v>0</v>
      </c>
      <c r="BA16">
        <f t="shared" si="3"/>
        <v>0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0</v>
      </c>
      <c r="BD16">
        <f>SUMIF(DataRegularSeason20242025!$E$3:$E$1315,$A16,DataRegularSeason20242025!$J$3:$J$1315)</f>
        <v>0</v>
      </c>
      <c r="BE16">
        <f t="shared" si="4"/>
        <v>0</v>
      </c>
      <c r="BF16">
        <f t="shared" si="5"/>
        <v>0</v>
      </c>
      <c r="BG16">
        <f t="shared" si="6"/>
        <v>0</v>
      </c>
      <c r="BH16">
        <f t="shared" si="7"/>
        <v>0</v>
      </c>
      <c r="BI16" s="12" t="e">
        <f>Table3[[#This Row],[GF]]/Table3[[#This Row],[GP]]</f>
        <v>#DIV/0!</v>
      </c>
      <c r="BJ16" s="12" t="e">
        <f>Table3[[#This Row],[GA]]/Table3[[#This Row],[GP]]</f>
        <v>#DIV/0!</v>
      </c>
      <c r="BK16" s="12" t="e">
        <f>(Table3[[#This Row],[GF]]-Table3[[#This Row],[GA]])/Table3[[#This Row],[GP]]</f>
        <v>#DIV/0!</v>
      </c>
      <c r="BL16" s="42" t="str">
        <f>_xlfn.CONCAT(TEXT(Table3[[#This Row],[W_H]], "0"), "-", TEXT(Table3[[#This Row],[RL_H]],"0"), "-", TEXT(Table3[[#This Row],[OTL_H]]+Table3[[#This Row],[SOL_H]], "0"))</f>
        <v>0-0-0</v>
      </c>
      <c r="BM16" s="42" t="str">
        <f>_xlfn.CONCAT(TEXT(Table3[[#This Row],[W_A]], "0"), "-", TEXT(Table3[[#This Row],[RL_A]],"0"), "-", TEXT(Table3[[#This Row],[OTL_A]]+Table3[[#This Row],[SOL_A]], "0"))</f>
        <v>0-0-0</v>
      </c>
      <c r="BN16" s="42" t="e">
        <f>((2*(Table3[[#This Row],[W_H]]))+Table3[[#This Row],[OTL_H]]+Table3[[#This Row],[SOL_H]])/(2*Table3[[#This Row],[GP_H]])</f>
        <v>#DIV/0!</v>
      </c>
      <c r="BO16" s="42" t="e">
        <f>((2*(Table3[[#This Row],[W_A]]))+Table3[[#This Row],[OTL_A]]+Table3[[#This Row],[SOL_A]])/(2*Table3[[#This Row],[GP_A]])</f>
        <v>#DIV/0!</v>
      </c>
      <c r="BP16" s="16">
        <f>(Table3[[#This Row],[W]]*$CX$3)+(Table3[[#This Row],[L]]*$CX$4)+(Table3[[#This Row],[GF]]*$CX$5)+(Table3[[#This Row],[GA]]*$CX$6)</f>
        <v>0</v>
      </c>
      <c r="BQ16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6" s="16">
        <f>(Table3[[#This Row],[W]]*0.7) + ((Table3[[#This Row],[GF]] - Table3[[#This Row],[GA]])*0.25)+(Table3[[#This Row],[GF]]*0.1)+(Table3[[#This Row],[GA]]*0.05)+(Table3[[#This Row],[L]]*0.3)</f>
        <v>0</v>
      </c>
      <c r="BS16" s="16" t="e">
        <f>Table3[[#This Row],[TeamCost83]]/Table3[[#This Row],[GP]]</f>
        <v>#DIV/0!</v>
      </c>
      <c r="BT16">
        <f>COUNTIFS(Table2[AwayTeam],$A16,Table2[PredictedWinner], $A16, Table2[GameIsOver], 1)</f>
        <v>0</v>
      </c>
      <c r="BU16">
        <f>COUNTIFS(Table2[HomeTeam],$A16,Table2[PredictedWinner], $A16, Table2[GameIsOver], 1)</f>
        <v>0</v>
      </c>
      <c r="BV16">
        <f t="shared" si="8"/>
        <v>0</v>
      </c>
      <c r="BW16">
        <f t="shared" si="9"/>
        <v>0</v>
      </c>
      <c r="BX16">
        <f t="shared" si="10"/>
        <v>0</v>
      </c>
      <c r="BY16">
        <f t="shared" si="11"/>
        <v>0</v>
      </c>
      <c r="BZ16" t="e">
        <f>Table3[[#This Row],[TimesPredictedWinner]]/Table3[[#This Row],[GP]]</f>
        <v>#DIV/0!</v>
      </c>
      <c r="CC16" s="1">
        <v>45763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0</v>
      </c>
      <c r="CJ16">
        <f>SUMIFS(Table2[GamePredictionScore], Table2[HomeTeam], Table3[[#This Row],[Teams]])</f>
        <v>0</v>
      </c>
      <c r="CK16">
        <f>Table3[[#This Row],[Column4]]+Table3[[#This Row],[Column3]]</f>
        <v>0</v>
      </c>
      <c r="CL16" t="e">
        <f>Table3[[#This Row],[Column5]]/Table3[[#This Row],[GP]]</f>
        <v>#DIV/0!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30</v>
      </c>
      <c r="B17" t="s">
        <v>91</v>
      </c>
      <c r="C17" t="s">
        <v>74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0</v>
      </c>
      <c r="E17" s="10" t="e">
        <f>Table3[[#This Row],[Watched]]/Table3[[#This Row],[GP]]</f>
        <v>#DIV/0!</v>
      </c>
      <c r="F17">
        <f>COUNTIFS(DataRegularSeason20242025!$N$3:$N$1315,1,DataRegularSeason20242025!$D$3:$D$1315,$A17)</f>
        <v>0</v>
      </c>
      <c r="G17">
        <f>41-Table3[[#This Row],[GP_A]]</f>
        <v>41</v>
      </c>
      <c r="H17">
        <f>COUNTIFS(DataRegularSeason20242025!$E$3:$E$1315,$A17,DataRegularSeason20242025!$N$3:$N$1315,1)</f>
        <v>0</v>
      </c>
      <c r="I17">
        <f>41-Table3[[#This Row],[GP_H]]</f>
        <v>41</v>
      </c>
      <c r="J17">
        <f t="shared" si="0"/>
        <v>0</v>
      </c>
      <c r="K17">
        <f>82-Table3[[#This Row],[GP]]</f>
        <v>82</v>
      </c>
      <c r="L17">
        <f>COUNTIFS(DataRegularSeason20242025!$D$3:$D$1315,$A17, DataRegularSeason20242025!$L$3:$L$1315, $A17,DataRegularSeason20242025!$N$3:$N$1315,1)</f>
        <v>0</v>
      </c>
      <c r="M17">
        <f>COUNTIFS(DataRegularSeason20242025!$D$3:$D$1315,$A17, DataRegularSeason20242025!$L$3:$L$1315, $A17,DataRegularSeason20242025!$N$3:$N$1315,1,DataRegularSeason20242025!$M$3:$M$1315,"REG")</f>
        <v>0</v>
      </c>
      <c r="N17">
        <f>COUNTIFS(DataRegularSeason20242025!$D$3:$D$1315,$A17, DataRegularSeason20242025!$L$3:$L$1315, $A17,DataRegularSeason20242025!$N$3:$N$1315,1,DataRegularSeason20242025!$M$3:$M$1315,"OT")</f>
        <v>0</v>
      </c>
      <c r="O17">
        <f>COUNTIFS(DataRegularSeason20242025!$D$3:$D$1315,$A17, DataRegularSeason20242025!$L$3:$L$1315, $A17,DataRegularSeason20242025!$N$3:$N$1315,1,DataRegularSeason20242025!$M$3:$M$1315,"SO")</f>
        <v>0</v>
      </c>
      <c r="P17">
        <f t="shared" si="1"/>
        <v>0</v>
      </c>
      <c r="Q17">
        <f>COUNTIFS(DataRegularSeason20242025!$D$3:$D$1315,$A17, DataRegularSeason20242025!$S$3:$S$1315, $A17,DataRegularSeason20242025!$M$3:$M$1315,"REG")</f>
        <v>0</v>
      </c>
      <c r="R17">
        <f>COUNTIFS(DataRegularSeason20242025!$D$3:$D$1315,$A17, DataRegularSeason20242025!$S$3:$S$1315, $A17,DataRegularSeason20242025!$M$3:$M$1315,"OT")</f>
        <v>0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0</v>
      </c>
      <c r="U17">
        <f>COUNTIFS(DataRegularSeason20242025!$E$3:$E$1315,$A17, DataRegularSeason20242025!$L$3:$L$1315, $A17,DataRegularSeason20242025!$N$3:$N$1315,1,DataRegularSeason20242025!$M$3:$M$1315,"REG")</f>
        <v>0</v>
      </c>
      <c r="V17">
        <f>COUNTIFS(DataRegularSeason20242025!$E$3:$E$1315,$A17, DataRegularSeason20242025!$L$3:$L$1315, $A17,DataRegularSeason20242025!$N$3:$N$1315,1,DataRegularSeason20242025!$M$3:$M$1315,"OT")</f>
        <v>0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 t="shared" si="2"/>
        <v>0</v>
      </c>
      <c r="Y17">
        <f>COUNTIFS(DataRegularSeason20242025!$E$3:$E$1315,$A17, DataRegularSeason20242025!$S$3:$S$1315, $A17,DataRegularSeason20242025!$M$3:$M$1315,"REG")</f>
        <v>0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0</v>
      </c>
      <c r="AB17">
        <f>Table3[[#This Row],[W]]/MAX(1,Table3[[#This Row],[W]]+Table3[[#This Row],[L]])</f>
        <v>0</v>
      </c>
      <c r="AC17">
        <f>Table3[[#This Row],[W_A]]+Table3[[#This Row],[W_H]]</f>
        <v>0</v>
      </c>
      <c r="AD17">
        <f>Table3[[#This Row],[L_A]]+Table3[[#This Row],[L_H]]</f>
        <v>0</v>
      </c>
      <c r="AE17">
        <f>Table3[[#This Row],[RW_A]]+Table3[[#This Row],[RW_H]]</f>
        <v>0</v>
      </c>
      <c r="AF17">
        <f>Table3[[#This Row],[RL_A]]+Table3[[#This Row],[RL_H]]</f>
        <v>0</v>
      </c>
      <c r="AG17">
        <f>Table3[[#This Row],[OTW_A]]+Table3[[#This Row],[OTW_H]]</f>
        <v>0</v>
      </c>
      <c r="AH17">
        <f>Table3[[#This Row],[OTL_A]]+Table3[[#This Row],[OTL_H]]</f>
        <v>0</v>
      </c>
      <c r="AI17">
        <f>Table3[[#This Row],[SOW_A]]+Table3[[#This Row],[SOW_H]]</f>
        <v>0</v>
      </c>
      <c r="AJ17">
        <f>Table3[[#This Row],[SOL_A]]+Table3[[#This Row],[SOL_H]]</f>
        <v>0</v>
      </c>
      <c r="AK17" s="15" t="str">
        <f>_xlfn.CONCAT(TEXT(Table3[[#This Row],[OTW]]+Table3[[#This Row],[SOW]], "0"), "-", TEXT(Table3[[#This Row],[OTL]]+Table3[[#This Row],[SOL]],"0"))</f>
        <v>0-0</v>
      </c>
      <c r="AL17">
        <f>SUM(Table3[[#This Row],[OTW]],Table3[[#This Row],[OTL]],Table3[[#This Row],[SOW]],Table3[[#This Row],[SOL]])</f>
        <v>0</v>
      </c>
      <c r="AM17">
        <f>(Table3[[#This Row],[OTW]]+Table3[[#This Row],[SOW]])/IF(Table3[[#This Row],[Total_ExtraTimes]]=0,1,Table3[[#This Row],[Total_ExtraTimes]])</f>
        <v>0</v>
      </c>
      <c r="AN17">
        <f>Table3[[#This Row],[Total_ExtraTimes]]/MAX(1,Table3[[#This Row],[GP]])</f>
        <v>0</v>
      </c>
      <c r="AO17">
        <f>(2*(Table3[[#This Row],[W_A]]+Table3[[#This Row],[W_H]]))+Table3[[#This Row],[OTL_A]]+Table3[[#This Row],[SOL_A]]+Table3[[#This Row],[OTL_H]]+Table3[[#This Row],[SOL_H]]</f>
        <v>0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7" s="10" t="e">
        <f>Table3[[#This Row],[PTS]]/(2*Table3[[#This Row],[GP]])</f>
        <v>#DIV/0!</v>
      </c>
      <c r="AR17" s="10" t="e">
        <f>Table3[[#This Row],[PTS2]]/(3*Table3[[#This Row],[GP]])</f>
        <v>#DIV/0!</v>
      </c>
      <c r="AS17">
        <f>(2*Table3[[#This Row],[GR]])+Table3[[#This Row],[PTS]]</f>
        <v>164</v>
      </c>
      <c r="AT17">
        <f>(3*Table3[[#This Row],[GR]])+Table3[[#This Row],[PTS2]]</f>
        <v>246</v>
      </c>
      <c r="AU17" t="e">
        <f>Table3[[#This Row],[PTS]]+(2 * Table3[[#This Row],[GR]] * Table3[[#This Row],[PTS%]])</f>
        <v>#DIV/0!</v>
      </c>
      <c r="AV17" t="e">
        <f>Table3[[#This Row],[PTS2]]+(3 * Table3[[#This Row],[GR]] * Table3[[#This Row],[PTS%2]])</f>
        <v>#DIV/0!</v>
      </c>
      <c r="AW17" s="15" t="str">
        <f>_xlfn.CONCAT(TEXT(Table3[[#This Row],[W]], "0"), "-", TEXT(Table3[[#This Row],[RL]],"0"), "-", TEXT(Table3[[#This Row],[OTL]]+Table3[[#This Row],[SOL]], "0"))</f>
        <v>0-0-0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0</v>
      </c>
      <c r="AZ17">
        <f>SUMIF(DataRegularSeason20242025!$D$3:$D$1315,$A17, DataRegularSeason20242025!$K$3:$K$1315)</f>
        <v>0</v>
      </c>
      <c r="BA17">
        <f t="shared" si="3"/>
        <v>0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0</v>
      </c>
      <c r="BD17">
        <f>SUMIF(DataRegularSeason20242025!$E$3:$E$1315,$A17,DataRegularSeason20242025!$J$3:$J$1315)</f>
        <v>0</v>
      </c>
      <c r="BE17">
        <f t="shared" si="4"/>
        <v>0</v>
      </c>
      <c r="BF17">
        <f t="shared" si="5"/>
        <v>0</v>
      </c>
      <c r="BG17">
        <f t="shared" si="6"/>
        <v>0</v>
      </c>
      <c r="BH17">
        <f t="shared" si="7"/>
        <v>0</v>
      </c>
      <c r="BI17" s="12" t="e">
        <f>Table3[[#This Row],[GF]]/Table3[[#This Row],[GP]]</f>
        <v>#DIV/0!</v>
      </c>
      <c r="BJ17" s="12" t="e">
        <f>Table3[[#This Row],[GA]]/Table3[[#This Row],[GP]]</f>
        <v>#DIV/0!</v>
      </c>
      <c r="BK17" s="12" t="e">
        <f>(Table3[[#This Row],[GF]]-Table3[[#This Row],[GA]])/Table3[[#This Row],[GP]]</f>
        <v>#DIV/0!</v>
      </c>
      <c r="BL17" s="42" t="str">
        <f>_xlfn.CONCAT(TEXT(Table3[[#This Row],[W_H]], "0"), "-", TEXT(Table3[[#This Row],[RL_H]],"0"), "-", TEXT(Table3[[#This Row],[OTL_H]]+Table3[[#This Row],[SOL_H]], "0"))</f>
        <v>0-0-0</v>
      </c>
      <c r="BM17" s="42" t="str">
        <f>_xlfn.CONCAT(TEXT(Table3[[#This Row],[W_A]], "0"), "-", TEXT(Table3[[#This Row],[RL_A]],"0"), "-", TEXT(Table3[[#This Row],[OTL_A]]+Table3[[#This Row],[SOL_A]], "0"))</f>
        <v>0-0-0</v>
      </c>
      <c r="BN17" s="42" t="e">
        <f>((2*(Table3[[#This Row],[W_H]]))+Table3[[#This Row],[OTL_H]]+Table3[[#This Row],[SOL_H]])/(2*Table3[[#This Row],[GP_H]])</f>
        <v>#DIV/0!</v>
      </c>
      <c r="BO17" s="42" t="e">
        <f>((2*(Table3[[#This Row],[W_A]]))+Table3[[#This Row],[OTL_A]]+Table3[[#This Row],[SOL_A]])/(2*Table3[[#This Row],[GP_A]])</f>
        <v>#DIV/0!</v>
      </c>
      <c r="BP17" s="16">
        <f>(Table3[[#This Row],[W]]*$CX$3)+(Table3[[#This Row],[L]]*$CX$4)+(Table3[[#This Row],[GF]]*$CX$5)+(Table3[[#This Row],[GA]]*$CX$6)</f>
        <v>0</v>
      </c>
      <c r="BQ17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7" s="16">
        <f>(Table3[[#This Row],[W]]*0.7) + ((Table3[[#This Row],[GF]] - Table3[[#This Row],[GA]])*0.25)+(Table3[[#This Row],[GF]]*0.1)+(Table3[[#This Row],[GA]]*0.05)+(Table3[[#This Row],[L]]*0.3)</f>
        <v>0</v>
      </c>
      <c r="BS17" s="16" t="e">
        <f>Table3[[#This Row],[TeamCost83]]/Table3[[#This Row],[GP]]</f>
        <v>#DIV/0!</v>
      </c>
      <c r="BT17">
        <f>COUNTIFS(Table2[AwayTeam],$A17,Table2[PredictedWinner], $A17, Table2[GameIsOver], 1)</f>
        <v>0</v>
      </c>
      <c r="BU17">
        <f>COUNTIFS(Table2[HomeTeam],$A17,Table2[PredictedWinner], $A17, Table2[GameIsOver], 1)</f>
        <v>0</v>
      </c>
      <c r="BV17">
        <f t="shared" si="8"/>
        <v>0</v>
      </c>
      <c r="BW17">
        <f t="shared" si="9"/>
        <v>0</v>
      </c>
      <c r="BX17">
        <f t="shared" si="10"/>
        <v>0</v>
      </c>
      <c r="BY17">
        <f t="shared" si="11"/>
        <v>0</v>
      </c>
      <c r="BZ17" t="e">
        <f>Table3[[#This Row],[TimesPredictedWinner]]/Table3[[#This Row],[GP]]</f>
        <v>#DIV/0!</v>
      </c>
      <c r="CB17">
        <v>2008</v>
      </c>
      <c r="CC17" s="1">
        <v>45759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0</v>
      </c>
      <c r="CJ17">
        <f>SUMIFS(Table2[GamePredictionScore], Table2[HomeTeam], Table3[[#This Row],[Teams]])</f>
        <v>0</v>
      </c>
      <c r="CK17">
        <f>Table3[[#This Row],[Column4]]+Table3[[#This Row],[Column3]]</f>
        <v>0</v>
      </c>
      <c r="CL17" t="e">
        <f>Table3[[#This Row],[Column5]]/Table3[[#This Row],[GP]]</f>
        <v>#DIV/0!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24</v>
      </c>
      <c r="B18" t="s">
        <v>90</v>
      </c>
      <c r="C18" t="s">
        <v>93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0</v>
      </c>
      <c r="E18" s="10" t="e">
        <f>Table3[[#This Row],[Watched]]/Table3[[#This Row],[GP]]</f>
        <v>#DIV/0!</v>
      </c>
      <c r="F18">
        <f>COUNTIFS(DataRegularSeason20242025!$N$3:$N$1315,1,DataRegularSeason20242025!$D$3:$D$1315,$A18)</f>
        <v>0</v>
      </c>
      <c r="G18">
        <f>41-Table3[[#This Row],[GP_A]]</f>
        <v>41</v>
      </c>
      <c r="H18">
        <f>COUNTIFS(DataRegularSeason20242025!$E$3:$E$1315,$A18,DataRegularSeason20242025!$N$3:$N$1315,1)</f>
        <v>0</v>
      </c>
      <c r="I18">
        <f>41-Table3[[#This Row],[GP_H]]</f>
        <v>41</v>
      </c>
      <c r="J18">
        <f t="shared" si="0"/>
        <v>0</v>
      </c>
      <c r="K18">
        <f>82-Table3[[#This Row],[GP]]</f>
        <v>82</v>
      </c>
      <c r="L18">
        <f>COUNTIFS(DataRegularSeason20242025!$D$3:$D$1315,$A18, DataRegularSeason20242025!$L$3:$L$1315, $A18,DataRegularSeason20242025!$N$3:$N$1315,1)</f>
        <v>0</v>
      </c>
      <c r="M18">
        <f>COUNTIFS(DataRegularSeason20242025!$D$3:$D$1315,$A18, DataRegularSeason20242025!$L$3:$L$1315, $A18,DataRegularSeason20242025!$N$3:$N$1315,1,DataRegularSeason20242025!$M$3:$M$1315,"REG")</f>
        <v>0</v>
      </c>
      <c r="N18">
        <f>COUNTIFS(DataRegularSeason20242025!$D$3:$D$1315,$A18, DataRegularSeason20242025!$L$3:$L$1315, $A18,DataRegularSeason20242025!$N$3:$N$1315,1,DataRegularSeason20242025!$M$3:$M$1315,"OT")</f>
        <v>0</v>
      </c>
      <c r="O18">
        <f>COUNTIFS(DataRegularSeason20242025!$D$3:$D$1315,$A18, DataRegularSeason20242025!$L$3:$L$1315, $A18,DataRegularSeason20242025!$N$3:$N$1315,1,DataRegularSeason20242025!$M$3:$M$1315,"SO")</f>
        <v>0</v>
      </c>
      <c r="P18">
        <f t="shared" si="1"/>
        <v>0</v>
      </c>
      <c r="Q18">
        <f>COUNTIFS(DataRegularSeason20242025!$D$3:$D$1315,$A18, DataRegularSeason20242025!$S$3:$S$1315, $A18,DataRegularSeason20242025!$M$3:$M$1315,"REG")</f>
        <v>0</v>
      </c>
      <c r="R18">
        <f>COUNTIFS(DataRegularSeason20242025!$D$3:$D$1315,$A18, DataRegularSeason20242025!$S$3:$S$1315, $A18,DataRegularSeason20242025!$M$3:$M$1315,"OT")</f>
        <v>0</v>
      </c>
      <c r="S18">
        <f>COUNTIFS(DataRegularSeason20242025!$D$3:$D$1315,$A18, DataRegularSeason20242025!$S$3:$S$1315, $A18,DataRegularSeason20242025!$M$3:$M$1315,"SO")</f>
        <v>0</v>
      </c>
      <c r="T18">
        <f>COUNTIFS(DataRegularSeason20242025!$E$3:$E$1315,$A18, DataRegularSeason20242025!$L$3:$L$1315, $A18, DataRegularSeason20242025!$N$3:$N$1315,1)</f>
        <v>0</v>
      </c>
      <c r="U18">
        <f>COUNTIFS(DataRegularSeason20242025!$E$3:$E$1315,$A18, DataRegularSeason20242025!$L$3:$L$1315, $A18,DataRegularSeason20242025!$N$3:$N$1315,1,DataRegularSeason20242025!$M$3:$M$1315,"REG")</f>
        <v>0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0</v>
      </c>
      <c r="X18">
        <f t="shared" si="2"/>
        <v>0</v>
      </c>
      <c r="Y18">
        <f>COUNTIFS(DataRegularSeason20242025!$E$3:$E$1315,$A18, DataRegularSeason20242025!$S$3:$S$1315, $A18,DataRegularSeason20242025!$M$3:$M$1315,"REG")</f>
        <v>0</v>
      </c>
      <c r="Z18">
        <f>COUNTIFS(DataRegularSeason20242025!$E$3:$E$1315,$A18, DataRegularSeason20242025!$S$3:$S$1315, $A18,DataRegularSeason20242025!$M$3:$M$1315,"OT")</f>
        <v>0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</v>
      </c>
      <c r="AC18">
        <f>Table3[[#This Row],[W_A]]+Table3[[#This Row],[W_H]]</f>
        <v>0</v>
      </c>
      <c r="AD18">
        <f>Table3[[#This Row],[L_A]]+Table3[[#This Row],[L_H]]</f>
        <v>0</v>
      </c>
      <c r="AE18">
        <f>Table3[[#This Row],[RW_A]]+Table3[[#This Row],[RW_H]]</f>
        <v>0</v>
      </c>
      <c r="AF18">
        <f>Table3[[#This Row],[RL_A]]+Table3[[#This Row],[RL_H]]</f>
        <v>0</v>
      </c>
      <c r="AG18">
        <f>Table3[[#This Row],[OTW_A]]+Table3[[#This Row],[OTW_H]]</f>
        <v>0</v>
      </c>
      <c r="AH18">
        <f>Table3[[#This Row],[OTL_A]]+Table3[[#This Row],[OTL_H]]</f>
        <v>0</v>
      </c>
      <c r="AI18">
        <f>Table3[[#This Row],[SOW_A]]+Table3[[#This Row],[SOW_H]]</f>
        <v>0</v>
      </c>
      <c r="AJ18">
        <f>Table3[[#This Row],[SOL_A]]+Table3[[#This Row],[SOL_H]]</f>
        <v>0</v>
      </c>
      <c r="AK18" s="15" t="str">
        <f>_xlfn.CONCAT(TEXT(Table3[[#This Row],[OTW]]+Table3[[#This Row],[SOW]], "0"), "-", TEXT(Table3[[#This Row],[OTL]]+Table3[[#This Row],[SOL]],"0"))</f>
        <v>0-0</v>
      </c>
      <c r="AL18">
        <f>SUM(Table3[[#This Row],[OTW]],Table3[[#This Row],[OTL]],Table3[[#This Row],[SOW]],Table3[[#This Row],[SOL]])</f>
        <v>0</v>
      </c>
      <c r="AM18">
        <f>(Table3[[#This Row],[OTW]]+Table3[[#This Row],[SOW]])/IF(Table3[[#This Row],[Total_ExtraTimes]]=0,1,Table3[[#This Row],[Total_ExtraTimes]])</f>
        <v>0</v>
      </c>
      <c r="AN18">
        <f>Table3[[#This Row],[Total_ExtraTimes]]/MAX(1,Table3[[#This Row],[GP]])</f>
        <v>0</v>
      </c>
      <c r="AO18">
        <f>(2*(Table3[[#This Row],[W_A]]+Table3[[#This Row],[W_H]]))+Table3[[#This Row],[OTL_A]]+Table3[[#This Row],[SOL_A]]+Table3[[#This Row],[OTL_H]]+Table3[[#This Row],[SOL_H]]</f>
        <v>0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8" s="10" t="e">
        <f>Table3[[#This Row],[PTS]]/(2*Table3[[#This Row],[GP]])</f>
        <v>#DIV/0!</v>
      </c>
      <c r="AR18" s="10" t="e">
        <f>Table3[[#This Row],[PTS2]]/(3*Table3[[#This Row],[GP]])</f>
        <v>#DIV/0!</v>
      </c>
      <c r="AS18">
        <f>(2*Table3[[#This Row],[GR]])+Table3[[#This Row],[PTS]]</f>
        <v>164</v>
      </c>
      <c r="AT18">
        <f>(3*Table3[[#This Row],[GR]])+Table3[[#This Row],[PTS2]]</f>
        <v>246</v>
      </c>
      <c r="AU18" t="e">
        <f>Table3[[#This Row],[PTS]]+(2 * Table3[[#This Row],[GR]] * Table3[[#This Row],[PTS%]])</f>
        <v>#DIV/0!</v>
      </c>
      <c r="AV18" t="e">
        <f>Table3[[#This Row],[PTS2]]+(3 * Table3[[#This Row],[GR]] * Table3[[#This Row],[PTS%2]])</f>
        <v>#DIV/0!</v>
      </c>
      <c r="AW18" s="15" t="str">
        <f>_xlfn.CONCAT(TEXT(Table3[[#This Row],[W]], "0"), "-", TEXT(Table3[[#This Row],[RL]],"0"), "-", TEXT(Table3[[#This Row],[OTL]]+Table3[[#This Row],[SOL]], "0"))</f>
        <v>0-0-0</v>
      </c>
      <c r="AX18">
        <f>COUNTIFS(DataRegularSeason20242025!$D$3:$D$1315,Table3[[#This Row],[Teams]],DataRegularSeason20242025!$K$3:$K$1315,0)</f>
        <v>0</v>
      </c>
      <c r="AY18">
        <f>SUMIF(DataRegularSeason20242025!$D$3:$D$1315,$A18, DataRegularSeason20242025!$J$3:$J$1315)</f>
        <v>0</v>
      </c>
      <c r="AZ18">
        <f>SUMIF(DataRegularSeason20242025!$D$3:$D$1315,$A18, DataRegularSeason20242025!$K$3:$K$1315)</f>
        <v>0</v>
      </c>
      <c r="BA18">
        <f t="shared" si="3"/>
        <v>0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0</v>
      </c>
      <c r="BD18">
        <f>SUMIF(DataRegularSeason20242025!$E$3:$E$1315,$A18,DataRegularSeason20242025!$J$3:$J$1315)</f>
        <v>0</v>
      </c>
      <c r="BE18">
        <f t="shared" si="4"/>
        <v>0</v>
      </c>
      <c r="BF18">
        <f t="shared" si="5"/>
        <v>0</v>
      </c>
      <c r="BG18">
        <f t="shared" si="6"/>
        <v>0</v>
      </c>
      <c r="BH18">
        <f t="shared" si="7"/>
        <v>0</v>
      </c>
      <c r="BI18" s="12" t="e">
        <f>Table3[[#This Row],[GF]]/Table3[[#This Row],[GP]]</f>
        <v>#DIV/0!</v>
      </c>
      <c r="BJ18" s="12" t="e">
        <f>Table3[[#This Row],[GA]]/Table3[[#This Row],[GP]]</f>
        <v>#DIV/0!</v>
      </c>
      <c r="BK18" s="12" t="e">
        <f>(Table3[[#This Row],[GF]]-Table3[[#This Row],[GA]])/Table3[[#This Row],[GP]]</f>
        <v>#DIV/0!</v>
      </c>
      <c r="BL18" s="42" t="str">
        <f>_xlfn.CONCAT(TEXT(Table3[[#This Row],[W_H]], "0"), "-", TEXT(Table3[[#This Row],[RL_H]],"0"), "-", TEXT(Table3[[#This Row],[OTL_H]]+Table3[[#This Row],[SOL_H]], "0"))</f>
        <v>0-0-0</v>
      </c>
      <c r="BM18" s="42" t="str">
        <f>_xlfn.CONCAT(TEXT(Table3[[#This Row],[W_A]], "0"), "-", TEXT(Table3[[#This Row],[RL_A]],"0"), "-", TEXT(Table3[[#This Row],[OTL_A]]+Table3[[#This Row],[SOL_A]], "0"))</f>
        <v>0-0-0</v>
      </c>
      <c r="BN18" s="42" t="e">
        <f>((2*(Table3[[#This Row],[W_H]]))+Table3[[#This Row],[OTL_H]]+Table3[[#This Row],[SOL_H]])/(2*Table3[[#This Row],[GP_H]])</f>
        <v>#DIV/0!</v>
      </c>
      <c r="BO18" s="42" t="e">
        <f>((2*(Table3[[#This Row],[W_A]]))+Table3[[#This Row],[OTL_A]]+Table3[[#This Row],[SOL_A]])/(2*Table3[[#This Row],[GP_A]])</f>
        <v>#DIV/0!</v>
      </c>
      <c r="BP18" s="16">
        <f>(Table3[[#This Row],[W]]*$CX$3)+(Table3[[#This Row],[L]]*$CX$4)+(Table3[[#This Row],[GF]]*$CX$5)+(Table3[[#This Row],[GA]]*$CX$6)</f>
        <v>0</v>
      </c>
      <c r="BQ18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8" s="16">
        <f>(Table3[[#This Row],[W]]*0.7) + ((Table3[[#This Row],[GF]] - Table3[[#This Row],[GA]])*0.25)+(Table3[[#This Row],[GF]]*0.1)+(Table3[[#This Row],[GA]]*0.05)+(Table3[[#This Row],[L]]*0.3)</f>
        <v>0</v>
      </c>
      <c r="BS18" s="16" t="e">
        <f>Table3[[#This Row],[TeamCost83]]/Table3[[#This Row],[GP]]</f>
        <v>#DIV/0!</v>
      </c>
      <c r="BT18">
        <f>COUNTIFS(Table2[AwayTeam],$A18,Table2[PredictedWinner], $A18, Table2[GameIsOver], 1)</f>
        <v>0</v>
      </c>
      <c r="BU18">
        <f>COUNTIFS(Table2[HomeTeam],$A18,Table2[PredictedWinner], $A18, Table2[GameIsOver], 1)</f>
        <v>0</v>
      </c>
      <c r="BV18">
        <f t="shared" si="8"/>
        <v>0</v>
      </c>
      <c r="BW18">
        <f t="shared" si="9"/>
        <v>0</v>
      </c>
      <c r="BX18">
        <f t="shared" si="10"/>
        <v>0</v>
      </c>
      <c r="BY18">
        <f t="shared" si="11"/>
        <v>0</v>
      </c>
      <c r="BZ18" t="e">
        <f>Table3[[#This Row],[TimesPredictedWinner]]/Table3[[#This Row],[GP]]</f>
        <v>#DIV/0!</v>
      </c>
      <c r="CC18" s="1">
        <v>45756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0</v>
      </c>
      <c r="CJ18">
        <f>SUMIFS(Table2[GamePredictionScore], Table2[HomeTeam], Table3[[#This Row],[Teams]])</f>
        <v>0</v>
      </c>
      <c r="CK18">
        <f>Table3[[#This Row],[Column4]]+Table3[[#This Row],[Column3]]</f>
        <v>0</v>
      </c>
      <c r="CL18" t="e">
        <f>Table3[[#This Row],[Column5]]/Table3[[#This Row],[GP]]</f>
        <v>#DIV/0!</v>
      </c>
      <c r="CR18">
        <f>LARGE($AO$2:$AO$33,1)</f>
        <v>2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12">($CW18*$CX$5)+(CZ$17*$CX$6) + IF($CW18&gt;CZ$17,$CX$3,$CX$4)</f>
        <v>0.5</v>
      </c>
      <c r="DA18" s="16">
        <f t="shared" si="12"/>
        <v>0.60000000000000009</v>
      </c>
      <c r="DB18" s="16">
        <f t="shared" si="12"/>
        <v>0.7</v>
      </c>
      <c r="DC18" s="16">
        <f t="shared" si="12"/>
        <v>0.8</v>
      </c>
      <c r="DD18" s="16">
        <f t="shared" si="12"/>
        <v>0.90000000000000013</v>
      </c>
      <c r="DE18" s="16">
        <f t="shared" si="12"/>
        <v>1</v>
      </c>
      <c r="DF18" s="16">
        <f t="shared" si="12"/>
        <v>1.1000000000000001</v>
      </c>
      <c r="DG18" s="16">
        <f t="shared" si="12"/>
        <v>1.2</v>
      </c>
      <c r="DH18" s="74">
        <f t="shared" si="12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3">(IF($EC18&gt;EE$17, 1, 0)*0.7) + (($EC18 - EE$17)*0.25)+($EC18*0.1)+(EE$17*0.05)+(IF($EC18&gt;EE$17, 1, 0)*0.3)</f>
        <v>-0.2</v>
      </c>
      <c r="EG18" s="16">
        <f t="shared" si="13"/>
        <v>-0.4</v>
      </c>
      <c r="EH18" s="16">
        <f t="shared" si="13"/>
        <v>-0.6</v>
      </c>
      <c r="EI18" s="16">
        <f t="shared" si="13"/>
        <v>-0.8</v>
      </c>
      <c r="EJ18" s="16">
        <f t="shared" si="13"/>
        <v>-1</v>
      </c>
      <c r="EK18" s="16">
        <f t="shared" si="13"/>
        <v>-1.2</v>
      </c>
      <c r="EL18" s="16">
        <f t="shared" si="13"/>
        <v>-1.4</v>
      </c>
      <c r="EM18" s="16">
        <f t="shared" si="13"/>
        <v>-1.6</v>
      </c>
      <c r="EN18" s="16">
        <f t="shared" si="13"/>
        <v>-1.8</v>
      </c>
    </row>
    <row r="19" spans="1:144" x14ac:dyDescent="0.25">
      <c r="A19" t="s">
        <v>32</v>
      </c>
      <c r="B19" t="s">
        <v>91</v>
      </c>
      <c r="C19" t="s">
        <v>92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0</v>
      </c>
      <c r="E19" s="10" t="e">
        <f>Table3[[#This Row],[Watched]]/Table3[[#This Row],[GP]]</f>
        <v>#DIV/0!</v>
      </c>
      <c r="F19">
        <f>COUNTIFS(DataRegularSeason20242025!$N$3:$N$1315,1,DataRegularSeason20242025!$D$3:$D$1315,$A19)</f>
        <v>0</v>
      </c>
      <c r="G19">
        <f>41-Table3[[#This Row],[GP_A]]</f>
        <v>41</v>
      </c>
      <c r="H19">
        <f>COUNTIFS(DataRegularSeason20242025!$E$3:$E$1315,$A19,DataRegularSeason20242025!$N$3:$N$1315,1)</f>
        <v>0</v>
      </c>
      <c r="I19">
        <f>41-Table3[[#This Row],[GP_H]]</f>
        <v>41</v>
      </c>
      <c r="J19">
        <f t="shared" si="0"/>
        <v>0</v>
      </c>
      <c r="K19">
        <f>82-Table3[[#This Row],[GP]]</f>
        <v>82</v>
      </c>
      <c r="L19">
        <f>COUNTIFS(DataRegularSeason20242025!$D$3:$D$1315,$A19, DataRegularSeason20242025!$L$3:$L$1315, $A19,DataRegularSeason20242025!$N$3:$N$1315,1)</f>
        <v>0</v>
      </c>
      <c r="M19">
        <f>COUNTIFS(DataRegularSeason20242025!$D$3:$D$1315,$A19, DataRegularSeason20242025!$L$3:$L$1315, $A19,DataRegularSeason20242025!$N$3:$N$1315,1,DataRegularSeason20242025!$M$3:$M$1315,"REG")</f>
        <v>0</v>
      </c>
      <c r="N19">
        <f>COUNTIFS(DataRegularSeason20242025!$D$3:$D$1315,$A19, DataRegularSeason20242025!$L$3:$L$1315, $A19,DataRegularSeason20242025!$N$3:$N$1315,1,DataRegularSeason20242025!$M$3:$M$1315,"OT")</f>
        <v>0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 t="shared" si="1"/>
        <v>0</v>
      </c>
      <c r="Q19">
        <f>COUNTIFS(DataRegularSeason20242025!$D$3:$D$1315,$A19, DataRegularSeason20242025!$S$3:$S$1315, $A19,DataRegularSeason20242025!$M$3:$M$1315,"REG")</f>
        <v>0</v>
      </c>
      <c r="R19">
        <f>COUNTIFS(DataRegularSeason20242025!$D$3:$D$1315,$A19, DataRegularSeason20242025!$S$3:$S$1315, $A19,DataRegularSeason20242025!$M$3:$M$1315,"OT")</f>
        <v>0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0</v>
      </c>
      <c r="U19">
        <f>COUNTIFS(DataRegularSeason20242025!$E$3:$E$1315,$A19, DataRegularSeason20242025!$L$3:$L$1315, $A19,DataRegularSeason20242025!$N$3:$N$1315,1,DataRegularSeason20242025!$M$3:$M$1315,"REG")</f>
        <v>0</v>
      </c>
      <c r="V19">
        <f>COUNTIFS(DataRegularSeason20242025!$E$3:$E$1315,$A19, DataRegularSeason20242025!$L$3:$L$1315, $A19,DataRegularSeason20242025!$N$3:$N$1315,1,DataRegularSeason20242025!$M$3:$M$1315,"OT")</f>
        <v>0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 t="shared" si="2"/>
        <v>0</v>
      </c>
      <c r="Y19">
        <f>COUNTIFS(DataRegularSeason20242025!$E$3:$E$1315,$A19, DataRegularSeason20242025!$S$3:$S$1315, $A19,DataRegularSeason20242025!$M$3:$M$1315,"REG")</f>
        <v>0</v>
      </c>
      <c r="Z19">
        <f>COUNTIFS(DataRegularSeason20242025!$E$3:$E$1315,$A19, DataRegularSeason20242025!$S$3:$S$1315, $A19,DataRegularSeason20242025!$M$3:$M$1315,"OT")</f>
        <v>0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</v>
      </c>
      <c r="AC19">
        <f>Table3[[#This Row],[W_A]]+Table3[[#This Row],[W_H]]</f>
        <v>0</v>
      </c>
      <c r="AD19">
        <f>Table3[[#This Row],[L_A]]+Table3[[#This Row],[L_H]]</f>
        <v>0</v>
      </c>
      <c r="AE19">
        <f>Table3[[#This Row],[RW_A]]+Table3[[#This Row],[RW_H]]</f>
        <v>0</v>
      </c>
      <c r="AF19">
        <f>Table3[[#This Row],[RL_A]]+Table3[[#This Row],[RL_H]]</f>
        <v>0</v>
      </c>
      <c r="AG19">
        <f>Table3[[#This Row],[OTW_A]]+Table3[[#This Row],[OTW_H]]</f>
        <v>0</v>
      </c>
      <c r="AH19">
        <f>Table3[[#This Row],[OTL_A]]+Table3[[#This Row],[OTL_H]]</f>
        <v>0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0-0</v>
      </c>
      <c r="AL19">
        <f>SUM(Table3[[#This Row],[OTW]],Table3[[#This Row],[OTL]],Table3[[#This Row],[SOW]],Table3[[#This Row],[SOL]])</f>
        <v>0</v>
      </c>
      <c r="AM19">
        <f>(Table3[[#This Row],[OTW]]+Table3[[#This Row],[SOW]])/IF(Table3[[#This Row],[Total_ExtraTimes]]=0,1,Table3[[#This Row],[Total_ExtraTimes]])</f>
        <v>0</v>
      </c>
      <c r="AN19">
        <f>Table3[[#This Row],[Total_ExtraTimes]]/MAX(1,Table3[[#This Row],[GP]])</f>
        <v>0</v>
      </c>
      <c r="AO19">
        <f>(2*(Table3[[#This Row],[W_A]]+Table3[[#This Row],[W_H]]))+Table3[[#This Row],[OTL_A]]+Table3[[#This Row],[SOL_A]]+Table3[[#This Row],[OTL_H]]+Table3[[#This Row],[SOL_H]]</f>
        <v>0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9" s="10" t="e">
        <f>Table3[[#This Row],[PTS]]/(2*Table3[[#This Row],[GP]])</f>
        <v>#DIV/0!</v>
      </c>
      <c r="AR19" s="10" t="e">
        <f>Table3[[#This Row],[PTS2]]/(3*Table3[[#This Row],[GP]])</f>
        <v>#DIV/0!</v>
      </c>
      <c r="AS19">
        <f>(2*Table3[[#This Row],[GR]])+Table3[[#This Row],[PTS]]</f>
        <v>164</v>
      </c>
      <c r="AT19">
        <f>(3*Table3[[#This Row],[GR]])+Table3[[#This Row],[PTS2]]</f>
        <v>246</v>
      </c>
      <c r="AU19" t="e">
        <f>Table3[[#This Row],[PTS]]+(2 * Table3[[#This Row],[GR]] * Table3[[#This Row],[PTS%]])</f>
        <v>#DIV/0!</v>
      </c>
      <c r="AV19" t="e">
        <f>Table3[[#This Row],[PTS2]]+(3 * Table3[[#This Row],[GR]] * Table3[[#This Row],[PTS%2]])</f>
        <v>#DIV/0!</v>
      </c>
      <c r="AW19" s="15" t="str">
        <f>_xlfn.CONCAT(TEXT(Table3[[#This Row],[W]], "0"), "-", TEXT(Table3[[#This Row],[RL]],"0"), "-", TEXT(Table3[[#This Row],[OTL]]+Table3[[#This Row],[SOL]], "0"))</f>
        <v>0-0-0</v>
      </c>
      <c r="AX19">
        <f>COUNTIFS(DataRegularSeason20242025!$D$3:$D$1315,Table3[[#This Row],[Teams]],DataRegularSeason20242025!$K$3:$K$1315,0)</f>
        <v>0</v>
      </c>
      <c r="AY19">
        <f>SUMIF(DataRegularSeason20242025!$D$3:$D$1315,$A19, DataRegularSeason20242025!$J$3:$J$1315)</f>
        <v>0</v>
      </c>
      <c r="AZ19">
        <f>SUMIF(DataRegularSeason20242025!$D$3:$D$1315,$A19, DataRegularSeason20242025!$K$3:$K$1315)</f>
        <v>0</v>
      </c>
      <c r="BA19">
        <f t="shared" si="3"/>
        <v>0</v>
      </c>
      <c r="BB19">
        <f>COUNTIFS(DataRegularSeason20242025!$E$3:$E$1315,Table3[[#This Row],[Teams]],DataRegularSeason20242025!$J$3:$J$1315,0)</f>
        <v>0</v>
      </c>
      <c r="BC19">
        <f>SUMIF(DataRegularSeason20242025!$E$3:$E$1315,$A19,DataRegularSeason20242025!$K$3:$K$1315)</f>
        <v>0</v>
      </c>
      <c r="BD19">
        <f>SUMIF(DataRegularSeason20242025!$E$3:$E$1315,$A19,DataRegularSeason20242025!$J$3:$J$1315)</f>
        <v>0</v>
      </c>
      <c r="BE19">
        <f t="shared" si="4"/>
        <v>0</v>
      </c>
      <c r="BF19">
        <f t="shared" si="5"/>
        <v>0</v>
      </c>
      <c r="BG19">
        <f t="shared" si="6"/>
        <v>0</v>
      </c>
      <c r="BH19">
        <f t="shared" si="7"/>
        <v>0</v>
      </c>
      <c r="BI19" s="12" t="e">
        <f>Table3[[#This Row],[GF]]/Table3[[#This Row],[GP]]</f>
        <v>#DIV/0!</v>
      </c>
      <c r="BJ19" s="12" t="e">
        <f>Table3[[#This Row],[GA]]/Table3[[#This Row],[GP]]</f>
        <v>#DIV/0!</v>
      </c>
      <c r="BK19" s="12" t="e">
        <f>(Table3[[#This Row],[GF]]-Table3[[#This Row],[GA]])/Table3[[#This Row],[GP]]</f>
        <v>#DIV/0!</v>
      </c>
      <c r="BL19" s="42" t="str">
        <f>_xlfn.CONCAT(TEXT(Table3[[#This Row],[W_H]], "0"), "-", TEXT(Table3[[#This Row],[RL_H]],"0"), "-", TEXT(Table3[[#This Row],[OTL_H]]+Table3[[#This Row],[SOL_H]], "0"))</f>
        <v>0-0-0</v>
      </c>
      <c r="BM19" s="42" t="str">
        <f>_xlfn.CONCAT(TEXT(Table3[[#This Row],[W_A]], "0"), "-", TEXT(Table3[[#This Row],[RL_A]],"0"), "-", TEXT(Table3[[#This Row],[OTL_A]]+Table3[[#This Row],[SOL_A]], "0"))</f>
        <v>0-0-0</v>
      </c>
      <c r="BN19" s="42" t="e">
        <f>((2*(Table3[[#This Row],[W_H]]))+Table3[[#This Row],[OTL_H]]+Table3[[#This Row],[SOL_H]])/(2*Table3[[#This Row],[GP_H]])</f>
        <v>#DIV/0!</v>
      </c>
      <c r="BO19" s="42" t="e">
        <f>((2*(Table3[[#This Row],[W_A]]))+Table3[[#This Row],[OTL_A]]+Table3[[#This Row],[SOL_A]])/(2*Table3[[#This Row],[GP_A]])</f>
        <v>#DIV/0!</v>
      </c>
      <c r="BP19" s="16">
        <f>(Table3[[#This Row],[W]]*$CX$3)+(Table3[[#This Row],[L]]*$CX$4)+(Table3[[#This Row],[GF]]*$CX$5)+(Table3[[#This Row],[GA]]*$CX$6)</f>
        <v>0</v>
      </c>
      <c r="BQ19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9" s="16">
        <f>(Table3[[#This Row],[W]]*0.7) + ((Table3[[#This Row],[GF]] - Table3[[#This Row],[GA]])*0.25)+(Table3[[#This Row],[GF]]*0.1)+(Table3[[#This Row],[GA]]*0.05)+(Table3[[#This Row],[L]]*0.3)</f>
        <v>0</v>
      </c>
      <c r="BS19" s="16" t="e">
        <f>Table3[[#This Row],[TeamCost83]]/Table3[[#This Row],[GP]]</f>
        <v>#DIV/0!</v>
      </c>
      <c r="BT19">
        <f>COUNTIFS(Table2[AwayTeam],$A19,Table2[PredictedWinner], $A19, Table2[GameIsOver], 1)</f>
        <v>0</v>
      </c>
      <c r="BU19">
        <f>COUNTIFS(Table2[HomeTeam],$A19,Table2[PredictedWinner], $A19, Table2[GameIsOver], 1)</f>
        <v>0</v>
      </c>
      <c r="BV19">
        <f t="shared" si="8"/>
        <v>0</v>
      </c>
      <c r="BW19">
        <f t="shared" si="9"/>
        <v>0</v>
      </c>
      <c r="BX19">
        <f t="shared" si="10"/>
        <v>0</v>
      </c>
      <c r="BY19">
        <f t="shared" si="11"/>
        <v>0</v>
      </c>
      <c r="BZ19" t="e">
        <f>Table3[[#This Row],[TimesPredictedWinner]]/Table3[[#This Row],[GP]]</f>
        <v>#DIV/0!</v>
      </c>
      <c r="CB19">
        <v>1983</v>
      </c>
      <c r="CC19" s="1">
        <v>45759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0</v>
      </c>
      <c r="CJ19">
        <f>SUMIFS(Table2[GamePredictionScore], Table2[HomeTeam], Table3[[#This Row],[Teams]])</f>
        <v>0</v>
      </c>
      <c r="CK19">
        <f>Table3[[#This Row],[Column4]]+Table3[[#This Row],[Column3]]</f>
        <v>0</v>
      </c>
      <c r="CL19" t="e">
        <f>Table3[[#This Row],[Column5]]/Table3[[#This Row],[GP]]</f>
        <v>#DIV/0!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12"/>
        <v>0.64999999999999991</v>
      </c>
      <c r="DA19" s="16">
        <f t="shared" si="12"/>
        <v>0.75</v>
      </c>
      <c r="DB19" s="16">
        <f t="shared" si="12"/>
        <v>0.85000000000000009</v>
      </c>
      <c r="DC19" s="16">
        <f t="shared" si="12"/>
        <v>0.95</v>
      </c>
      <c r="DD19" s="16">
        <f t="shared" si="12"/>
        <v>1.05</v>
      </c>
      <c r="DE19" s="16">
        <f t="shared" si="12"/>
        <v>1.1500000000000001</v>
      </c>
      <c r="DF19" s="16">
        <f t="shared" si="12"/>
        <v>1.25</v>
      </c>
      <c r="DG19" s="16">
        <f t="shared" si="12"/>
        <v>1.35</v>
      </c>
      <c r="DH19" s="74">
        <f t="shared" si="12"/>
        <v>1.45</v>
      </c>
      <c r="EB19" s="72"/>
      <c r="EC19" s="57">
        <v>1</v>
      </c>
      <c r="ED19" s="16">
        <f t="shared" ref="ED19:EN19" si="14">(IF($EC19&gt;EC$17, 1, 0)*0.7) + (($EC19 - EC$17)*0.25)+($EC19*0.1)+(EC$17*0.05)+(IF($EC19&gt;EC$17, 1, 0)*0.3)</f>
        <v>1.35</v>
      </c>
      <c r="EE19" s="16">
        <f t="shared" si="14"/>
        <v>1.35</v>
      </c>
      <c r="EF19" s="16">
        <f t="shared" si="14"/>
        <v>0.15000000000000002</v>
      </c>
      <c r="EG19" s="16">
        <f t="shared" si="14"/>
        <v>-4.9999999999999989E-2</v>
      </c>
      <c r="EH19" s="16">
        <f t="shared" si="14"/>
        <v>-0.25</v>
      </c>
      <c r="EI19" s="16">
        <f t="shared" si="14"/>
        <v>-0.45</v>
      </c>
      <c r="EJ19" s="16">
        <f t="shared" si="14"/>
        <v>-0.65</v>
      </c>
      <c r="EK19" s="16">
        <f t="shared" si="14"/>
        <v>-0.84999999999999987</v>
      </c>
      <c r="EL19" s="16">
        <f t="shared" si="14"/>
        <v>-1.0499999999999998</v>
      </c>
      <c r="EM19" s="16">
        <f t="shared" si="14"/>
        <v>-1.25</v>
      </c>
      <c r="EN19" s="16">
        <f t="shared" si="14"/>
        <v>-1.45</v>
      </c>
    </row>
    <row r="20" spans="1:144" x14ac:dyDescent="0.25">
      <c r="A20" t="s">
        <v>44</v>
      </c>
      <c r="B20" t="s">
        <v>90</v>
      </c>
      <c r="C20" t="s">
        <v>93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0</v>
      </c>
      <c r="E20" s="10" t="e">
        <f>Table3[[#This Row],[Watched]]/Table3[[#This Row],[GP]]</f>
        <v>#DIV/0!</v>
      </c>
      <c r="F20">
        <f>COUNTIFS(DataRegularSeason20242025!$N$3:$N$1315,1,DataRegularSeason20242025!$D$3:$D$1315,$A20)</f>
        <v>0</v>
      </c>
      <c r="G20">
        <f>41-Table3[[#This Row],[GP_A]]</f>
        <v>41</v>
      </c>
      <c r="H20">
        <f>COUNTIFS(DataRegularSeason20242025!$E$3:$E$1315,$A20,DataRegularSeason20242025!$N$3:$N$1315,1)</f>
        <v>0</v>
      </c>
      <c r="I20">
        <f>41-Table3[[#This Row],[GP_H]]</f>
        <v>41</v>
      </c>
      <c r="J20">
        <f t="shared" si="0"/>
        <v>0</v>
      </c>
      <c r="K20">
        <f>82-Table3[[#This Row],[GP]]</f>
        <v>82</v>
      </c>
      <c r="L20">
        <f>COUNTIFS(DataRegularSeason20242025!$D$3:$D$1315,$A20, DataRegularSeason20242025!$L$3:$L$1315, $A20,DataRegularSeason20242025!$N$3:$N$1315,1)</f>
        <v>0</v>
      </c>
      <c r="M20">
        <f>COUNTIFS(DataRegularSeason20242025!$D$3:$D$1315,$A20, DataRegularSeason20242025!$L$3:$L$1315, $A20,DataRegularSeason20242025!$N$3:$N$1315,1,DataRegularSeason20242025!$M$3:$M$1315,"REG")</f>
        <v>0</v>
      </c>
      <c r="N20">
        <f>COUNTIFS(DataRegularSeason20242025!$D$3:$D$1315,$A20, DataRegularSeason20242025!$L$3:$L$1315, $A20,DataRegularSeason20242025!$N$3:$N$1315,1,DataRegularSeason20242025!$M$3:$M$1315,"OT")</f>
        <v>0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 t="shared" si="1"/>
        <v>0</v>
      </c>
      <c r="Q20">
        <f>COUNTIFS(DataRegularSeason20242025!$D$3:$D$1315,$A20, DataRegularSeason20242025!$S$3:$S$1315, $A20,DataRegularSeason20242025!$M$3:$M$1315,"REG")</f>
        <v>0</v>
      </c>
      <c r="R20">
        <f>COUNTIFS(DataRegularSeason20242025!$D$3:$D$1315,$A20, DataRegularSeason20242025!$S$3:$S$1315, $A20,DataRegularSeason20242025!$M$3:$M$1315,"OT")</f>
        <v>0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0</v>
      </c>
      <c r="U20">
        <f>COUNTIFS(DataRegularSeason20242025!$E$3:$E$1315,$A20, DataRegularSeason20242025!$L$3:$L$1315, $A20,DataRegularSeason20242025!$N$3:$N$1315,1,DataRegularSeason20242025!$M$3:$M$1315,"REG")</f>
        <v>0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 t="shared" si="2"/>
        <v>0</v>
      </c>
      <c r="Y20">
        <f>COUNTIFS(DataRegularSeason20242025!$E$3:$E$1315,$A20, DataRegularSeason20242025!$S$3:$S$1315, $A20,DataRegularSeason20242025!$M$3:$M$1315,"REG")</f>
        <v>0</v>
      </c>
      <c r="Z20">
        <f>COUNTIFS(DataRegularSeason20242025!$E$3:$E$1315,$A20, DataRegularSeason20242025!$S$3:$S$1315, $A20,DataRegularSeason20242025!$M$3:$M$1315,"OT")</f>
        <v>0</v>
      </c>
      <c r="AA20">
        <f>COUNTIFS(DataRegularSeason20242025!$E$3:$E$1315,$A20, DataRegularSeason20242025!$S$3:$S$1315, $A20,DataRegularSeason20242025!$M$3:$M$1315,"SO")</f>
        <v>0</v>
      </c>
      <c r="AB20">
        <f>Table3[[#This Row],[W]]/MAX(1,Table3[[#This Row],[W]]+Table3[[#This Row],[L]])</f>
        <v>0</v>
      </c>
      <c r="AC20">
        <f>Table3[[#This Row],[W_A]]+Table3[[#This Row],[W_H]]</f>
        <v>0</v>
      </c>
      <c r="AD20">
        <f>Table3[[#This Row],[L_A]]+Table3[[#This Row],[L_H]]</f>
        <v>0</v>
      </c>
      <c r="AE20">
        <f>Table3[[#This Row],[RW_A]]+Table3[[#This Row],[RW_H]]</f>
        <v>0</v>
      </c>
      <c r="AF20">
        <f>Table3[[#This Row],[RL_A]]+Table3[[#This Row],[RL_H]]</f>
        <v>0</v>
      </c>
      <c r="AG20">
        <f>Table3[[#This Row],[OTW_A]]+Table3[[#This Row],[OTW_H]]</f>
        <v>0</v>
      </c>
      <c r="AH20">
        <f>Table3[[#This Row],[OTL_A]]+Table3[[#This Row],[OTL_H]]</f>
        <v>0</v>
      </c>
      <c r="AI20">
        <f>Table3[[#This Row],[SOW_A]]+Table3[[#This Row],[SOW_H]]</f>
        <v>0</v>
      </c>
      <c r="AJ20">
        <f>Table3[[#This Row],[SOL_A]]+Table3[[#This Row],[SOL_H]]</f>
        <v>0</v>
      </c>
      <c r="AK20" s="15" t="str">
        <f>_xlfn.CONCAT(TEXT(Table3[[#This Row],[OTW]]+Table3[[#This Row],[SOW]], "0"), "-", TEXT(Table3[[#This Row],[OTL]]+Table3[[#This Row],[SOL]],"0"))</f>
        <v>0-0</v>
      </c>
      <c r="AL20">
        <f>SUM(Table3[[#This Row],[OTW]],Table3[[#This Row],[OTL]],Table3[[#This Row],[SOW]],Table3[[#This Row],[SOL]])</f>
        <v>0</v>
      </c>
      <c r="AM20">
        <f>(Table3[[#This Row],[OTW]]+Table3[[#This Row],[SOW]])/IF(Table3[[#This Row],[Total_ExtraTimes]]=0,1,Table3[[#This Row],[Total_ExtraTimes]])</f>
        <v>0</v>
      </c>
      <c r="AN20">
        <f>Table3[[#This Row],[Total_ExtraTimes]]/MAX(1,Table3[[#This Row],[GP]])</f>
        <v>0</v>
      </c>
      <c r="AO20">
        <f>(2*(Table3[[#This Row],[W_A]]+Table3[[#This Row],[W_H]]))+Table3[[#This Row],[OTL_A]]+Table3[[#This Row],[SOL_A]]+Table3[[#This Row],[OTL_H]]+Table3[[#This Row],[SOL_H]]</f>
        <v>0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0" s="10" t="e">
        <f>Table3[[#This Row],[PTS]]/(2*Table3[[#This Row],[GP]])</f>
        <v>#DIV/0!</v>
      </c>
      <c r="AR20" s="10" t="e">
        <f>Table3[[#This Row],[PTS2]]/(3*Table3[[#This Row],[GP]])</f>
        <v>#DIV/0!</v>
      </c>
      <c r="AS20">
        <f>(2*Table3[[#This Row],[GR]])+Table3[[#This Row],[PTS]]</f>
        <v>164</v>
      </c>
      <c r="AT20">
        <f>(3*Table3[[#This Row],[GR]])+Table3[[#This Row],[PTS2]]</f>
        <v>246</v>
      </c>
      <c r="AU20" t="e">
        <f>Table3[[#This Row],[PTS]]+(2 * Table3[[#This Row],[GR]] * Table3[[#This Row],[PTS%]])</f>
        <v>#DIV/0!</v>
      </c>
      <c r="AV20" t="e">
        <f>Table3[[#This Row],[PTS2]]+(3 * Table3[[#This Row],[GR]] * Table3[[#This Row],[PTS%2]])</f>
        <v>#DIV/0!</v>
      </c>
      <c r="AW20" s="15" t="str">
        <f>_xlfn.CONCAT(TEXT(Table3[[#This Row],[W]], "0"), "-", TEXT(Table3[[#This Row],[RL]],"0"), "-", TEXT(Table3[[#This Row],[OTL]]+Table3[[#This Row],[SOL]], "0"))</f>
        <v>0-0-0</v>
      </c>
      <c r="AX20">
        <f>COUNTIFS(DataRegularSeason20242025!$D$3:$D$1315,Table3[[#This Row],[Teams]],DataRegularSeason20242025!$K$3:$K$1315,0)</f>
        <v>0</v>
      </c>
      <c r="AY20">
        <f>SUMIF(DataRegularSeason20242025!$D$3:$D$1315,$A20, DataRegularSeason20242025!$J$3:$J$1315)</f>
        <v>0</v>
      </c>
      <c r="AZ20">
        <f>SUMIF(DataRegularSeason20242025!$D$3:$D$1315,$A20, DataRegularSeason20242025!$K$3:$K$1315)</f>
        <v>0</v>
      </c>
      <c r="BA20">
        <f t="shared" si="3"/>
        <v>0</v>
      </c>
      <c r="BB20">
        <f>COUNTIFS(DataRegularSeason20242025!$E$3:$E$1315,Table3[[#This Row],[Teams]],DataRegularSeason20242025!$J$3:$J$1315,0)</f>
        <v>0</v>
      </c>
      <c r="BC20">
        <f>SUMIF(DataRegularSeason20242025!$E$3:$E$1315,$A20,DataRegularSeason20242025!$K$3:$K$1315)</f>
        <v>0</v>
      </c>
      <c r="BD20">
        <f>SUMIF(DataRegularSeason20242025!$E$3:$E$1315,$A20,DataRegularSeason20242025!$J$3:$J$1315)</f>
        <v>0</v>
      </c>
      <c r="BE20">
        <f t="shared" si="4"/>
        <v>0</v>
      </c>
      <c r="BF20">
        <f t="shared" si="5"/>
        <v>0</v>
      </c>
      <c r="BG20">
        <f t="shared" si="6"/>
        <v>0</v>
      </c>
      <c r="BH20">
        <f t="shared" si="7"/>
        <v>0</v>
      </c>
      <c r="BI20" s="12" t="e">
        <f>Table3[[#This Row],[GF]]/Table3[[#This Row],[GP]]</f>
        <v>#DIV/0!</v>
      </c>
      <c r="BJ20" s="12" t="e">
        <f>Table3[[#This Row],[GA]]/Table3[[#This Row],[GP]]</f>
        <v>#DIV/0!</v>
      </c>
      <c r="BK20" s="12" t="e">
        <f>(Table3[[#This Row],[GF]]-Table3[[#This Row],[GA]])/Table3[[#This Row],[GP]]</f>
        <v>#DIV/0!</v>
      </c>
      <c r="BL20" s="42" t="str">
        <f>_xlfn.CONCAT(TEXT(Table3[[#This Row],[W_H]], "0"), "-", TEXT(Table3[[#This Row],[RL_H]],"0"), "-", TEXT(Table3[[#This Row],[OTL_H]]+Table3[[#This Row],[SOL_H]], "0"))</f>
        <v>0-0-0</v>
      </c>
      <c r="BM20" s="42" t="str">
        <f>_xlfn.CONCAT(TEXT(Table3[[#This Row],[W_A]], "0"), "-", TEXT(Table3[[#This Row],[RL_A]],"0"), "-", TEXT(Table3[[#This Row],[OTL_A]]+Table3[[#This Row],[SOL_A]], "0"))</f>
        <v>0-0-0</v>
      </c>
      <c r="BN20" s="42" t="e">
        <f>((2*(Table3[[#This Row],[W_H]]))+Table3[[#This Row],[OTL_H]]+Table3[[#This Row],[SOL_H]])/(2*Table3[[#This Row],[GP_H]])</f>
        <v>#DIV/0!</v>
      </c>
      <c r="BO20" s="42" t="e">
        <f>((2*(Table3[[#This Row],[W_A]]))+Table3[[#This Row],[OTL_A]]+Table3[[#This Row],[SOL_A]])/(2*Table3[[#This Row],[GP_A]])</f>
        <v>#DIV/0!</v>
      </c>
      <c r="BP20" s="16">
        <f>(Table3[[#This Row],[W]]*$CX$3)+(Table3[[#This Row],[L]]*$CX$4)+(Table3[[#This Row],[GF]]*$CX$5)+(Table3[[#This Row],[GA]]*$CX$6)</f>
        <v>0</v>
      </c>
      <c r="BQ20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0" s="16">
        <f>(Table3[[#This Row],[W]]*0.7) + ((Table3[[#This Row],[GF]] - Table3[[#This Row],[GA]])*0.25)+(Table3[[#This Row],[GF]]*0.1)+(Table3[[#This Row],[GA]]*0.05)+(Table3[[#This Row],[L]]*0.3)</f>
        <v>0</v>
      </c>
      <c r="BS20" s="16" t="e">
        <f>Table3[[#This Row],[TeamCost83]]/Table3[[#This Row],[GP]]</f>
        <v>#DIV/0!</v>
      </c>
      <c r="BT20">
        <f>COUNTIFS(Table2[AwayTeam],$A20,Table2[PredictedWinner], $A20, Table2[GameIsOver], 1)</f>
        <v>0</v>
      </c>
      <c r="BU20">
        <f>COUNTIFS(Table2[HomeTeam],$A20,Table2[PredictedWinner], $A20, Table2[GameIsOver], 1)</f>
        <v>0</v>
      </c>
      <c r="BV20">
        <f t="shared" si="8"/>
        <v>0</v>
      </c>
      <c r="BW20">
        <f t="shared" si="9"/>
        <v>0</v>
      </c>
      <c r="BX20">
        <f t="shared" si="10"/>
        <v>0</v>
      </c>
      <c r="BY20">
        <f t="shared" si="11"/>
        <v>0</v>
      </c>
      <c r="BZ20" t="e">
        <f>Table3[[#This Row],[TimesPredictedWinner]]/Table3[[#This Row],[GP]]</f>
        <v>#DIV/0!</v>
      </c>
      <c r="CA20" s="4"/>
      <c r="CB20">
        <v>2007</v>
      </c>
      <c r="CC20" s="1">
        <v>45750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0</v>
      </c>
      <c r="CJ20">
        <f>SUMIFS(Table2[GamePredictionScore], Table2[HomeTeam], Table3[[#This Row],[Teams]])</f>
        <v>0</v>
      </c>
      <c r="CK20">
        <f>Table3[[#This Row],[Column4]]+Table3[[#This Row],[Column3]]</f>
        <v>0</v>
      </c>
      <c r="CL20" t="e">
        <f>Table3[[#This Row],[Column5]]/Table3[[#This Row],[GP]]</f>
        <v>#DIV/0!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12"/>
        <v>0.90000000000000013</v>
      </c>
      <c r="DB20" s="16">
        <f t="shared" si="12"/>
        <v>1</v>
      </c>
      <c r="DC20" s="16">
        <f t="shared" si="12"/>
        <v>1.1000000000000001</v>
      </c>
      <c r="DD20" s="16">
        <f t="shared" si="12"/>
        <v>1.2000000000000002</v>
      </c>
      <c r="DE20" s="16">
        <f t="shared" si="12"/>
        <v>1.3</v>
      </c>
      <c r="DF20" s="16">
        <f t="shared" si="12"/>
        <v>1.4000000000000001</v>
      </c>
      <c r="DG20" s="16">
        <f t="shared" si="12"/>
        <v>1.5</v>
      </c>
      <c r="DH20" s="74">
        <f t="shared" si="12"/>
        <v>1.6</v>
      </c>
      <c r="EB20" s="72"/>
      <c r="EC20" s="57">
        <v>2</v>
      </c>
      <c r="ED20" s="16">
        <f t="shared" ref="ED20:EN20" si="15">(IF($EC20&gt;EC$17, 1, 0)*0.7) + (($EC20 - EC$17)*0.25)+($EC20*0.1)+(EC$17*0.05)+(IF($EC20&gt;EC$17, 1, 0)*0.3)</f>
        <v>1.7</v>
      </c>
      <c r="EE20" s="16">
        <f t="shared" si="15"/>
        <v>1.7</v>
      </c>
      <c r="EF20" s="16">
        <f t="shared" si="15"/>
        <v>1.5</v>
      </c>
      <c r="EG20" s="16">
        <f t="shared" si="15"/>
        <v>0.30000000000000004</v>
      </c>
      <c r="EH20" s="16">
        <f t="shared" si="15"/>
        <v>0.10000000000000003</v>
      </c>
      <c r="EI20" s="16">
        <f t="shared" si="15"/>
        <v>-9.9999999999999978E-2</v>
      </c>
      <c r="EJ20" s="16">
        <f t="shared" si="15"/>
        <v>-0.30000000000000004</v>
      </c>
      <c r="EK20" s="16">
        <f t="shared" si="15"/>
        <v>-0.5</v>
      </c>
      <c r="EL20" s="16">
        <f t="shared" si="15"/>
        <v>-0.7</v>
      </c>
      <c r="EM20" s="16">
        <f t="shared" si="15"/>
        <v>-0.9</v>
      </c>
      <c r="EN20" s="16">
        <f t="shared" si="15"/>
        <v>-1.1000000000000001</v>
      </c>
    </row>
    <row r="21" spans="1:144" x14ac:dyDescent="0.25">
      <c r="A21" t="s">
        <v>28</v>
      </c>
      <c r="B21" t="s">
        <v>91</v>
      </c>
      <c r="C21" t="s">
        <v>74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0</v>
      </c>
      <c r="E21" s="10" t="e">
        <f>Table3[[#This Row],[Watched]]/Table3[[#This Row],[GP]]</f>
        <v>#DIV/0!</v>
      </c>
      <c r="F21">
        <f>COUNTIFS(DataRegularSeason20242025!$N$3:$N$1315,1,DataRegularSeason20242025!$D$3:$D$1315,$A21)</f>
        <v>0</v>
      </c>
      <c r="G21">
        <f>41-Table3[[#This Row],[GP_A]]</f>
        <v>41</v>
      </c>
      <c r="H21">
        <f>COUNTIFS(DataRegularSeason20242025!$E$3:$E$1315,$A21,DataRegularSeason20242025!$N$3:$N$1315,1)</f>
        <v>0</v>
      </c>
      <c r="I21">
        <f>41-Table3[[#This Row],[GP_H]]</f>
        <v>41</v>
      </c>
      <c r="J21">
        <f t="shared" si="0"/>
        <v>0</v>
      </c>
      <c r="K21">
        <f>82-Table3[[#This Row],[GP]]</f>
        <v>82</v>
      </c>
      <c r="L21">
        <f>COUNTIFS(DataRegularSeason20242025!$D$3:$D$1315,$A21, DataRegularSeason20242025!$L$3:$L$1315, $A21,DataRegularSeason20242025!$N$3:$N$1315,1)</f>
        <v>0</v>
      </c>
      <c r="M21">
        <f>COUNTIFS(DataRegularSeason20242025!$D$3:$D$1315,$A21, DataRegularSeason20242025!$L$3:$L$1315, $A21,DataRegularSeason20242025!$N$3:$N$1315,1,DataRegularSeason20242025!$M$3:$M$1315,"REG")</f>
        <v>0</v>
      </c>
      <c r="N21">
        <f>COUNTIFS(DataRegularSeason20242025!$D$3:$D$1315,$A21, DataRegularSeason20242025!$L$3:$L$1315, $A21,DataRegularSeason20242025!$N$3:$N$1315,1,DataRegularSeason20242025!$M$3:$M$1315,"OT")</f>
        <v>0</v>
      </c>
      <c r="O21">
        <f>COUNTIFS(DataRegularSeason20242025!$D$3:$D$1315,$A21, DataRegularSeason20242025!$L$3:$L$1315, $A21,DataRegularSeason20242025!$N$3:$N$1315,1,DataRegularSeason20242025!$M$3:$M$1315,"SO")</f>
        <v>0</v>
      </c>
      <c r="P21">
        <f t="shared" si="1"/>
        <v>0</v>
      </c>
      <c r="Q21">
        <f>COUNTIFS(DataRegularSeason20242025!$D$3:$D$1315,$A21, DataRegularSeason20242025!$S$3:$S$1315, $A21,DataRegularSeason20242025!$M$3:$M$1315,"REG")</f>
        <v>0</v>
      </c>
      <c r="R21">
        <f>COUNTIFS(DataRegularSeason20242025!$D$3:$D$1315,$A21, DataRegularSeason20242025!$S$3:$S$1315, $A21,DataRegularSeason20242025!$M$3:$M$1315,"OT")</f>
        <v>0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0</v>
      </c>
      <c r="U21">
        <f>COUNTIFS(DataRegularSeason20242025!$E$3:$E$1315,$A21, DataRegularSeason20242025!$L$3:$L$1315, $A21,DataRegularSeason20242025!$N$3:$N$1315,1,DataRegularSeason20242025!$M$3:$M$1315,"REG")</f>
        <v>0</v>
      </c>
      <c r="V21">
        <f>COUNTIFS(DataRegularSeason20242025!$E$3:$E$1315,$A21, DataRegularSeason20242025!$L$3:$L$1315, $A21,DataRegularSeason20242025!$N$3:$N$1315,1,DataRegularSeason20242025!$M$3:$M$1315,"OT")</f>
        <v>0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 t="shared" si="2"/>
        <v>0</v>
      </c>
      <c r="Y21">
        <f>COUNTIFS(DataRegularSeason20242025!$E$3:$E$1315,$A21, DataRegularSeason20242025!$S$3:$S$1315, $A21,DataRegularSeason20242025!$M$3:$M$1315,"REG")</f>
        <v>0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</v>
      </c>
      <c r="AC21">
        <f>Table3[[#This Row],[W_A]]+Table3[[#This Row],[W_H]]</f>
        <v>0</v>
      </c>
      <c r="AD21">
        <f>Table3[[#This Row],[L_A]]+Table3[[#This Row],[L_H]]</f>
        <v>0</v>
      </c>
      <c r="AE21">
        <f>Table3[[#This Row],[RW_A]]+Table3[[#This Row],[RW_H]]</f>
        <v>0</v>
      </c>
      <c r="AF21">
        <f>Table3[[#This Row],[RL_A]]+Table3[[#This Row],[RL_H]]</f>
        <v>0</v>
      </c>
      <c r="AG21">
        <f>Table3[[#This Row],[OTW_A]]+Table3[[#This Row],[OTW_H]]</f>
        <v>0</v>
      </c>
      <c r="AH21">
        <f>Table3[[#This Row],[OTL_A]]+Table3[[#This Row],[OTL_H]]</f>
        <v>0</v>
      </c>
      <c r="AI21">
        <f>Table3[[#This Row],[SOW_A]]+Table3[[#This Row],[SOW_H]]</f>
        <v>0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0-0</v>
      </c>
      <c r="AL21">
        <f>SUM(Table3[[#This Row],[OTW]],Table3[[#This Row],[OTL]],Table3[[#This Row],[SOW]],Table3[[#This Row],[SOL]])</f>
        <v>0</v>
      </c>
      <c r="AM21">
        <f>(Table3[[#This Row],[OTW]]+Table3[[#This Row],[SOW]])/IF(Table3[[#This Row],[Total_ExtraTimes]]=0,1,Table3[[#This Row],[Total_ExtraTimes]])</f>
        <v>0</v>
      </c>
      <c r="AN21">
        <f>Table3[[#This Row],[Total_ExtraTimes]]/MAX(1,Table3[[#This Row],[GP]])</f>
        <v>0</v>
      </c>
      <c r="AO21">
        <f>(2*(Table3[[#This Row],[W_A]]+Table3[[#This Row],[W_H]]))+Table3[[#This Row],[OTL_A]]+Table3[[#This Row],[SOL_A]]+Table3[[#This Row],[OTL_H]]+Table3[[#This Row],[SOL_H]]</f>
        <v>0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1" s="10" t="e">
        <f>Table3[[#This Row],[PTS]]/(2*Table3[[#This Row],[GP]])</f>
        <v>#DIV/0!</v>
      </c>
      <c r="AR21" s="10" t="e">
        <f>Table3[[#This Row],[PTS2]]/(3*Table3[[#This Row],[GP]])</f>
        <v>#DIV/0!</v>
      </c>
      <c r="AS21">
        <f>(2*Table3[[#This Row],[GR]])+Table3[[#This Row],[PTS]]</f>
        <v>164</v>
      </c>
      <c r="AT21">
        <f>(3*Table3[[#This Row],[GR]])+Table3[[#This Row],[PTS2]]</f>
        <v>246</v>
      </c>
      <c r="AU21" t="e">
        <f>Table3[[#This Row],[PTS]]+(2 * Table3[[#This Row],[GR]] * Table3[[#This Row],[PTS%]])</f>
        <v>#DIV/0!</v>
      </c>
      <c r="AV21" t="e">
        <f>Table3[[#This Row],[PTS2]]+(3 * Table3[[#This Row],[GR]] * Table3[[#This Row],[PTS%2]])</f>
        <v>#DIV/0!</v>
      </c>
      <c r="AW21" s="15" t="str">
        <f>_xlfn.CONCAT(TEXT(Table3[[#This Row],[W]], "0"), "-", TEXT(Table3[[#This Row],[RL]],"0"), "-", TEXT(Table3[[#This Row],[OTL]]+Table3[[#This Row],[SOL]], "0"))</f>
        <v>0-0-0</v>
      </c>
      <c r="AX21">
        <f>COUNTIFS(DataRegularSeason20242025!$D$3:$D$1315,Table3[[#This Row],[Teams]],DataRegularSeason20242025!$K$3:$K$1315,0)</f>
        <v>0</v>
      </c>
      <c r="AY21">
        <f>SUMIF(DataRegularSeason20242025!$D$3:$D$1315,$A21, DataRegularSeason20242025!$J$3:$J$1315)</f>
        <v>0</v>
      </c>
      <c r="AZ21">
        <f>SUMIF(DataRegularSeason20242025!$D$3:$D$1315,$A21, DataRegularSeason20242025!$K$3:$K$1315)</f>
        <v>0</v>
      </c>
      <c r="BA21">
        <f t="shared" si="3"/>
        <v>0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0</v>
      </c>
      <c r="BD21">
        <f>SUMIF(DataRegularSeason20242025!$E$3:$E$1315,$A21,DataRegularSeason20242025!$J$3:$J$1315)</f>
        <v>0</v>
      </c>
      <c r="BE21">
        <f t="shared" si="4"/>
        <v>0</v>
      </c>
      <c r="BF21">
        <f t="shared" si="5"/>
        <v>0</v>
      </c>
      <c r="BG21">
        <f t="shared" si="6"/>
        <v>0</v>
      </c>
      <c r="BH21">
        <f t="shared" si="7"/>
        <v>0</v>
      </c>
      <c r="BI21" s="12" t="e">
        <f>Table3[[#This Row],[GF]]/Table3[[#This Row],[GP]]</f>
        <v>#DIV/0!</v>
      </c>
      <c r="BJ21" s="12" t="e">
        <f>Table3[[#This Row],[GA]]/Table3[[#This Row],[GP]]</f>
        <v>#DIV/0!</v>
      </c>
      <c r="BK21" s="12" t="e">
        <f>(Table3[[#This Row],[GF]]-Table3[[#This Row],[GA]])/Table3[[#This Row],[GP]]</f>
        <v>#DIV/0!</v>
      </c>
      <c r="BL21" s="42" t="str">
        <f>_xlfn.CONCAT(TEXT(Table3[[#This Row],[W_H]], "0"), "-", TEXT(Table3[[#This Row],[RL_H]],"0"), "-", TEXT(Table3[[#This Row],[OTL_H]]+Table3[[#This Row],[SOL_H]], "0"))</f>
        <v>0-0-0</v>
      </c>
      <c r="BM21" s="42" t="str">
        <f>_xlfn.CONCAT(TEXT(Table3[[#This Row],[W_A]], "0"), "-", TEXT(Table3[[#This Row],[RL_A]],"0"), "-", TEXT(Table3[[#This Row],[OTL_A]]+Table3[[#This Row],[SOL_A]], "0"))</f>
        <v>0-0-0</v>
      </c>
      <c r="BN21" s="42" t="e">
        <f>((2*(Table3[[#This Row],[W_H]]))+Table3[[#This Row],[OTL_H]]+Table3[[#This Row],[SOL_H]])/(2*Table3[[#This Row],[GP_H]])</f>
        <v>#DIV/0!</v>
      </c>
      <c r="BO21" s="42" t="e">
        <f>((2*(Table3[[#This Row],[W_A]]))+Table3[[#This Row],[OTL_A]]+Table3[[#This Row],[SOL_A]])/(2*Table3[[#This Row],[GP_A]])</f>
        <v>#DIV/0!</v>
      </c>
      <c r="BP21" s="16">
        <f>(Table3[[#This Row],[W]]*$CX$3)+(Table3[[#This Row],[L]]*$CX$4)+(Table3[[#This Row],[GF]]*$CX$5)+(Table3[[#This Row],[GA]]*$CX$6)</f>
        <v>0</v>
      </c>
      <c r="BQ21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1" s="16">
        <f>(Table3[[#This Row],[W]]*0.7) + ((Table3[[#This Row],[GF]] - Table3[[#This Row],[GA]])*0.25)+(Table3[[#This Row],[GF]]*0.1)+(Table3[[#This Row],[GA]]*0.05)+(Table3[[#This Row],[L]]*0.3)</f>
        <v>0</v>
      </c>
      <c r="BS21" s="16" t="e">
        <f>Table3[[#This Row],[TeamCost83]]/Table3[[#This Row],[GP]]</f>
        <v>#DIV/0!</v>
      </c>
      <c r="BT21">
        <f>COUNTIFS(Table2[AwayTeam],$A21,Table2[PredictedWinner], $A21, Table2[GameIsOver], 1)</f>
        <v>0</v>
      </c>
      <c r="BU21">
        <f>COUNTIFS(Table2[HomeTeam],$A21,Table2[PredictedWinner], $A21, Table2[GameIsOver], 1)</f>
        <v>0</v>
      </c>
      <c r="BV21">
        <f t="shared" si="8"/>
        <v>0</v>
      </c>
      <c r="BW21">
        <f t="shared" si="9"/>
        <v>0</v>
      </c>
      <c r="BX21">
        <f t="shared" si="10"/>
        <v>0</v>
      </c>
      <c r="BY21">
        <f t="shared" si="11"/>
        <v>0</v>
      </c>
      <c r="BZ21" t="e">
        <f>Table3[[#This Row],[TimesPredictedWinner]]/Table3[[#This Row],[GP]]</f>
        <v>#DIV/0!</v>
      </c>
      <c r="CC21" s="1">
        <v>45755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0</v>
      </c>
      <c r="CJ21">
        <f>SUMIFS(Table2[GamePredictionScore], Table2[HomeTeam], Table3[[#This Row],[Teams]])</f>
        <v>0</v>
      </c>
      <c r="CK21">
        <f>Table3[[#This Row],[Column4]]+Table3[[#This Row],[Column3]]</f>
        <v>0</v>
      </c>
      <c r="CL21" t="e">
        <f>Table3[[#This Row],[Column5]]/Table3[[#This Row],[GP]]</f>
        <v>#DIV/0!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12"/>
        <v>1.1499999999999999</v>
      </c>
      <c r="DA21" s="73"/>
      <c r="DB21" s="16">
        <f t="shared" si="12"/>
        <v>1.1499999999999999</v>
      </c>
      <c r="DC21" s="16">
        <f t="shared" si="12"/>
        <v>1.25</v>
      </c>
      <c r="DD21" s="16">
        <f t="shared" si="12"/>
        <v>1.35</v>
      </c>
      <c r="DE21" s="16">
        <f t="shared" si="12"/>
        <v>1.45</v>
      </c>
      <c r="DF21" s="16">
        <f t="shared" si="12"/>
        <v>1.55</v>
      </c>
      <c r="DG21" s="16">
        <f t="shared" si="12"/>
        <v>1.6500000000000001</v>
      </c>
      <c r="DH21" s="74">
        <f t="shared" si="12"/>
        <v>1.75</v>
      </c>
      <c r="EB21" s="72"/>
      <c r="EC21" s="57">
        <v>3</v>
      </c>
      <c r="ED21" s="16">
        <f t="shared" ref="ED21:EN21" si="16">(IF($EC21&gt;EC$17, 1, 0)*0.7) + (($EC21 - EC$17)*0.25)+($EC21*0.1)+(EC$17*0.05)+(IF($EC21&gt;EC$17, 1, 0)*0.3)</f>
        <v>2.0499999999999998</v>
      </c>
      <c r="EE21" s="16">
        <f t="shared" si="16"/>
        <v>2.0499999999999998</v>
      </c>
      <c r="EF21" s="16">
        <f t="shared" si="16"/>
        <v>1.85</v>
      </c>
      <c r="EG21" s="16">
        <f t="shared" si="16"/>
        <v>1.6500000000000001</v>
      </c>
      <c r="EH21" s="16">
        <f t="shared" si="16"/>
        <v>0.45000000000000007</v>
      </c>
      <c r="EI21" s="16">
        <f t="shared" si="16"/>
        <v>0.25000000000000006</v>
      </c>
      <c r="EJ21" s="16">
        <f t="shared" si="16"/>
        <v>5.0000000000000044E-2</v>
      </c>
      <c r="EK21" s="16">
        <f t="shared" si="16"/>
        <v>-0.14999999999999991</v>
      </c>
      <c r="EL21" s="16">
        <f t="shared" si="16"/>
        <v>-0.34999999999999992</v>
      </c>
      <c r="EM21" s="16">
        <f t="shared" si="16"/>
        <v>-0.54999999999999993</v>
      </c>
      <c r="EN21" s="16">
        <f t="shared" si="16"/>
        <v>-0.75</v>
      </c>
    </row>
    <row r="22" spans="1:144" x14ac:dyDescent="0.25">
      <c r="A22" t="s">
        <v>11</v>
      </c>
      <c r="B22" t="s">
        <v>90</v>
      </c>
      <c r="C22" t="s">
        <v>93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0</v>
      </c>
      <c r="E22" s="10" t="e">
        <f>Table3[[#This Row],[Watched]]/Table3[[#This Row],[GP]]</f>
        <v>#DIV/0!</v>
      </c>
      <c r="F22">
        <f>COUNTIFS(DataRegularSeason20242025!$N$3:$N$1315,1,DataRegularSeason20242025!$D$3:$D$1315,$A22)</f>
        <v>0</v>
      </c>
      <c r="G22">
        <f>41-Table3[[#This Row],[GP_A]]</f>
        <v>41</v>
      </c>
      <c r="H22">
        <f>COUNTIFS(DataRegularSeason20242025!$E$3:$E$1315,$A22,DataRegularSeason20242025!$N$3:$N$1315,1)</f>
        <v>0</v>
      </c>
      <c r="I22">
        <f>41-Table3[[#This Row],[GP_H]]</f>
        <v>41</v>
      </c>
      <c r="J22">
        <f t="shared" si="0"/>
        <v>0</v>
      </c>
      <c r="K22">
        <f>82-Table3[[#This Row],[GP]]</f>
        <v>82</v>
      </c>
      <c r="L22">
        <f>COUNTIFS(DataRegularSeason20242025!$D$3:$D$1315,$A22, DataRegularSeason20242025!$L$3:$L$1315, $A22,DataRegularSeason20242025!$N$3:$N$1315,1)</f>
        <v>0</v>
      </c>
      <c r="M22">
        <f>COUNTIFS(DataRegularSeason20242025!$D$3:$D$1315,$A22, DataRegularSeason20242025!$L$3:$L$1315, $A22,DataRegularSeason20242025!$N$3:$N$1315,1,DataRegularSeason20242025!$M$3:$M$1315,"REG")</f>
        <v>0</v>
      </c>
      <c r="N22">
        <f>COUNTIFS(DataRegularSeason20242025!$D$3:$D$1315,$A22, DataRegularSeason20242025!$L$3:$L$1315, $A22,DataRegularSeason20242025!$N$3:$N$1315,1,DataRegularSeason20242025!$M$3:$M$1315,"OT")</f>
        <v>0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 t="shared" si="1"/>
        <v>0</v>
      </c>
      <c r="Q22">
        <f>COUNTIFS(DataRegularSeason20242025!$D$3:$D$1315,$A22, DataRegularSeason20242025!$S$3:$S$1315, $A22,DataRegularSeason20242025!$M$3:$M$1315,"REG")</f>
        <v>0</v>
      </c>
      <c r="R22">
        <f>COUNTIFS(DataRegularSeason20242025!$D$3:$D$1315,$A22, DataRegularSeason20242025!$S$3:$S$1315, $A22,DataRegularSeason20242025!$M$3:$M$1315,"OT")</f>
        <v>0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0</v>
      </c>
      <c r="U22">
        <f>COUNTIFS(DataRegularSeason20242025!$E$3:$E$1315,$A22, DataRegularSeason20242025!$L$3:$L$1315, $A22,DataRegularSeason20242025!$N$3:$N$1315,1,DataRegularSeason20242025!$M$3:$M$1315,"REG")</f>
        <v>0</v>
      </c>
      <c r="V22">
        <f>COUNTIFS(DataRegularSeason20242025!$E$3:$E$1315,$A22, DataRegularSeason20242025!$L$3:$L$1315, $A22,DataRegularSeason20242025!$N$3:$N$1315,1,DataRegularSeason20242025!$M$3:$M$1315,"OT")</f>
        <v>0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 t="shared" si="2"/>
        <v>0</v>
      </c>
      <c r="Y22">
        <f>COUNTIFS(DataRegularSeason20242025!$E$3:$E$1315,$A22, DataRegularSeason20242025!$S$3:$S$1315, $A22,DataRegularSeason20242025!$M$3:$M$1315,"REG")</f>
        <v>0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0</v>
      </c>
      <c r="AB22">
        <f>Table3[[#This Row],[W]]/MAX(1,Table3[[#This Row],[W]]+Table3[[#This Row],[L]])</f>
        <v>0</v>
      </c>
      <c r="AC22">
        <f>Table3[[#This Row],[W_A]]+Table3[[#This Row],[W_H]]</f>
        <v>0</v>
      </c>
      <c r="AD22">
        <f>Table3[[#This Row],[L_A]]+Table3[[#This Row],[L_H]]</f>
        <v>0</v>
      </c>
      <c r="AE22">
        <f>Table3[[#This Row],[RW_A]]+Table3[[#This Row],[RW_H]]</f>
        <v>0</v>
      </c>
      <c r="AF22">
        <f>Table3[[#This Row],[RL_A]]+Table3[[#This Row],[RL_H]]</f>
        <v>0</v>
      </c>
      <c r="AG22">
        <f>Table3[[#This Row],[OTW_A]]+Table3[[#This Row],[OTW_H]]</f>
        <v>0</v>
      </c>
      <c r="AH22">
        <f>Table3[[#This Row],[OTL_A]]+Table3[[#This Row],[OTL_H]]</f>
        <v>0</v>
      </c>
      <c r="AI22">
        <f>Table3[[#This Row],[SOW_A]]+Table3[[#This Row],[SOW_H]]</f>
        <v>0</v>
      </c>
      <c r="AJ22">
        <f>Table3[[#This Row],[SOL_A]]+Table3[[#This Row],[SOL_H]]</f>
        <v>0</v>
      </c>
      <c r="AK22" s="15" t="str">
        <f>_xlfn.CONCAT(TEXT(Table3[[#This Row],[OTW]]+Table3[[#This Row],[SOW]], "0"), "-", TEXT(Table3[[#This Row],[OTL]]+Table3[[#This Row],[SOL]],"0"))</f>
        <v>0-0</v>
      </c>
      <c r="AL22">
        <f>SUM(Table3[[#This Row],[OTW]],Table3[[#This Row],[OTL]],Table3[[#This Row],[SOW]],Table3[[#This Row],[SOL]])</f>
        <v>0</v>
      </c>
      <c r="AM22">
        <f>(Table3[[#This Row],[OTW]]+Table3[[#This Row],[SOW]])/IF(Table3[[#This Row],[Total_ExtraTimes]]=0,1,Table3[[#This Row],[Total_ExtraTimes]])</f>
        <v>0</v>
      </c>
      <c r="AN22">
        <f>Table3[[#This Row],[Total_ExtraTimes]]/MAX(1,Table3[[#This Row],[GP]])</f>
        <v>0</v>
      </c>
      <c r="AO22">
        <f>(2*(Table3[[#This Row],[W_A]]+Table3[[#This Row],[W_H]]))+Table3[[#This Row],[OTL_A]]+Table3[[#This Row],[SOL_A]]+Table3[[#This Row],[OTL_H]]+Table3[[#This Row],[SOL_H]]</f>
        <v>0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2" s="10" t="e">
        <f>Table3[[#This Row],[PTS]]/(2*Table3[[#This Row],[GP]])</f>
        <v>#DIV/0!</v>
      </c>
      <c r="AR22" s="10" t="e">
        <f>Table3[[#This Row],[PTS2]]/(3*Table3[[#This Row],[GP]])</f>
        <v>#DIV/0!</v>
      </c>
      <c r="AS22">
        <f>(2*Table3[[#This Row],[GR]])+Table3[[#This Row],[PTS]]</f>
        <v>164</v>
      </c>
      <c r="AT22">
        <f>(3*Table3[[#This Row],[GR]])+Table3[[#This Row],[PTS2]]</f>
        <v>246</v>
      </c>
      <c r="AU22" t="e">
        <f>Table3[[#This Row],[PTS]]+(2 * Table3[[#This Row],[GR]] * Table3[[#This Row],[PTS%]])</f>
        <v>#DIV/0!</v>
      </c>
      <c r="AV22" t="e">
        <f>Table3[[#This Row],[PTS2]]+(3 * Table3[[#This Row],[GR]] * Table3[[#This Row],[PTS%2]])</f>
        <v>#DIV/0!</v>
      </c>
      <c r="AW22" s="15" t="str">
        <f>_xlfn.CONCAT(TEXT(Table3[[#This Row],[W]], "0"), "-", TEXT(Table3[[#This Row],[RL]],"0"), "-", TEXT(Table3[[#This Row],[OTL]]+Table3[[#This Row],[SOL]], "0"))</f>
        <v>0-0-0</v>
      </c>
      <c r="AX22">
        <f>COUNTIFS(DataRegularSeason20242025!$D$3:$D$1315,Table3[[#This Row],[Teams]],DataRegularSeason20242025!$K$3:$K$1315,0)</f>
        <v>0</v>
      </c>
      <c r="AY22">
        <f>SUMIF(DataRegularSeason20242025!$D$3:$D$1315,$A22, DataRegularSeason20242025!$J$3:$J$1315)</f>
        <v>0</v>
      </c>
      <c r="AZ22">
        <f>SUMIF(DataRegularSeason20242025!$D$3:$D$1315,$A22, DataRegularSeason20242025!$K$3:$K$1315)</f>
        <v>0</v>
      </c>
      <c r="BA22">
        <f t="shared" si="3"/>
        <v>0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0</v>
      </c>
      <c r="BD22">
        <f>SUMIF(DataRegularSeason20242025!$E$3:$E$1315,$A22,DataRegularSeason20242025!$J$3:$J$1315)</f>
        <v>0</v>
      </c>
      <c r="BE22">
        <f t="shared" si="4"/>
        <v>0</v>
      </c>
      <c r="BF22">
        <f t="shared" si="5"/>
        <v>0</v>
      </c>
      <c r="BG22">
        <f t="shared" si="6"/>
        <v>0</v>
      </c>
      <c r="BH22">
        <f t="shared" si="7"/>
        <v>0</v>
      </c>
      <c r="BI22" s="12" t="e">
        <f>Table3[[#This Row],[GF]]/Table3[[#This Row],[GP]]</f>
        <v>#DIV/0!</v>
      </c>
      <c r="BJ22" s="12" t="e">
        <f>Table3[[#This Row],[GA]]/Table3[[#This Row],[GP]]</f>
        <v>#DIV/0!</v>
      </c>
      <c r="BK22" s="12" t="e">
        <f>(Table3[[#This Row],[GF]]-Table3[[#This Row],[GA]])/Table3[[#This Row],[GP]]</f>
        <v>#DIV/0!</v>
      </c>
      <c r="BL22" s="42" t="str">
        <f>_xlfn.CONCAT(TEXT(Table3[[#This Row],[W_H]], "0"), "-", TEXT(Table3[[#This Row],[RL_H]],"0"), "-", TEXT(Table3[[#This Row],[OTL_H]]+Table3[[#This Row],[SOL_H]], "0"))</f>
        <v>0-0-0</v>
      </c>
      <c r="BM22" s="42" t="str">
        <f>_xlfn.CONCAT(TEXT(Table3[[#This Row],[W_A]], "0"), "-", TEXT(Table3[[#This Row],[RL_A]],"0"), "-", TEXT(Table3[[#This Row],[OTL_A]]+Table3[[#This Row],[SOL_A]], "0"))</f>
        <v>0-0-0</v>
      </c>
      <c r="BN22" s="42" t="e">
        <f>((2*(Table3[[#This Row],[W_H]]))+Table3[[#This Row],[OTL_H]]+Table3[[#This Row],[SOL_H]])/(2*Table3[[#This Row],[GP_H]])</f>
        <v>#DIV/0!</v>
      </c>
      <c r="BO22" s="42" t="e">
        <f>((2*(Table3[[#This Row],[W_A]]))+Table3[[#This Row],[OTL_A]]+Table3[[#This Row],[SOL_A]])/(2*Table3[[#This Row],[GP_A]])</f>
        <v>#DIV/0!</v>
      </c>
      <c r="BP22" s="16">
        <f>(Table3[[#This Row],[W]]*$CX$3)+(Table3[[#This Row],[L]]*$CX$4)+(Table3[[#This Row],[GF]]*$CX$5)+(Table3[[#This Row],[GA]]*$CX$6)</f>
        <v>0</v>
      </c>
      <c r="BQ22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2" s="16">
        <f>(Table3[[#This Row],[W]]*0.7) + ((Table3[[#This Row],[GF]] - Table3[[#This Row],[GA]])*0.25)+(Table3[[#This Row],[GF]]*0.1)+(Table3[[#This Row],[GA]]*0.05)+(Table3[[#This Row],[L]]*0.3)</f>
        <v>0</v>
      </c>
      <c r="BS22" s="16" t="e">
        <f>Table3[[#This Row],[TeamCost83]]/Table3[[#This Row],[GP]]</f>
        <v>#DIV/0!</v>
      </c>
      <c r="BT22">
        <f>COUNTIFS(Table2[AwayTeam],$A22,Table2[PredictedWinner], $A22, Table2[GameIsOver], 1)</f>
        <v>0</v>
      </c>
      <c r="BU22">
        <f>COUNTIFS(Table2[HomeTeam],$A22,Table2[PredictedWinner], $A22, Table2[GameIsOver], 1)</f>
        <v>0</v>
      </c>
      <c r="BV22">
        <f t="shared" si="8"/>
        <v>0</v>
      </c>
      <c r="BW22">
        <f t="shared" si="9"/>
        <v>0</v>
      </c>
      <c r="BX22">
        <f t="shared" si="10"/>
        <v>0</v>
      </c>
      <c r="BY22">
        <f t="shared" si="11"/>
        <v>0</v>
      </c>
      <c r="BZ22" t="e">
        <f>Table3[[#This Row],[TimesPredictedWinner]]/Table3[[#This Row],[GP]]</f>
        <v>#DIV/0!</v>
      </c>
      <c r="CC22" s="1">
        <v>45745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0</v>
      </c>
      <c r="CJ22">
        <f>SUMIFS(Table2[GamePredictionScore], Table2[HomeTeam], Table3[[#This Row],[Teams]])</f>
        <v>0</v>
      </c>
      <c r="CK22">
        <f>Table3[[#This Row],[Column4]]+Table3[[#This Row],[Column3]]</f>
        <v>0</v>
      </c>
      <c r="CL22" t="e">
        <f>Table3[[#This Row],[Column5]]/Table3[[#This Row],[GP]]</f>
        <v>#DIV/0!</v>
      </c>
      <c r="CV22" s="72"/>
      <c r="CW22" s="57">
        <v>4</v>
      </c>
      <c r="CX22" s="16">
        <f t="shared" ref="CX22:DH28" si="17">($CW22*$CX$5)+(CX$17*$CX$6) + IF($CW22&gt;CX$17,$CX$3,$CX$4)</f>
        <v>1.1000000000000001</v>
      </c>
      <c r="CY22" s="16">
        <f t="shared" si="17"/>
        <v>1.2</v>
      </c>
      <c r="CZ22" s="16">
        <f t="shared" si="17"/>
        <v>1.3</v>
      </c>
      <c r="DA22" s="16">
        <f t="shared" si="17"/>
        <v>1.4</v>
      </c>
      <c r="DB22" s="73"/>
      <c r="DC22" s="16">
        <f t="shared" si="17"/>
        <v>1.4000000000000001</v>
      </c>
      <c r="DD22" s="16">
        <f t="shared" si="17"/>
        <v>1.5000000000000002</v>
      </c>
      <c r="DE22" s="16">
        <f t="shared" si="17"/>
        <v>1.6</v>
      </c>
      <c r="DF22" s="16">
        <f t="shared" si="17"/>
        <v>1.7</v>
      </c>
      <c r="DG22" s="16">
        <f t="shared" si="17"/>
        <v>1.8</v>
      </c>
      <c r="DH22" s="74">
        <f t="shared" si="17"/>
        <v>1.9000000000000001</v>
      </c>
      <c r="EB22" s="72"/>
      <c r="EC22" s="57">
        <v>4</v>
      </c>
      <c r="ED22" s="16">
        <f t="shared" ref="ED22:EN22" si="18">(IF($EC22&gt;EC$17, 1, 0)*0.7) + (($EC22 - EC$17)*0.25)+($EC22*0.1)+(EC$17*0.05)+(IF($EC22&gt;EC$17, 1, 0)*0.3)</f>
        <v>2.4</v>
      </c>
      <c r="EE22" s="16">
        <f t="shared" si="18"/>
        <v>2.4</v>
      </c>
      <c r="EF22" s="16">
        <f t="shared" si="18"/>
        <v>2.2000000000000002</v>
      </c>
      <c r="EG22" s="16">
        <f t="shared" si="18"/>
        <v>2</v>
      </c>
      <c r="EH22" s="16">
        <f t="shared" si="18"/>
        <v>1.8</v>
      </c>
      <c r="EI22" s="16">
        <f t="shared" si="18"/>
        <v>0.60000000000000009</v>
      </c>
      <c r="EJ22" s="16">
        <f t="shared" si="18"/>
        <v>0.4</v>
      </c>
      <c r="EK22" s="16">
        <f t="shared" si="18"/>
        <v>0.20000000000000007</v>
      </c>
      <c r="EL22" s="16">
        <f t="shared" si="18"/>
        <v>5.5511151231257827E-17</v>
      </c>
      <c r="EM22" s="16">
        <f t="shared" si="18"/>
        <v>-0.19999999999999996</v>
      </c>
      <c r="EN22" s="16">
        <f t="shared" si="18"/>
        <v>-0.39999999999999997</v>
      </c>
    </row>
    <row r="23" spans="1:144" x14ac:dyDescent="0.25">
      <c r="A23" t="s">
        <v>15</v>
      </c>
      <c r="B23" t="s">
        <v>91</v>
      </c>
      <c r="C23" t="s">
        <v>74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0</v>
      </c>
      <c r="E23" s="10">
        <f>Table3[[#This Row],[Watched]]/Table3[[#This Row],[GP]]</f>
        <v>0</v>
      </c>
      <c r="F23">
        <f>COUNTIFS(DataRegularSeason20242025!$N$3:$N$1315,1,DataRegularSeason20242025!$D$3:$D$1315,$A23)</f>
        <v>1</v>
      </c>
      <c r="G23">
        <f>41-Table3[[#This Row],[GP_A]]</f>
        <v>40</v>
      </c>
      <c r="H23">
        <f>COUNTIFS(DataRegularSeason20242025!$E$3:$E$1315,$A23,DataRegularSeason20242025!$N$3:$N$1315,1)</f>
        <v>0</v>
      </c>
      <c r="I23">
        <f>41-Table3[[#This Row],[GP_H]]</f>
        <v>41</v>
      </c>
      <c r="J23">
        <f t="shared" si="0"/>
        <v>1</v>
      </c>
      <c r="K23">
        <f>82-Table3[[#This Row],[GP]]</f>
        <v>81</v>
      </c>
      <c r="L23">
        <f>COUNTIFS(DataRegularSeason20242025!$D$3:$D$1315,$A23, DataRegularSeason20242025!$L$3:$L$1315, $A23,DataRegularSeason20242025!$N$3:$N$1315,1)</f>
        <v>1</v>
      </c>
      <c r="M23">
        <f>COUNTIFS(DataRegularSeason20242025!$D$3:$D$1315,$A23, DataRegularSeason20242025!$L$3:$L$1315, $A23,DataRegularSeason20242025!$N$3:$N$1315,1,DataRegularSeason20242025!$M$3:$M$1315,"REG")</f>
        <v>1</v>
      </c>
      <c r="N23">
        <f>COUNTIFS(DataRegularSeason20242025!$D$3:$D$1315,$A23, DataRegularSeason20242025!$L$3:$L$1315, $A23,DataRegularSeason20242025!$N$3:$N$1315,1,DataRegularSeason20242025!$M$3:$M$1315,"OT")</f>
        <v>0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 t="shared" si="1"/>
        <v>0</v>
      </c>
      <c r="Q23">
        <f>COUNTIFS(DataRegularSeason20242025!$D$3:$D$1315,$A23, DataRegularSeason20242025!$S$3:$S$1315, $A23,DataRegularSeason20242025!$M$3:$M$1315,"REG")</f>
        <v>0</v>
      </c>
      <c r="R23">
        <f>COUNTIFS(DataRegularSeason20242025!$D$3:$D$1315,$A23, DataRegularSeason20242025!$S$3:$S$1315, $A23,DataRegularSeason20242025!$M$3:$M$1315,"OT")</f>
        <v>0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0</v>
      </c>
      <c r="U23">
        <f>COUNTIFS(DataRegularSeason20242025!$E$3:$E$1315,$A23, DataRegularSeason20242025!$L$3:$L$1315, $A23,DataRegularSeason20242025!$N$3:$N$1315,1,DataRegularSeason20242025!$M$3:$M$1315,"REG")</f>
        <v>0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0</v>
      </c>
      <c r="X23">
        <f t="shared" si="2"/>
        <v>0</v>
      </c>
      <c r="Y23">
        <f>COUNTIFS(DataRegularSeason20242025!$E$3:$E$1315,$A23, DataRegularSeason20242025!$S$3:$S$1315, $A23,DataRegularSeason20242025!$M$3:$M$1315,"REG")</f>
        <v>0</v>
      </c>
      <c r="Z23">
        <f>COUNTIFS(DataRegularSeason20242025!$E$3:$E$1315,$A23, DataRegularSeason20242025!$S$3:$S$1315, $A23,DataRegularSeason20242025!$M$3:$M$1315,"OT")</f>
        <v>0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1</v>
      </c>
      <c r="AC23">
        <f>Table3[[#This Row],[W_A]]+Table3[[#This Row],[W_H]]</f>
        <v>1</v>
      </c>
      <c r="AD23">
        <f>Table3[[#This Row],[L_A]]+Table3[[#This Row],[L_H]]</f>
        <v>0</v>
      </c>
      <c r="AE23">
        <f>Table3[[#This Row],[RW_A]]+Table3[[#This Row],[RW_H]]</f>
        <v>1</v>
      </c>
      <c r="AF23">
        <f>Table3[[#This Row],[RL_A]]+Table3[[#This Row],[RL_H]]</f>
        <v>0</v>
      </c>
      <c r="AG23">
        <f>Table3[[#This Row],[OTW_A]]+Table3[[#This Row],[OTW_H]]</f>
        <v>0</v>
      </c>
      <c r="AH23">
        <f>Table3[[#This Row],[OTL_A]]+Table3[[#This Row],[OTL_H]]</f>
        <v>0</v>
      </c>
      <c r="AI23">
        <f>Table3[[#This Row],[SOW_A]]+Table3[[#This Row],[SOW_H]]</f>
        <v>0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0-0</v>
      </c>
      <c r="AL23">
        <f>SUM(Table3[[#This Row],[OTW]],Table3[[#This Row],[OTL]],Table3[[#This Row],[SOW]],Table3[[#This Row],[SOL]])</f>
        <v>0</v>
      </c>
      <c r="AM23">
        <f>(Table3[[#This Row],[OTW]]+Table3[[#This Row],[SOW]])/IF(Table3[[#This Row],[Total_ExtraTimes]]=0,1,Table3[[#This Row],[Total_ExtraTimes]])</f>
        <v>0</v>
      </c>
      <c r="AN23">
        <f>Table3[[#This Row],[Total_ExtraTimes]]/MAX(1,Table3[[#This Row],[GP]])</f>
        <v>0</v>
      </c>
      <c r="AO23">
        <f>(2*(Table3[[#This Row],[W_A]]+Table3[[#This Row],[W_H]]))+Table3[[#This Row],[OTL_A]]+Table3[[#This Row],[SOL_A]]+Table3[[#This Row],[OTL_H]]+Table3[[#This Row],[SOL_H]]</f>
        <v>2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3" s="10">
        <f>Table3[[#This Row],[PTS]]/(2*Table3[[#This Row],[GP]])</f>
        <v>1</v>
      </c>
      <c r="AR23" s="10">
        <f>Table3[[#This Row],[PTS2]]/(3*Table3[[#This Row],[GP]])</f>
        <v>1</v>
      </c>
      <c r="AS23">
        <f>(2*Table3[[#This Row],[GR]])+Table3[[#This Row],[PTS]]</f>
        <v>164</v>
      </c>
      <c r="AT23">
        <f>(3*Table3[[#This Row],[GR]])+Table3[[#This Row],[PTS2]]</f>
        <v>246</v>
      </c>
      <c r="AU23">
        <f>Table3[[#This Row],[PTS]]+(2 * Table3[[#This Row],[GR]] * Table3[[#This Row],[PTS%]])</f>
        <v>164</v>
      </c>
      <c r="AV23">
        <f>Table3[[#This Row],[PTS2]]+(3 * Table3[[#This Row],[GR]] * Table3[[#This Row],[PTS%2]])</f>
        <v>246</v>
      </c>
      <c r="AW23" s="15" t="str">
        <f>_xlfn.CONCAT(TEXT(Table3[[#This Row],[W]], "0"), "-", TEXT(Table3[[#This Row],[RL]],"0"), "-", TEXT(Table3[[#This Row],[OTL]]+Table3[[#This Row],[SOL]], "0"))</f>
        <v>1-0-0</v>
      </c>
      <c r="AX23">
        <f>COUNTIFS(DataRegularSeason20242025!$D$3:$D$1315,Table3[[#This Row],[Teams]],DataRegularSeason20242025!$K$3:$K$1315,0)</f>
        <v>0</v>
      </c>
      <c r="AY23">
        <f>SUMIF(DataRegularSeason20242025!$D$3:$D$1315,$A23, DataRegularSeason20242025!$J$3:$J$1315)</f>
        <v>3</v>
      </c>
      <c r="AZ23">
        <f>SUMIF(DataRegularSeason20242025!$D$3:$D$1315,$A23, DataRegularSeason20242025!$K$3:$K$1315)</f>
        <v>1</v>
      </c>
      <c r="BA23">
        <f t="shared" si="3"/>
        <v>2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0</v>
      </c>
      <c r="BD23">
        <f>SUMIF(DataRegularSeason20242025!$E$3:$E$1315,$A23,DataRegularSeason20242025!$J$3:$J$1315)</f>
        <v>0</v>
      </c>
      <c r="BE23">
        <f t="shared" si="4"/>
        <v>0</v>
      </c>
      <c r="BF23">
        <f t="shared" si="5"/>
        <v>3</v>
      </c>
      <c r="BG23">
        <f t="shared" si="6"/>
        <v>1</v>
      </c>
      <c r="BH23">
        <f t="shared" si="7"/>
        <v>2</v>
      </c>
      <c r="BI23" s="12">
        <f>Table3[[#This Row],[GF]]/Table3[[#This Row],[GP]]</f>
        <v>3</v>
      </c>
      <c r="BJ23" s="12">
        <f>Table3[[#This Row],[GA]]/Table3[[#This Row],[GP]]</f>
        <v>1</v>
      </c>
      <c r="BK23" s="12">
        <f>(Table3[[#This Row],[GF]]-Table3[[#This Row],[GA]])/Table3[[#This Row],[GP]]</f>
        <v>2</v>
      </c>
      <c r="BL23" s="42" t="str">
        <f>_xlfn.CONCAT(TEXT(Table3[[#This Row],[W_H]], "0"), "-", TEXT(Table3[[#This Row],[RL_H]],"0"), "-", TEXT(Table3[[#This Row],[OTL_H]]+Table3[[#This Row],[SOL_H]], "0"))</f>
        <v>0-0-0</v>
      </c>
      <c r="BM23" s="42" t="str">
        <f>_xlfn.CONCAT(TEXT(Table3[[#This Row],[W_A]], "0"), "-", TEXT(Table3[[#This Row],[RL_A]],"0"), "-", TEXT(Table3[[#This Row],[OTL_A]]+Table3[[#This Row],[SOL_A]], "0"))</f>
        <v>1-0-0</v>
      </c>
      <c r="BN23" s="42" t="e">
        <f>((2*(Table3[[#This Row],[W_H]]))+Table3[[#This Row],[OTL_H]]+Table3[[#This Row],[SOL_H]])/(2*Table3[[#This Row],[GP_H]])</f>
        <v>#DIV/0!</v>
      </c>
      <c r="BO23" s="42">
        <f>((2*(Table3[[#This Row],[W_A]]))+Table3[[#This Row],[OTL_A]]+Table3[[#This Row],[SOL_A]])/(2*Table3[[#This Row],[GP_A]])</f>
        <v>1</v>
      </c>
      <c r="BP23" s="16">
        <f>(Table3[[#This Row],[W]]*$CX$3)+(Table3[[#This Row],[L]]*$CX$4)+(Table3[[#This Row],[GF]]*$CX$5)+(Table3[[#This Row],[GA]]*$CX$6)</f>
        <v>1.05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87.15</v>
      </c>
      <c r="BR23" s="16">
        <f>(Table3[[#This Row],[W]]*0.7) + ((Table3[[#This Row],[GF]] - Table3[[#This Row],[GA]])*0.25)+(Table3[[#This Row],[GF]]*0.1)+(Table3[[#This Row],[GA]]*0.05)+(Table3[[#This Row],[L]]*0.3)</f>
        <v>1.55</v>
      </c>
      <c r="BS23" s="16">
        <f>Table3[[#This Row],[TeamCost83]]/Table3[[#This Row],[GP]]</f>
        <v>1.55</v>
      </c>
      <c r="BT23">
        <f>COUNTIFS(Table2[AwayTeam],$A23,Table2[PredictedWinner], $A23, Table2[GameIsOver], 1)</f>
        <v>0</v>
      </c>
      <c r="BU23">
        <f>COUNTIFS(Table2[HomeTeam],$A23,Table2[PredictedWinner], $A23, Table2[GameIsOver], 1)</f>
        <v>0</v>
      </c>
      <c r="BV23">
        <f t="shared" si="8"/>
        <v>0</v>
      </c>
      <c r="BW23">
        <f t="shared" si="9"/>
        <v>1</v>
      </c>
      <c r="BX23">
        <f t="shared" si="10"/>
        <v>0</v>
      </c>
      <c r="BY23">
        <f t="shared" si="11"/>
        <v>1</v>
      </c>
      <c r="BZ23">
        <f>Table3[[#This Row],[TimesPredictedWinner]]/Table3[[#This Row],[GP]]</f>
        <v>0</v>
      </c>
      <c r="CB23">
        <v>2011</v>
      </c>
      <c r="CC23" s="1">
        <v>45752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0</v>
      </c>
      <c r="CJ23">
        <f>SUMIFS(Table2[GamePredictionScore], Table2[HomeTeam], Table3[[#This Row],[Teams]])</f>
        <v>0</v>
      </c>
      <c r="CK23">
        <f>Table3[[#This Row],[Column4]]+Table3[[#This Row],[Column3]]</f>
        <v>0</v>
      </c>
      <c r="CL23">
        <f>Table3[[#This Row],[Column5]]/Table3[[#This Row],[GP]]</f>
        <v>0</v>
      </c>
      <c r="CV23" s="72"/>
      <c r="CW23" s="57">
        <v>5</v>
      </c>
      <c r="CX23" s="16">
        <f t="shared" si="17"/>
        <v>1.25</v>
      </c>
      <c r="CY23" s="16">
        <f t="shared" si="17"/>
        <v>1.35</v>
      </c>
      <c r="CZ23" s="16">
        <f t="shared" si="17"/>
        <v>1.45</v>
      </c>
      <c r="DA23" s="16">
        <f t="shared" si="17"/>
        <v>1.55</v>
      </c>
      <c r="DB23" s="16">
        <f t="shared" si="17"/>
        <v>1.65</v>
      </c>
      <c r="DC23" s="73"/>
      <c r="DD23" s="16">
        <f t="shared" si="17"/>
        <v>1.6500000000000001</v>
      </c>
      <c r="DE23" s="16">
        <f t="shared" si="17"/>
        <v>1.7500000000000002</v>
      </c>
      <c r="DF23" s="16">
        <f t="shared" si="17"/>
        <v>1.85</v>
      </c>
      <c r="DG23" s="16">
        <f t="shared" si="17"/>
        <v>1.95</v>
      </c>
      <c r="DH23" s="74">
        <f t="shared" si="17"/>
        <v>2.0499999999999998</v>
      </c>
      <c r="EB23" s="72"/>
      <c r="EC23" s="57">
        <v>5</v>
      </c>
      <c r="ED23" s="16">
        <f t="shared" ref="ED23:EN23" si="19">(IF($EC23&gt;EC$17, 1, 0)*0.7) + (($EC23 - EC$17)*0.25)+($EC23*0.1)+(EC$17*0.05)+(IF($EC23&gt;EC$17, 1, 0)*0.3)</f>
        <v>2.75</v>
      </c>
      <c r="EE23" s="16">
        <f t="shared" si="19"/>
        <v>2.75</v>
      </c>
      <c r="EF23" s="16">
        <f t="shared" si="19"/>
        <v>2.5499999999999998</v>
      </c>
      <c r="EG23" s="16">
        <f t="shared" si="19"/>
        <v>2.3499999999999996</v>
      </c>
      <c r="EH23" s="16">
        <f t="shared" si="19"/>
        <v>2.15</v>
      </c>
      <c r="EI23" s="16">
        <f t="shared" si="19"/>
        <v>1.95</v>
      </c>
      <c r="EJ23" s="16">
        <f t="shared" si="19"/>
        <v>0.75</v>
      </c>
      <c r="EK23" s="16">
        <f t="shared" si="19"/>
        <v>0.55000000000000004</v>
      </c>
      <c r="EL23" s="16">
        <f t="shared" si="19"/>
        <v>0.35000000000000003</v>
      </c>
      <c r="EM23" s="16">
        <f t="shared" si="19"/>
        <v>0.15000000000000002</v>
      </c>
      <c r="EN23" s="16">
        <f t="shared" si="19"/>
        <v>-4.9999999999999989E-2</v>
      </c>
    </row>
    <row r="24" spans="1:144" x14ac:dyDescent="0.25">
      <c r="A24" t="s">
        <v>42</v>
      </c>
      <c r="B24" t="s">
        <v>91</v>
      </c>
      <c r="C24" t="s">
        <v>92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0</v>
      </c>
      <c r="E24" s="10" t="e">
        <f>Table3[[#This Row],[Watched]]/Table3[[#This Row],[GP]]</f>
        <v>#DIV/0!</v>
      </c>
      <c r="F24">
        <f>COUNTIFS(DataRegularSeason20242025!$N$3:$N$1315,1,DataRegularSeason20242025!$D$3:$D$1315,$A24)</f>
        <v>0</v>
      </c>
      <c r="G24">
        <f>41-Table3[[#This Row],[GP_A]]</f>
        <v>41</v>
      </c>
      <c r="H24">
        <f>COUNTIFS(DataRegularSeason20242025!$E$3:$E$1315,$A24,DataRegularSeason20242025!$N$3:$N$1315,1)</f>
        <v>0</v>
      </c>
      <c r="I24">
        <f>41-Table3[[#This Row],[GP_H]]</f>
        <v>41</v>
      </c>
      <c r="J24">
        <f t="shared" si="0"/>
        <v>0</v>
      </c>
      <c r="K24">
        <f>82-Table3[[#This Row],[GP]]</f>
        <v>82</v>
      </c>
      <c r="L24">
        <f>COUNTIFS(DataRegularSeason20242025!$D$3:$D$1315,$A24, DataRegularSeason20242025!$L$3:$L$1315, $A24,DataRegularSeason20242025!$N$3:$N$1315,1)</f>
        <v>0</v>
      </c>
      <c r="M24">
        <f>COUNTIFS(DataRegularSeason20242025!$D$3:$D$1315,$A24, DataRegularSeason20242025!$L$3:$L$1315, $A24,DataRegularSeason20242025!$N$3:$N$1315,1,DataRegularSeason20242025!$M$3:$M$1315,"REG")</f>
        <v>0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 t="shared" si="1"/>
        <v>0</v>
      </c>
      <c r="Q24">
        <f>COUNTIFS(DataRegularSeason20242025!$D$3:$D$1315,$A24, DataRegularSeason20242025!$S$3:$S$1315, $A24,DataRegularSeason20242025!$M$3:$M$1315,"REG")</f>
        <v>0</v>
      </c>
      <c r="R24">
        <f>COUNTIFS(DataRegularSeason20242025!$D$3:$D$1315,$A24, DataRegularSeason20242025!$S$3:$S$1315, $A24,DataRegularSeason20242025!$M$3:$M$1315,"OT")</f>
        <v>0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0</v>
      </c>
      <c r="U24">
        <f>COUNTIFS(DataRegularSeason20242025!$E$3:$E$1315,$A24, DataRegularSeason20242025!$L$3:$L$1315, $A24,DataRegularSeason20242025!$N$3:$N$1315,1,DataRegularSeason20242025!$M$3:$M$1315,"REG")</f>
        <v>0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0</v>
      </c>
      <c r="X24">
        <f t="shared" si="2"/>
        <v>0</v>
      </c>
      <c r="Y24">
        <f>COUNTIFS(DataRegularSeason20242025!$E$3:$E$1315,$A24, DataRegularSeason20242025!$S$3:$S$1315, $A24,DataRegularSeason20242025!$M$3:$M$1315,"REG")</f>
        <v>0</v>
      </c>
      <c r="Z24">
        <f>COUNTIFS(DataRegularSeason20242025!$E$3:$E$1315,$A24, DataRegularSeason20242025!$S$3:$S$1315, $A24,DataRegularSeason20242025!$M$3:$M$1315,"OT")</f>
        <v>0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</v>
      </c>
      <c r="AC24">
        <f>Table3[[#This Row],[W_A]]+Table3[[#This Row],[W_H]]</f>
        <v>0</v>
      </c>
      <c r="AD24">
        <f>Table3[[#This Row],[L_A]]+Table3[[#This Row],[L_H]]</f>
        <v>0</v>
      </c>
      <c r="AE24">
        <f>Table3[[#This Row],[RW_A]]+Table3[[#This Row],[RW_H]]</f>
        <v>0</v>
      </c>
      <c r="AF24">
        <f>Table3[[#This Row],[RL_A]]+Table3[[#This Row],[RL_H]]</f>
        <v>0</v>
      </c>
      <c r="AG24">
        <f>Table3[[#This Row],[OTW_A]]+Table3[[#This Row],[OTW_H]]</f>
        <v>0</v>
      </c>
      <c r="AH24">
        <f>Table3[[#This Row],[OTL_A]]+Table3[[#This Row],[OTL_H]]</f>
        <v>0</v>
      </c>
      <c r="AI24">
        <f>Table3[[#This Row],[SOW_A]]+Table3[[#This Row],[SOW_H]]</f>
        <v>0</v>
      </c>
      <c r="AJ24">
        <f>Table3[[#This Row],[SOL_A]]+Table3[[#This Row],[SOL_H]]</f>
        <v>0</v>
      </c>
      <c r="AK24" s="15" t="str">
        <f>_xlfn.CONCAT(TEXT(Table3[[#This Row],[OTW]]+Table3[[#This Row],[SOW]], "0"), "-", TEXT(Table3[[#This Row],[OTL]]+Table3[[#This Row],[SOL]],"0"))</f>
        <v>0-0</v>
      </c>
      <c r="AL24">
        <f>SUM(Table3[[#This Row],[OTW]],Table3[[#This Row],[OTL]],Table3[[#This Row],[SOW]],Table3[[#This Row],[SOL]])</f>
        <v>0</v>
      </c>
      <c r="AM24">
        <f>(Table3[[#This Row],[OTW]]+Table3[[#This Row],[SOW]])/IF(Table3[[#This Row],[Total_ExtraTimes]]=0,1,Table3[[#This Row],[Total_ExtraTimes]])</f>
        <v>0</v>
      </c>
      <c r="AN24">
        <f>Table3[[#This Row],[Total_ExtraTimes]]/MAX(1,Table3[[#This Row],[GP]])</f>
        <v>0</v>
      </c>
      <c r="AO24">
        <f>(2*(Table3[[#This Row],[W_A]]+Table3[[#This Row],[W_H]]))+Table3[[#This Row],[OTL_A]]+Table3[[#This Row],[SOL_A]]+Table3[[#This Row],[OTL_H]]+Table3[[#This Row],[SOL_H]]</f>
        <v>0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4" s="10" t="e">
        <f>Table3[[#This Row],[PTS]]/(2*Table3[[#This Row],[GP]])</f>
        <v>#DIV/0!</v>
      </c>
      <c r="AR24" s="10" t="e">
        <f>Table3[[#This Row],[PTS2]]/(3*Table3[[#This Row],[GP]])</f>
        <v>#DIV/0!</v>
      </c>
      <c r="AS24">
        <f>(2*Table3[[#This Row],[GR]])+Table3[[#This Row],[PTS]]</f>
        <v>164</v>
      </c>
      <c r="AT24">
        <f>(3*Table3[[#This Row],[GR]])+Table3[[#This Row],[PTS2]]</f>
        <v>246</v>
      </c>
      <c r="AU24" t="e">
        <f>Table3[[#This Row],[PTS]]+(2 * Table3[[#This Row],[GR]] * Table3[[#This Row],[PTS%]])</f>
        <v>#DIV/0!</v>
      </c>
      <c r="AV24" t="e">
        <f>Table3[[#This Row],[PTS2]]+(3 * Table3[[#This Row],[GR]] * Table3[[#This Row],[PTS%2]])</f>
        <v>#DIV/0!</v>
      </c>
      <c r="AW24" s="15" t="str">
        <f>_xlfn.CONCAT(TEXT(Table3[[#This Row],[W]], "0"), "-", TEXT(Table3[[#This Row],[RL]],"0"), "-", TEXT(Table3[[#This Row],[OTL]]+Table3[[#This Row],[SOL]], "0"))</f>
        <v>0-0-0</v>
      </c>
      <c r="AX24">
        <f>COUNTIFS(DataRegularSeason20242025!$D$3:$D$1315,Table3[[#This Row],[Teams]],DataRegularSeason20242025!$K$3:$K$1315,0)</f>
        <v>0</v>
      </c>
      <c r="AY24">
        <f>SUMIF(DataRegularSeason20242025!$D$3:$D$1315,$A24, DataRegularSeason20242025!$J$3:$J$1315)</f>
        <v>0</v>
      </c>
      <c r="AZ24">
        <f>SUMIF(DataRegularSeason20242025!$D$3:$D$1315,$A24, DataRegularSeason20242025!$K$3:$K$1315)</f>
        <v>0</v>
      </c>
      <c r="BA24">
        <f t="shared" si="3"/>
        <v>0</v>
      </c>
      <c r="BB24">
        <f>COUNTIFS(DataRegularSeason20242025!$E$3:$E$1315,Table3[[#This Row],[Teams]],DataRegularSeason20242025!$J$3:$J$1315,0)</f>
        <v>0</v>
      </c>
      <c r="BC24">
        <f>SUMIF(DataRegularSeason20242025!$E$3:$E$1315,$A24,DataRegularSeason20242025!$K$3:$K$1315)</f>
        <v>0</v>
      </c>
      <c r="BD24">
        <f>SUMIF(DataRegularSeason20242025!$E$3:$E$1315,$A24,DataRegularSeason20242025!$J$3:$J$1315)</f>
        <v>0</v>
      </c>
      <c r="BE24">
        <f t="shared" si="4"/>
        <v>0</v>
      </c>
      <c r="BF24">
        <f t="shared" si="5"/>
        <v>0</v>
      </c>
      <c r="BG24">
        <f t="shared" si="6"/>
        <v>0</v>
      </c>
      <c r="BH24">
        <f t="shared" si="7"/>
        <v>0</v>
      </c>
      <c r="BI24" s="12" t="e">
        <f>Table3[[#This Row],[GF]]/Table3[[#This Row],[GP]]</f>
        <v>#DIV/0!</v>
      </c>
      <c r="BJ24" s="12" t="e">
        <f>Table3[[#This Row],[GA]]/Table3[[#This Row],[GP]]</f>
        <v>#DIV/0!</v>
      </c>
      <c r="BK24" s="12" t="e">
        <f>(Table3[[#This Row],[GF]]-Table3[[#This Row],[GA]])/Table3[[#This Row],[GP]]</f>
        <v>#DIV/0!</v>
      </c>
      <c r="BL24" s="42" t="str">
        <f>_xlfn.CONCAT(TEXT(Table3[[#This Row],[W_H]], "0"), "-", TEXT(Table3[[#This Row],[RL_H]],"0"), "-", TEXT(Table3[[#This Row],[OTL_H]]+Table3[[#This Row],[SOL_H]], "0"))</f>
        <v>0-0-0</v>
      </c>
      <c r="BM24" s="42" t="str">
        <f>_xlfn.CONCAT(TEXT(Table3[[#This Row],[W_A]], "0"), "-", TEXT(Table3[[#This Row],[RL_A]],"0"), "-", TEXT(Table3[[#This Row],[OTL_A]]+Table3[[#This Row],[SOL_A]], "0"))</f>
        <v>0-0-0</v>
      </c>
      <c r="BN24" s="42" t="e">
        <f>((2*(Table3[[#This Row],[W_H]]))+Table3[[#This Row],[OTL_H]]+Table3[[#This Row],[SOL_H]])/(2*Table3[[#This Row],[GP_H]])</f>
        <v>#DIV/0!</v>
      </c>
      <c r="BO24" s="42" t="e">
        <f>((2*(Table3[[#This Row],[W_A]]))+Table3[[#This Row],[OTL_A]]+Table3[[#This Row],[SOL_A]])/(2*Table3[[#This Row],[GP_A]])</f>
        <v>#DIV/0!</v>
      </c>
      <c r="BP24" s="16">
        <f>(Table3[[#This Row],[W]]*$CX$3)+(Table3[[#This Row],[L]]*$CX$4)+(Table3[[#This Row],[GF]]*$CX$5)+(Table3[[#This Row],[GA]]*$CX$6)</f>
        <v>0</v>
      </c>
      <c r="BQ24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4" s="16">
        <f>(Table3[[#This Row],[W]]*0.7) + ((Table3[[#This Row],[GF]] - Table3[[#This Row],[GA]])*0.25)+(Table3[[#This Row],[GF]]*0.1)+(Table3[[#This Row],[GA]]*0.05)+(Table3[[#This Row],[L]]*0.3)</f>
        <v>0</v>
      </c>
      <c r="BS24" s="16" t="e">
        <f>Table3[[#This Row],[TeamCost83]]/Table3[[#This Row],[GP]]</f>
        <v>#DIV/0!</v>
      </c>
      <c r="BT24">
        <f>COUNTIFS(Table2[AwayTeam],$A24,Table2[PredictedWinner], $A24, Table2[GameIsOver], 1)</f>
        <v>0</v>
      </c>
      <c r="BU24">
        <f>COUNTIFS(Table2[HomeTeam],$A24,Table2[PredictedWinner], $A24, Table2[GameIsOver], 1)</f>
        <v>0</v>
      </c>
      <c r="BV24">
        <f t="shared" si="8"/>
        <v>0</v>
      </c>
      <c r="BW24">
        <f t="shared" si="9"/>
        <v>0</v>
      </c>
      <c r="BX24">
        <f t="shared" si="10"/>
        <v>0</v>
      </c>
      <c r="BY24">
        <f t="shared" si="11"/>
        <v>0</v>
      </c>
      <c r="BZ24" t="e">
        <f>Table3[[#This Row],[TimesPredictedWinner]]/Table3[[#This Row],[GP]]</f>
        <v>#DIV/0!</v>
      </c>
      <c r="CB24">
        <v>1975</v>
      </c>
      <c r="CC24" s="1">
        <v>45752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0</v>
      </c>
      <c r="CJ24">
        <f>SUMIFS(Table2[GamePredictionScore], Table2[HomeTeam], Table3[[#This Row],[Teams]])</f>
        <v>0</v>
      </c>
      <c r="CK24">
        <f>Table3[[#This Row],[Column4]]+Table3[[#This Row],[Column3]]</f>
        <v>0</v>
      </c>
      <c r="CL24" t="e">
        <f>Table3[[#This Row],[Column5]]/Table3[[#This Row],[GP]]</f>
        <v>#DIV/0!</v>
      </c>
      <c r="CV24" s="72"/>
      <c r="CW24" s="57">
        <v>6</v>
      </c>
      <c r="CX24" s="16">
        <f t="shared" si="17"/>
        <v>1.4</v>
      </c>
      <c r="CY24" s="16">
        <f t="shared" si="17"/>
        <v>1.5</v>
      </c>
      <c r="CZ24" s="16">
        <f t="shared" si="17"/>
        <v>1.5999999999999999</v>
      </c>
      <c r="DA24" s="16">
        <f t="shared" si="17"/>
        <v>1.7</v>
      </c>
      <c r="DB24" s="16">
        <f t="shared" si="17"/>
        <v>1.7999999999999998</v>
      </c>
      <c r="DC24" s="16">
        <f t="shared" si="17"/>
        <v>1.9</v>
      </c>
      <c r="DD24" s="73"/>
      <c r="DE24" s="16">
        <f t="shared" si="17"/>
        <v>1.9000000000000001</v>
      </c>
      <c r="DF24" s="16">
        <f t="shared" si="17"/>
        <v>2</v>
      </c>
      <c r="DG24" s="16">
        <f t="shared" si="17"/>
        <v>2.0999999999999996</v>
      </c>
      <c r="DH24" s="74">
        <f t="shared" si="17"/>
        <v>2.1999999999999997</v>
      </c>
      <c r="EB24" s="72"/>
      <c r="EC24" s="57">
        <v>6</v>
      </c>
      <c r="ED24" s="16">
        <f t="shared" ref="ED24:EN24" si="20">(IF($EC24&gt;EC$17, 1, 0)*0.7) + (($EC24 - EC$17)*0.25)+($EC24*0.1)+(EC$17*0.05)+(IF($EC24&gt;EC$17, 1, 0)*0.3)</f>
        <v>3.1</v>
      </c>
      <c r="EE24" s="16">
        <f t="shared" si="20"/>
        <v>3.1</v>
      </c>
      <c r="EF24" s="16">
        <f t="shared" si="20"/>
        <v>2.8999999999999995</v>
      </c>
      <c r="EG24" s="16">
        <f t="shared" si="20"/>
        <v>2.6999999999999997</v>
      </c>
      <c r="EH24" s="16">
        <f t="shared" si="20"/>
        <v>2.4999999999999996</v>
      </c>
      <c r="EI24" s="16">
        <f t="shared" si="20"/>
        <v>2.2999999999999998</v>
      </c>
      <c r="EJ24" s="16">
        <f t="shared" si="20"/>
        <v>2.1</v>
      </c>
      <c r="EK24" s="16">
        <f t="shared" si="20"/>
        <v>0.90000000000000013</v>
      </c>
      <c r="EL24" s="16">
        <f t="shared" si="20"/>
        <v>0.70000000000000018</v>
      </c>
      <c r="EM24" s="16">
        <f t="shared" si="20"/>
        <v>0.50000000000000011</v>
      </c>
      <c r="EN24" s="16">
        <f t="shared" si="20"/>
        <v>0.3000000000000001</v>
      </c>
    </row>
    <row r="25" spans="1:144" x14ac:dyDescent="0.25">
      <c r="A25" t="s">
        <v>34</v>
      </c>
      <c r="B25" t="s">
        <v>90</v>
      </c>
      <c r="C25" t="s">
        <v>88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0</v>
      </c>
      <c r="E25" s="10" t="e">
        <f>Table3[[#This Row],[Watched]]/Table3[[#This Row],[GP]]</f>
        <v>#DIV/0!</v>
      </c>
      <c r="F25">
        <f>COUNTIFS(DataRegularSeason20242025!$N$3:$N$1315,1,DataRegularSeason20242025!$D$3:$D$1315,$A25)</f>
        <v>0</v>
      </c>
      <c r="G25">
        <f>41-Table3[[#This Row],[GP_A]]</f>
        <v>41</v>
      </c>
      <c r="H25">
        <f>COUNTIFS(DataRegularSeason20242025!$E$3:$E$1315,$A25,DataRegularSeason20242025!$N$3:$N$1315,1)</f>
        <v>0</v>
      </c>
      <c r="I25">
        <f>41-Table3[[#This Row],[GP_H]]</f>
        <v>41</v>
      </c>
      <c r="J25">
        <f t="shared" si="0"/>
        <v>0</v>
      </c>
      <c r="K25">
        <f>82-Table3[[#This Row],[GP]]</f>
        <v>82</v>
      </c>
      <c r="L25">
        <f>COUNTIFS(DataRegularSeason20242025!$D$3:$D$1315,$A25, DataRegularSeason20242025!$L$3:$L$1315, $A25,DataRegularSeason20242025!$N$3:$N$1315,1)</f>
        <v>0</v>
      </c>
      <c r="M25">
        <f>COUNTIFS(DataRegularSeason20242025!$D$3:$D$1315,$A25, DataRegularSeason20242025!$L$3:$L$1315, $A25,DataRegularSeason20242025!$N$3:$N$1315,1,DataRegularSeason20242025!$M$3:$M$1315,"REG")</f>
        <v>0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0</v>
      </c>
      <c r="P25">
        <f t="shared" si="1"/>
        <v>0</v>
      </c>
      <c r="Q25">
        <f>COUNTIFS(DataRegularSeason20242025!$D$3:$D$1315,$A25, DataRegularSeason20242025!$S$3:$S$1315, $A25,DataRegularSeason20242025!$M$3:$M$1315,"REG")</f>
        <v>0</v>
      </c>
      <c r="R25">
        <f>COUNTIFS(DataRegularSeason20242025!$D$3:$D$1315,$A25, DataRegularSeason20242025!$S$3:$S$1315, $A25,DataRegularSeason20242025!$M$3:$M$1315,"OT")</f>
        <v>0</v>
      </c>
      <c r="S25">
        <f>COUNTIFS(DataRegularSeason20242025!$D$3:$D$1315,$A25, DataRegularSeason20242025!$S$3:$S$1315, $A25,DataRegularSeason20242025!$M$3:$M$1315,"SO")</f>
        <v>0</v>
      </c>
      <c r="T25">
        <f>COUNTIFS(DataRegularSeason20242025!$E$3:$E$1315,$A25, DataRegularSeason20242025!$L$3:$L$1315, $A25, DataRegularSeason20242025!$N$3:$N$1315,1)</f>
        <v>0</v>
      </c>
      <c r="U25">
        <f>COUNTIFS(DataRegularSeason20242025!$E$3:$E$1315,$A25, DataRegularSeason20242025!$L$3:$L$1315, $A25,DataRegularSeason20242025!$N$3:$N$1315,1,DataRegularSeason20242025!$M$3:$M$1315,"REG")</f>
        <v>0</v>
      </c>
      <c r="V25">
        <f>COUNTIFS(DataRegularSeason20242025!$E$3:$E$1315,$A25, DataRegularSeason20242025!$L$3:$L$1315, $A25,DataRegularSeason20242025!$N$3:$N$1315,1,DataRegularSeason20242025!$M$3:$M$1315,"OT")</f>
        <v>0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 t="shared" si="2"/>
        <v>0</v>
      </c>
      <c r="Y25">
        <f>COUNTIFS(DataRegularSeason20242025!$E$3:$E$1315,$A25, DataRegularSeason20242025!$S$3:$S$1315, $A25,DataRegularSeason20242025!$M$3:$M$1315,"REG")</f>
        <v>0</v>
      </c>
      <c r="Z25">
        <f>COUNTIFS(DataRegularSeason20242025!$E$3:$E$1315,$A25, DataRegularSeason20242025!$S$3:$S$1315, $A25,DataRegularSeason20242025!$M$3:$M$1315,"OT")</f>
        <v>0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</v>
      </c>
      <c r="AC25">
        <f>Table3[[#This Row],[W_A]]+Table3[[#This Row],[W_H]]</f>
        <v>0</v>
      </c>
      <c r="AD25">
        <f>Table3[[#This Row],[L_A]]+Table3[[#This Row],[L_H]]</f>
        <v>0</v>
      </c>
      <c r="AE25">
        <f>Table3[[#This Row],[RW_A]]+Table3[[#This Row],[RW_H]]</f>
        <v>0</v>
      </c>
      <c r="AF25">
        <f>Table3[[#This Row],[RL_A]]+Table3[[#This Row],[RL_H]]</f>
        <v>0</v>
      </c>
      <c r="AG25">
        <f>Table3[[#This Row],[OTW_A]]+Table3[[#This Row],[OTW_H]]</f>
        <v>0</v>
      </c>
      <c r="AH25">
        <f>Table3[[#This Row],[OTL_A]]+Table3[[#This Row],[OTL_H]]</f>
        <v>0</v>
      </c>
      <c r="AI25">
        <f>Table3[[#This Row],[SOW_A]]+Table3[[#This Row],[SOW_H]]</f>
        <v>0</v>
      </c>
      <c r="AJ25">
        <f>Table3[[#This Row],[SOL_A]]+Table3[[#This Row],[SOL_H]]</f>
        <v>0</v>
      </c>
      <c r="AK25" s="15" t="str">
        <f>_xlfn.CONCAT(TEXT(Table3[[#This Row],[OTW]]+Table3[[#This Row],[SOW]], "0"), "-", TEXT(Table3[[#This Row],[OTL]]+Table3[[#This Row],[SOL]],"0"))</f>
        <v>0-0</v>
      </c>
      <c r="AL25">
        <f>SUM(Table3[[#This Row],[OTW]],Table3[[#This Row],[OTL]],Table3[[#This Row],[SOW]],Table3[[#This Row],[SOL]])</f>
        <v>0</v>
      </c>
      <c r="AM25">
        <f>(Table3[[#This Row],[OTW]]+Table3[[#This Row],[SOW]])/IF(Table3[[#This Row],[Total_ExtraTimes]]=0,1,Table3[[#This Row],[Total_ExtraTimes]])</f>
        <v>0</v>
      </c>
      <c r="AN25">
        <f>Table3[[#This Row],[Total_ExtraTimes]]/MAX(1,Table3[[#This Row],[GP]])</f>
        <v>0</v>
      </c>
      <c r="AO25">
        <f>(2*(Table3[[#This Row],[W_A]]+Table3[[#This Row],[W_H]]))+Table3[[#This Row],[OTL_A]]+Table3[[#This Row],[SOL_A]]+Table3[[#This Row],[OTL_H]]+Table3[[#This Row],[SOL_H]]</f>
        <v>0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5" s="10" t="e">
        <f>Table3[[#This Row],[PTS]]/(2*Table3[[#This Row],[GP]])</f>
        <v>#DIV/0!</v>
      </c>
      <c r="AR25" s="10" t="e">
        <f>Table3[[#This Row],[PTS2]]/(3*Table3[[#This Row],[GP]])</f>
        <v>#DIV/0!</v>
      </c>
      <c r="AS25">
        <f>(2*Table3[[#This Row],[GR]])+Table3[[#This Row],[PTS]]</f>
        <v>164</v>
      </c>
      <c r="AT25">
        <f>(3*Table3[[#This Row],[GR]])+Table3[[#This Row],[PTS2]]</f>
        <v>246</v>
      </c>
      <c r="AU25" t="e">
        <f>Table3[[#This Row],[PTS]]+(2 * Table3[[#This Row],[GR]] * Table3[[#This Row],[PTS%]])</f>
        <v>#DIV/0!</v>
      </c>
      <c r="AV25" t="e">
        <f>Table3[[#This Row],[PTS2]]+(3 * Table3[[#This Row],[GR]] * Table3[[#This Row],[PTS%2]])</f>
        <v>#DIV/0!</v>
      </c>
      <c r="AW25" s="15" t="str">
        <f>_xlfn.CONCAT(TEXT(Table3[[#This Row],[W]], "0"), "-", TEXT(Table3[[#This Row],[RL]],"0"), "-", TEXT(Table3[[#This Row],[OTL]]+Table3[[#This Row],[SOL]], "0"))</f>
        <v>0-0-0</v>
      </c>
      <c r="AX25">
        <f>COUNTIFS(DataRegularSeason20242025!$D$3:$D$1315,Table3[[#This Row],[Teams]],DataRegularSeason20242025!$K$3:$K$1315,0)</f>
        <v>0</v>
      </c>
      <c r="AY25">
        <f>SUMIF(DataRegularSeason20242025!$D$3:$D$1315,$A25, DataRegularSeason20242025!$J$3:$J$1315)</f>
        <v>0</v>
      </c>
      <c r="AZ25">
        <f>SUMIF(DataRegularSeason20242025!$D$3:$D$1315,$A25, DataRegularSeason20242025!$K$3:$K$1315)</f>
        <v>0</v>
      </c>
      <c r="BA25">
        <f t="shared" si="3"/>
        <v>0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0</v>
      </c>
      <c r="BD25">
        <f>SUMIF(DataRegularSeason20242025!$E$3:$E$1315,$A25,DataRegularSeason20242025!$J$3:$J$1315)</f>
        <v>0</v>
      </c>
      <c r="BE25">
        <f t="shared" si="4"/>
        <v>0</v>
      </c>
      <c r="BF25">
        <f t="shared" si="5"/>
        <v>0</v>
      </c>
      <c r="BG25">
        <f t="shared" si="6"/>
        <v>0</v>
      </c>
      <c r="BH25">
        <f t="shared" si="7"/>
        <v>0</v>
      </c>
      <c r="BI25" s="12" t="e">
        <f>Table3[[#This Row],[GF]]/Table3[[#This Row],[GP]]</f>
        <v>#DIV/0!</v>
      </c>
      <c r="BJ25" s="12" t="e">
        <f>Table3[[#This Row],[GA]]/Table3[[#This Row],[GP]]</f>
        <v>#DIV/0!</v>
      </c>
      <c r="BK25" s="12" t="e">
        <f>(Table3[[#This Row],[GF]]-Table3[[#This Row],[GA]])/Table3[[#This Row],[GP]]</f>
        <v>#DIV/0!</v>
      </c>
      <c r="BL25" s="42" t="str">
        <f>_xlfn.CONCAT(TEXT(Table3[[#This Row],[W_H]], "0"), "-", TEXT(Table3[[#This Row],[RL_H]],"0"), "-", TEXT(Table3[[#This Row],[OTL_H]]+Table3[[#This Row],[SOL_H]], "0"))</f>
        <v>0-0-0</v>
      </c>
      <c r="BM25" s="42" t="str">
        <f>_xlfn.CONCAT(TEXT(Table3[[#This Row],[W_A]], "0"), "-", TEXT(Table3[[#This Row],[RL_A]],"0"), "-", TEXT(Table3[[#This Row],[OTL_A]]+Table3[[#This Row],[SOL_A]], "0"))</f>
        <v>0-0-0</v>
      </c>
      <c r="BN25" s="42" t="e">
        <f>((2*(Table3[[#This Row],[W_H]]))+Table3[[#This Row],[OTL_H]]+Table3[[#This Row],[SOL_H]])/(2*Table3[[#This Row],[GP_H]])</f>
        <v>#DIV/0!</v>
      </c>
      <c r="BO25" s="42" t="e">
        <f>((2*(Table3[[#This Row],[W_A]]))+Table3[[#This Row],[OTL_A]]+Table3[[#This Row],[SOL_A]])/(2*Table3[[#This Row],[GP_A]])</f>
        <v>#DIV/0!</v>
      </c>
      <c r="BP25" s="16">
        <f>(Table3[[#This Row],[W]]*$CX$3)+(Table3[[#This Row],[L]]*$CX$4)+(Table3[[#This Row],[GF]]*$CX$5)+(Table3[[#This Row],[GA]]*$CX$6)</f>
        <v>0</v>
      </c>
      <c r="BQ25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5" s="16">
        <f>(Table3[[#This Row],[W]]*0.7) + ((Table3[[#This Row],[GF]] - Table3[[#This Row],[GA]])*0.25)+(Table3[[#This Row],[GF]]*0.1)+(Table3[[#This Row],[GA]]*0.05)+(Table3[[#This Row],[L]]*0.3)</f>
        <v>0</v>
      </c>
      <c r="BS25" s="16" t="e">
        <f>Table3[[#This Row],[TeamCost83]]/Table3[[#This Row],[GP]]</f>
        <v>#DIV/0!</v>
      </c>
      <c r="BT25">
        <f>COUNTIFS(Table2[AwayTeam],$A25,Table2[PredictedWinner], $A25, Table2[GameIsOver], 1)</f>
        <v>0</v>
      </c>
      <c r="BU25">
        <f>COUNTIFS(Table2[HomeTeam],$A25,Table2[PredictedWinner], $A25, Table2[GameIsOver], 1)</f>
        <v>0</v>
      </c>
      <c r="BV25">
        <f t="shared" si="8"/>
        <v>0</v>
      </c>
      <c r="BW25">
        <f t="shared" si="9"/>
        <v>0</v>
      </c>
      <c r="BX25">
        <f t="shared" si="10"/>
        <v>0</v>
      </c>
      <c r="BY25">
        <f t="shared" si="11"/>
        <v>0</v>
      </c>
      <c r="BZ25" t="e">
        <f>Table3[[#This Row],[TimesPredictedWinner]]/Table3[[#This Row],[GP]]</f>
        <v>#DIV/0!</v>
      </c>
      <c r="CC25" s="1">
        <v>45743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0</v>
      </c>
      <c r="CJ25">
        <f>SUMIFS(Table2[GamePredictionScore], Table2[HomeTeam], Table3[[#This Row],[Teams]])</f>
        <v>0</v>
      </c>
      <c r="CK25">
        <f>Table3[[#This Row],[Column4]]+Table3[[#This Row],[Column3]]</f>
        <v>0</v>
      </c>
      <c r="CL25" t="e">
        <f>Table3[[#This Row],[Column5]]/Table3[[#This Row],[GP]]</f>
        <v>#DIV/0!</v>
      </c>
      <c r="CV25" s="72"/>
      <c r="CW25" s="57">
        <v>7</v>
      </c>
      <c r="CX25" s="16">
        <f t="shared" si="17"/>
        <v>1.55</v>
      </c>
      <c r="CY25" s="16">
        <f t="shared" si="17"/>
        <v>1.6500000000000001</v>
      </c>
      <c r="CZ25" s="16">
        <f t="shared" si="17"/>
        <v>1.75</v>
      </c>
      <c r="DA25" s="16">
        <f t="shared" si="17"/>
        <v>1.85</v>
      </c>
      <c r="DB25" s="16">
        <f t="shared" si="17"/>
        <v>1.9500000000000002</v>
      </c>
      <c r="DC25" s="16">
        <f t="shared" si="17"/>
        <v>2.0499999999999998</v>
      </c>
      <c r="DD25" s="16">
        <f t="shared" si="17"/>
        <v>2.1500000000000004</v>
      </c>
      <c r="DE25" s="73"/>
      <c r="DF25" s="16">
        <f t="shared" si="17"/>
        <v>2.15</v>
      </c>
      <c r="DG25" s="16">
        <f t="shared" si="17"/>
        <v>2.25</v>
      </c>
      <c r="DH25" s="74">
        <f t="shared" si="17"/>
        <v>2.3499999999999996</v>
      </c>
      <c r="EB25" s="72"/>
      <c r="EC25" s="57">
        <v>7</v>
      </c>
      <c r="ED25" s="16">
        <f t="shared" ref="ED25:EN25" si="21">(IF($EC25&gt;EC$17, 1, 0)*0.7) + (($EC25 - EC$17)*0.25)+($EC25*0.1)+(EC$17*0.05)+(IF($EC25&gt;EC$17, 1, 0)*0.3)</f>
        <v>3.45</v>
      </c>
      <c r="EE25" s="16">
        <f t="shared" si="21"/>
        <v>3.45</v>
      </c>
      <c r="EF25" s="16">
        <f t="shared" si="21"/>
        <v>3.25</v>
      </c>
      <c r="EG25" s="16">
        <f t="shared" si="21"/>
        <v>3.05</v>
      </c>
      <c r="EH25" s="16">
        <f t="shared" si="21"/>
        <v>2.8499999999999996</v>
      </c>
      <c r="EI25" s="16">
        <f t="shared" si="21"/>
        <v>2.65</v>
      </c>
      <c r="EJ25" s="16">
        <f t="shared" si="21"/>
        <v>2.4499999999999997</v>
      </c>
      <c r="EK25" s="16">
        <f t="shared" si="21"/>
        <v>2.25</v>
      </c>
      <c r="EL25" s="16">
        <f t="shared" si="21"/>
        <v>1.05</v>
      </c>
      <c r="EM25" s="16">
        <f t="shared" si="21"/>
        <v>0.85000000000000009</v>
      </c>
      <c r="EN25" s="16">
        <f t="shared" si="21"/>
        <v>0.65000000000000013</v>
      </c>
    </row>
    <row r="26" spans="1:144" x14ac:dyDescent="0.25">
      <c r="A26" t="s">
        <v>37</v>
      </c>
      <c r="B26" t="s">
        <v>90</v>
      </c>
      <c r="C26" t="s">
        <v>93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0</v>
      </c>
      <c r="E26" s="10" t="e">
        <f>Table3[[#This Row],[Watched]]/Table3[[#This Row],[GP]]</f>
        <v>#DIV/0!</v>
      </c>
      <c r="F26">
        <f>COUNTIFS(DataRegularSeason20242025!$N$3:$N$1315,1,DataRegularSeason20242025!$D$3:$D$1315,$A26)</f>
        <v>0</v>
      </c>
      <c r="G26">
        <f>41-Table3[[#This Row],[GP_A]]</f>
        <v>41</v>
      </c>
      <c r="H26">
        <f>COUNTIFS(DataRegularSeason20242025!$E$3:$E$1315,$A26,DataRegularSeason20242025!$N$3:$N$1315,1)</f>
        <v>0</v>
      </c>
      <c r="I26">
        <f>41-Table3[[#This Row],[GP_H]]</f>
        <v>41</v>
      </c>
      <c r="J26">
        <f t="shared" si="0"/>
        <v>0</v>
      </c>
      <c r="K26">
        <f>82-Table3[[#This Row],[GP]]</f>
        <v>82</v>
      </c>
      <c r="L26">
        <f>COUNTIFS(DataRegularSeason20242025!$D$3:$D$1315,$A26, DataRegularSeason20242025!$L$3:$L$1315, $A26,DataRegularSeason20242025!$N$3:$N$1315,1)</f>
        <v>0</v>
      </c>
      <c r="M26">
        <f>COUNTIFS(DataRegularSeason20242025!$D$3:$D$1315,$A26, DataRegularSeason20242025!$L$3:$L$1315, $A26,DataRegularSeason20242025!$N$3:$N$1315,1,DataRegularSeason20242025!$M$3:$M$1315,"REG")</f>
        <v>0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0</v>
      </c>
      <c r="P26">
        <f t="shared" si="1"/>
        <v>0</v>
      </c>
      <c r="Q26">
        <f>COUNTIFS(DataRegularSeason20242025!$D$3:$D$1315,$A26, DataRegularSeason20242025!$S$3:$S$1315, $A26,DataRegularSeason20242025!$M$3:$M$1315,"REG")</f>
        <v>0</v>
      </c>
      <c r="R26">
        <f>COUNTIFS(DataRegularSeason20242025!$D$3:$D$1315,$A26, DataRegularSeason20242025!$S$3:$S$1315, $A26,DataRegularSeason20242025!$M$3:$M$1315,"OT")</f>
        <v>0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0</v>
      </c>
      <c r="U26">
        <f>COUNTIFS(DataRegularSeason20242025!$E$3:$E$1315,$A26, DataRegularSeason20242025!$L$3:$L$1315, $A26,DataRegularSeason20242025!$N$3:$N$1315,1,DataRegularSeason20242025!$M$3:$M$1315,"REG")</f>
        <v>0</v>
      </c>
      <c r="V26">
        <f>COUNTIFS(DataRegularSeason20242025!$E$3:$E$1315,$A26, DataRegularSeason20242025!$L$3:$L$1315, $A26,DataRegularSeason20242025!$N$3:$N$1315,1,DataRegularSeason20242025!$M$3:$M$1315,"OT")</f>
        <v>0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 t="shared" si="2"/>
        <v>0</v>
      </c>
      <c r="Y26">
        <f>COUNTIFS(DataRegularSeason20242025!$E$3:$E$1315,$A26, DataRegularSeason20242025!$S$3:$S$1315, $A26,DataRegularSeason20242025!$M$3:$M$1315,"REG")</f>
        <v>0</v>
      </c>
      <c r="Z26">
        <f>COUNTIFS(DataRegularSeason20242025!$E$3:$E$1315,$A26, DataRegularSeason20242025!$S$3:$S$1315, $A26,DataRegularSeason20242025!$M$3:$M$1315,"OT")</f>
        <v>0</v>
      </c>
      <c r="AA26">
        <f>COUNTIFS(DataRegularSeason20242025!$E$3:$E$1315,$A26, DataRegularSeason20242025!$S$3:$S$1315, $A26,DataRegularSeason20242025!$M$3:$M$1315,"SO")</f>
        <v>0</v>
      </c>
      <c r="AB26">
        <f>Table3[[#This Row],[W]]/MAX(1,Table3[[#This Row],[W]]+Table3[[#This Row],[L]])</f>
        <v>0</v>
      </c>
      <c r="AC26">
        <f>Table3[[#This Row],[W_A]]+Table3[[#This Row],[W_H]]</f>
        <v>0</v>
      </c>
      <c r="AD26">
        <f>Table3[[#This Row],[L_A]]+Table3[[#This Row],[L_H]]</f>
        <v>0</v>
      </c>
      <c r="AE26">
        <f>Table3[[#This Row],[RW_A]]+Table3[[#This Row],[RW_H]]</f>
        <v>0</v>
      </c>
      <c r="AF26">
        <f>Table3[[#This Row],[RL_A]]+Table3[[#This Row],[RL_H]]</f>
        <v>0</v>
      </c>
      <c r="AG26">
        <f>Table3[[#This Row],[OTW_A]]+Table3[[#This Row],[OTW_H]]</f>
        <v>0</v>
      </c>
      <c r="AH26">
        <f>Table3[[#This Row],[OTL_A]]+Table3[[#This Row],[OTL_H]]</f>
        <v>0</v>
      </c>
      <c r="AI26">
        <f>Table3[[#This Row],[SOW_A]]+Table3[[#This Row],[SOW_H]]</f>
        <v>0</v>
      </c>
      <c r="AJ26">
        <f>Table3[[#This Row],[SOL_A]]+Table3[[#This Row],[SOL_H]]</f>
        <v>0</v>
      </c>
      <c r="AK26" s="15" t="str">
        <f>_xlfn.CONCAT(TEXT(Table3[[#This Row],[OTW]]+Table3[[#This Row],[SOW]], "0"), "-", TEXT(Table3[[#This Row],[OTL]]+Table3[[#This Row],[SOL]],"0"))</f>
        <v>0-0</v>
      </c>
      <c r="AL26">
        <f>SUM(Table3[[#This Row],[OTW]],Table3[[#This Row],[OTL]],Table3[[#This Row],[SOW]],Table3[[#This Row],[SOL]])</f>
        <v>0</v>
      </c>
      <c r="AM26">
        <f>(Table3[[#This Row],[OTW]]+Table3[[#This Row],[SOW]])/IF(Table3[[#This Row],[Total_ExtraTimes]]=0,1,Table3[[#This Row],[Total_ExtraTimes]])</f>
        <v>0</v>
      </c>
      <c r="AN26">
        <f>Table3[[#This Row],[Total_ExtraTimes]]/MAX(1,Table3[[#This Row],[GP]])</f>
        <v>0</v>
      </c>
      <c r="AO26">
        <f>(2*(Table3[[#This Row],[W_A]]+Table3[[#This Row],[W_H]]))+Table3[[#This Row],[OTL_A]]+Table3[[#This Row],[SOL_A]]+Table3[[#This Row],[OTL_H]]+Table3[[#This Row],[SOL_H]]</f>
        <v>0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6" s="10" t="e">
        <f>Table3[[#This Row],[PTS]]/(2*Table3[[#This Row],[GP]])</f>
        <v>#DIV/0!</v>
      </c>
      <c r="AR26" s="10" t="e">
        <f>Table3[[#This Row],[PTS2]]/(3*Table3[[#This Row],[GP]])</f>
        <v>#DIV/0!</v>
      </c>
      <c r="AS26">
        <f>(2*Table3[[#This Row],[GR]])+Table3[[#This Row],[PTS]]</f>
        <v>164</v>
      </c>
      <c r="AT26">
        <f>(3*Table3[[#This Row],[GR]])+Table3[[#This Row],[PTS2]]</f>
        <v>246</v>
      </c>
      <c r="AU26" t="e">
        <f>Table3[[#This Row],[PTS]]+(2 * Table3[[#This Row],[GR]] * Table3[[#This Row],[PTS%]])</f>
        <v>#DIV/0!</v>
      </c>
      <c r="AV26" t="e">
        <f>Table3[[#This Row],[PTS2]]+(3 * Table3[[#This Row],[GR]] * Table3[[#This Row],[PTS%2]])</f>
        <v>#DIV/0!</v>
      </c>
      <c r="AW26" s="15" t="str">
        <f>_xlfn.CONCAT(TEXT(Table3[[#This Row],[W]], "0"), "-", TEXT(Table3[[#This Row],[RL]],"0"), "-", TEXT(Table3[[#This Row],[OTL]]+Table3[[#This Row],[SOL]], "0"))</f>
        <v>0-0-0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0</v>
      </c>
      <c r="AZ26">
        <f>SUMIF(DataRegularSeason20242025!$D$3:$D$1315,$A26, DataRegularSeason20242025!$K$3:$K$1315)</f>
        <v>0</v>
      </c>
      <c r="BA26">
        <f t="shared" si="3"/>
        <v>0</v>
      </c>
      <c r="BB26">
        <f>COUNTIFS(DataRegularSeason20242025!$E$3:$E$1315,Table3[[#This Row],[Teams]],DataRegularSeason20242025!$J$3:$J$1315,0)</f>
        <v>0</v>
      </c>
      <c r="BC26">
        <f>SUMIF(DataRegularSeason20242025!$E$3:$E$1315,$A26,DataRegularSeason20242025!$K$3:$K$1315)</f>
        <v>0</v>
      </c>
      <c r="BD26">
        <f>SUMIF(DataRegularSeason20242025!$E$3:$E$1315,$A26,DataRegularSeason20242025!$J$3:$J$1315)</f>
        <v>0</v>
      </c>
      <c r="BE26">
        <f t="shared" si="4"/>
        <v>0</v>
      </c>
      <c r="BF26">
        <f t="shared" si="5"/>
        <v>0</v>
      </c>
      <c r="BG26">
        <f t="shared" si="6"/>
        <v>0</v>
      </c>
      <c r="BH26">
        <f t="shared" si="7"/>
        <v>0</v>
      </c>
      <c r="BI26" s="12" t="e">
        <f>Table3[[#This Row],[GF]]/Table3[[#This Row],[GP]]</f>
        <v>#DIV/0!</v>
      </c>
      <c r="BJ26" s="12" t="e">
        <f>Table3[[#This Row],[GA]]/Table3[[#This Row],[GP]]</f>
        <v>#DIV/0!</v>
      </c>
      <c r="BK26" s="12" t="e">
        <f>(Table3[[#This Row],[GF]]-Table3[[#This Row],[GA]])/Table3[[#This Row],[GP]]</f>
        <v>#DIV/0!</v>
      </c>
      <c r="BL26" s="42" t="str">
        <f>_xlfn.CONCAT(TEXT(Table3[[#This Row],[W_H]], "0"), "-", TEXT(Table3[[#This Row],[RL_H]],"0"), "-", TEXT(Table3[[#This Row],[OTL_H]]+Table3[[#This Row],[SOL_H]], "0"))</f>
        <v>0-0-0</v>
      </c>
      <c r="BM26" s="42" t="str">
        <f>_xlfn.CONCAT(TEXT(Table3[[#This Row],[W_A]], "0"), "-", TEXT(Table3[[#This Row],[RL_A]],"0"), "-", TEXT(Table3[[#This Row],[OTL_A]]+Table3[[#This Row],[SOL_A]], "0"))</f>
        <v>0-0-0</v>
      </c>
      <c r="BN26" s="42" t="e">
        <f>((2*(Table3[[#This Row],[W_H]]))+Table3[[#This Row],[OTL_H]]+Table3[[#This Row],[SOL_H]])/(2*Table3[[#This Row],[GP_H]])</f>
        <v>#DIV/0!</v>
      </c>
      <c r="BO26" s="42" t="e">
        <f>((2*(Table3[[#This Row],[W_A]]))+Table3[[#This Row],[OTL_A]]+Table3[[#This Row],[SOL_A]])/(2*Table3[[#This Row],[GP_A]])</f>
        <v>#DIV/0!</v>
      </c>
      <c r="BP26" s="16">
        <f>(Table3[[#This Row],[W]]*$CX$3)+(Table3[[#This Row],[L]]*$CX$4)+(Table3[[#This Row],[GF]]*$CX$5)+(Table3[[#This Row],[GA]]*$CX$6)</f>
        <v>0</v>
      </c>
      <c r="BQ26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6" s="16">
        <f>(Table3[[#This Row],[W]]*0.7) + ((Table3[[#This Row],[GF]] - Table3[[#This Row],[GA]])*0.25)+(Table3[[#This Row],[GF]]*0.1)+(Table3[[#This Row],[GA]]*0.05)+(Table3[[#This Row],[L]]*0.3)</f>
        <v>0</v>
      </c>
      <c r="BS26" s="16" t="e">
        <f>Table3[[#This Row],[TeamCost83]]/Table3[[#This Row],[GP]]</f>
        <v>#DIV/0!</v>
      </c>
      <c r="BT26">
        <f>COUNTIFS(Table2[AwayTeam],$A26,Table2[PredictedWinner], $A26, Table2[GameIsOver], 1)</f>
        <v>0</v>
      </c>
      <c r="BU26">
        <f>COUNTIFS(Table2[HomeTeam],$A26,Table2[PredictedWinner], $A26, Table2[GameIsOver], 1)</f>
        <v>0</v>
      </c>
      <c r="BV26">
        <f t="shared" si="8"/>
        <v>0</v>
      </c>
      <c r="BW26">
        <f t="shared" si="9"/>
        <v>0</v>
      </c>
      <c r="BX26">
        <f t="shared" si="10"/>
        <v>0</v>
      </c>
      <c r="BY26">
        <f t="shared" si="11"/>
        <v>0</v>
      </c>
      <c r="BZ26" t="e">
        <f>Table3[[#This Row],[TimesPredictedWinner]]/Table3[[#This Row],[GP]]</f>
        <v>#DIV/0!</v>
      </c>
      <c r="CC26" s="1">
        <v>45732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0</v>
      </c>
      <c r="CJ26">
        <f>SUMIFS(Table2[GamePredictionScore], Table2[HomeTeam], Table3[[#This Row],[Teams]])</f>
        <v>0</v>
      </c>
      <c r="CK26">
        <f>Table3[[#This Row],[Column4]]+Table3[[#This Row],[Column3]]</f>
        <v>0</v>
      </c>
      <c r="CL26" t="e">
        <f>Table3[[#This Row],[Column5]]/Table3[[#This Row],[GP]]</f>
        <v>#DIV/0!</v>
      </c>
      <c r="CV26" s="72"/>
      <c r="CW26" s="57">
        <v>8</v>
      </c>
      <c r="CX26" s="16">
        <f t="shared" si="17"/>
        <v>1.7</v>
      </c>
      <c r="CY26" s="16">
        <f t="shared" si="17"/>
        <v>1.8</v>
      </c>
      <c r="CZ26" s="16">
        <f t="shared" si="17"/>
        <v>1.9</v>
      </c>
      <c r="DA26" s="16">
        <f t="shared" si="17"/>
        <v>2</v>
      </c>
      <c r="DB26" s="16">
        <f t="shared" si="17"/>
        <v>2.1</v>
      </c>
      <c r="DC26" s="16">
        <f t="shared" si="17"/>
        <v>2.2000000000000002</v>
      </c>
      <c r="DD26" s="16">
        <f t="shared" si="17"/>
        <v>2.2999999999999998</v>
      </c>
      <c r="DE26" s="16">
        <f t="shared" si="17"/>
        <v>2.4</v>
      </c>
      <c r="DF26" s="73"/>
      <c r="DG26" s="16">
        <f t="shared" si="17"/>
        <v>2.4</v>
      </c>
      <c r="DH26" s="74">
        <f t="shared" si="17"/>
        <v>2.5</v>
      </c>
      <c r="EB26" s="72"/>
      <c r="EC26" s="57">
        <v>8</v>
      </c>
      <c r="ED26" s="16">
        <f t="shared" ref="ED26:EN26" si="22">(IF($EC26&gt;EC$17, 1, 0)*0.7) + (($EC26 - EC$17)*0.25)+($EC26*0.1)+(EC$17*0.05)+(IF($EC26&gt;EC$17, 1, 0)*0.3)</f>
        <v>3.8</v>
      </c>
      <c r="EE26" s="16">
        <f t="shared" si="22"/>
        <v>3.8</v>
      </c>
      <c r="EF26" s="16">
        <f t="shared" si="22"/>
        <v>3.5999999999999996</v>
      </c>
      <c r="EG26" s="16">
        <f t="shared" si="22"/>
        <v>3.4</v>
      </c>
      <c r="EH26" s="16">
        <f t="shared" si="22"/>
        <v>3.1999999999999997</v>
      </c>
      <c r="EI26" s="16">
        <f t="shared" si="22"/>
        <v>3</v>
      </c>
      <c r="EJ26" s="16">
        <f t="shared" si="22"/>
        <v>2.8</v>
      </c>
      <c r="EK26" s="16">
        <f t="shared" si="22"/>
        <v>2.5999999999999996</v>
      </c>
      <c r="EL26" s="16">
        <f t="shared" si="22"/>
        <v>2.4</v>
      </c>
      <c r="EM26" s="16">
        <f t="shared" si="22"/>
        <v>1.2000000000000002</v>
      </c>
      <c r="EN26" s="16">
        <f t="shared" si="22"/>
        <v>1</v>
      </c>
    </row>
    <row r="27" spans="1:144" x14ac:dyDescent="0.25">
      <c r="A27" t="s">
        <v>26</v>
      </c>
      <c r="B27" t="s">
        <v>90</v>
      </c>
      <c r="C27" t="s">
        <v>93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0</v>
      </c>
      <c r="E27" s="10">
        <f>Table3[[#This Row],[Watched]]/Table3[[#This Row],[GP]]</f>
        <v>0</v>
      </c>
      <c r="F27">
        <f>COUNTIFS(DataRegularSeason20242025!$N$3:$N$1315,1,DataRegularSeason20242025!$D$3:$D$1315,$A27)</f>
        <v>0</v>
      </c>
      <c r="G27">
        <f>41-Table3[[#This Row],[GP_A]]</f>
        <v>41</v>
      </c>
      <c r="H27">
        <f>COUNTIFS(DataRegularSeason20242025!$E$3:$E$1315,$A27,DataRegularSeason20242025!$N$3:$N$1315,1)</f>
        <v>1</v>
      </c>
      <c r="I27">
        <f>41-Table3[[#This Row],[GP_H]]</f>
        <v>40</v>
      </c>
      <c r="J27">
        <f t="shared" si="0"/>
        <v>1</v>
      </c>
      <c r="K27">
        <f>82-Table3[[#This Row],[GP]]</f>
        <v>81</v>
      </c>
      <c r="L27">
        <f>COUNTIFS(DataRegularSeason20242025!$D$3:$D$1315,$A27, DataRegularSeason20242025!$L$3:$L$1315, $A27,DataRegularSeason20242025!$N$3:$N$1315,1)</f>
        <v>0</v>
      </c>
      <c r="M27">
        <f>COUNTIFS(DataRegularSeason20242025!$D$3:$D$1315,$A27, DataRegularSeason20242025!$L$3:$L$1315, $A27,DataRegularSeason20242025!$N$3:$N$1315,1,DataRegularSeason20242025!$M$3:$M$1315,"REG")</f>
        <v>0</v>
      </c>
      <c r="N27">
        <f>COUNTIFS(DataRegularSeason20242025!$D$3:$D$1315,$A27, DataRegularSeason20242025!$L$3:$L$1315, $A27,DataRegularSeason20242025!$N$3:$N$1315,1,DataRegularSeason20242025!$M$3:$M$1315,"OT")</f>
        <v>0</v>
      </c>
      <c r="O27">
        <f>COUNTIFS(DataRegularSeason20242025!$D$3:$D$1315,$A27, DataRegularSeason20242025!$L$3:$L$1315, $A27,DataRegularSeason20242025!$N$3:$N$1315,1,DataRegularSeason20242025!$M$3:$M$1315,"SO")</f>
        <v>0</v>
      </c>
      <c r="P27">
        <f t="shared" si="1"/>
        <v>0</v>
      </c>
      <c r="Q27">
        <f>COUNTIFS(DataRegularSeason20242025!$D$3:$D$1315,$A27, DataRegularSeason20242025!$S$3:$S$1315, $A27,DataRegularSeason20242025!$M$3:$M$1315,"REG")</f>
        <v>0</v>
      </c>
      <c r="R27">
        <f>COUNTIFS(DataRegularSeason20242025!$D$3:$D$1315,$A27, DataRegularSeason20242025!$S$3:$S$1315, $A27,DataRegularSeason20242025!$M$3:$M$1315,"OT")</f>
        <v>0</v>
      </c>
      <c r="S27">
        <f>COUNTIFS(DataRegularSeason20242025!$D$3:$D$1315,$A27, DataRegularSeason20242025!$S$3:$S$1315, $A27,DataRegularSeason20242025!$M$3:$M$1315,"SO")</f>
        <v>0</v>
      </c>
      <c r="T27">
        <f>COUNTIFS(DataRegularSeason20242025!$E$3:$E$1315,$A27, DataRegularSeason20242025!$L$3:$L$1315, $A27, DataRegularSeason20242025!$N$3:$N$1315,1)</f>
        <v>0</v>
      </c>
      <c r="U27">
        <f>COUNTIFS(DataRegularSeason20242025!$E$3:$E$1315,$A27, DataRegularSeason20242025!$L$3:$L$1315, $A27,DataRegularSeason20242025!$N$3:$N$1315,1,DataRegularSeason20242025!$M$3:$M$1315,"REG")</f>
        <v>0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0</v>
      </c>
      <c r="X27">
        <f t="shared" si="2"/>
        <v>1</v>
      </c>
      <c r="Y27">
        <f>COUNTIFS(DataRegularSeason20242025!$E$3:$E$1315,$A27, DataRegularSeason20242025!$S$3:$S$1315, $A27,DataRegularSeason20242025!$M$3:$M$1315,"REG")</f>
        <v>0</v>
      </c>
      <c r="Z27">
        <f>COUNTIFS(DataRegularSeason20242025!$E$3:$E$1315,$A27, DataRegularSeason20242025!$S$3:$S$1315, $A27,DataRegularSeason20242025!$M$3:$M$1315,"OT")</f>
        <v>0</v>
      </c>
      <c r="AA27">
        <f>COUNTIFS(DataRegularSeason20242025!$E$3:$E$1315,$A27, DataRegularSeason20242025!$S$3:$S$1315, $A27,DataRegularSeason20242025!$M$3:$M$1315,"SO")</f>
        <v>1</v>
      </c>
      <c r="AB27">
        <f>Table3[[#This Row],[W]]/MAX(1,Table3[[#This Row],[W]]+Table3[[#This Row],[L]])</f>
        <v>0</v>
      </c>
      <c r="AC27">
        <f>Table3[[#This Row],[W_A]]+Table3[[#This Row],[W_H]]</f>
        <v>0</v>
      </c>
      <c r="AD27">
        <f>Table3[[#This Row],[L_A]]+Table3[[#This Row],[L_H]]</f>
        <v>1</v>
      </c>
      <c r="AE27">
        <f>Table3[[#This Row],[RW_A]]+Table3[[#This Row],[RW_H]]</f>
        <v>0</v>
      </c>
      <c r="AF27">
        <f>Table3[[#This Row],[RL_A]]+Table3[[#This Row],[RL_H]]</f>
        <v>0</v>
      </c>
      <c r="AG27">
        <f>Table3[[#This Row],[OTW_A]]+Table3[[#This Row],[OTW_H]]</f>
        <v>0</v>
      </c>
      <c r="AH27">
        <f>Table3[[#This Row],[OTL_A]]+Table3[[#This Row],[OTL_H]]</f>
        <v>0</v>
      </c>
      <c r="AI27">
        <f>Table3[[#This Row],[SOW_A]]+Table3[[#This Row],[SOW_H]]</f>
        <v>0</v>
      </c>
      <c r="AJ27">
        <f>Table3[[#This Row],[SOL_A]]+Table3[[#This Row],[SOL_H]]</f>
        <v>1</v>
      </c>
      <c r="AK27" s="15" t="str">
        <f>_xlfn.CONCAT(TEXT(Table3[[#This Row],[OTW]]+Table3[[#This Row],[SOW]], "0"), "-", TEXT(Table3[[#This Row],[OTL]]+Table3[[#This Row],[SOL]],"0"))</f>
        <v>0-1</v>
      </c>
      <c r="AL27">
        <f>SUM(Table3[[#This Row],[OTW]],Table3[[#This Row],[OTL]],Table3[[#This Row],[SOW]],Table3[[#This Row],[SOL]])</f>
        <v>1</v>
      </c>
      <c r="AM27">
        <f>(Table3[[#This Row],[OTW]]+Table3[[#This Row],[SOW]])/IF(Table3[[#This Row],[Total_ExtraTimes]]=0,1,Table3[[#This Row],[Total_ExtraTimes]])</f>
        <v>0</v>
      </c>
      <c r="AN27">
        <f>Table3[[#This Row],[Total_ExtraTimes]]/MAX(1,Table3[[#This Row],[GP]])</f>
        <v>1</v>
      </c>
      <c r="AO27">
        <f>(2*(Table3[[#This Row],[W_A]]+Table3[[#This Row],[W_H]]))+Table3[[#This Row],[OTL_A]]+Table3[[#This Row],[SOL_A]]+Table3[[#This Row],[OTL_H]]+Table3[[#This Row],[SOL_H]]</f>
        <v>1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</v>
      </c>
      <c r="AQ27" s="10">
        <f>Table3[[#This Row],[PTS]]/(2*Table3[[#This Row],[GP]])</f>
        <v>0.5</v>
      </c>
      <c r="AR27" s="10">
        <f>Table3[[#This Row],[PTS2]]/(3*Table3[[#This Row],[GP]])</f>
        <v>0.33333333333333331</v>
      </c>
      <c r="AS27">
        <f>(2*Table3[[#This Row],[GR]])+Table3[[#This Row],[PTS]]</f>
        <v>163</v>
      </c>
      <c r="AT27">
        <f>(3*Table3[[#This Row],[GR]])+Table3[[#This Row],[PTS2]]</f>
        <v>244</v>
      </c>
      <c r="AU27">
        <f>Table3[[#This Row],[PTS]]+(2 * Table3[[#This Row],[GR]] * Table3[[#This Row],[PTS%]])</f>
        <v>82</v>
      </c>
      <c r="AV27">
        <f>Table3[[#This Row],[PTS2]]+(3 * Table3[[#This Row],[GR]] * Table3[[#This Row],[PTS%2]])</f>
        <v>82</v>
      </c>
      <c r="AW27" s="15" t="str">
        <f>_xlfn.CONCAT(TEXT(Table3[[#This Row],[W]], "0"), "-", TEXT(Table3[[#This Row],[RL]],"0"), "-", TEXT(Table3[[#This Row],[OTL]]+Table3[[#This Row],[SOL]], "0"))</f>
        <v>0-0-1</v>
      </c>
      <c r="AX27">
        <f>COUNTIFS(DataRegularSeason20242025!$D$3:$D$1315,Table3[[#This Row],[Teams]],DataRegularSeason20242025!$K$3:$K$1315,0)</f>
        <v>0</v>
      </c>
      <c r="AY27">
        <f>SUMIF(DataRegularSeason20242025!$D$3:$D$1315,$A27, DataRegularSeason20242025!$J$3:$J$1315)</f>
        <v>0</v>
      </c>
      <c r="AZ27">
        <f>SUMIF(DataRegularSeason20242025!$D$3:$D$1315,$A27, DataRegularSeason20242025!$K$3:$K$1315)</f>
        <v>0</v>
      </c>
      <c r="BA27">
        <f t="shared" si="3"/>
        <v>0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5</v>
      </c>
      <c r="BD27">
        <f>SUMIF(DataRegularSeason20242025!$E$3:$E$1315,$A27,DataRegularSeason20242025!$J$3:$J$1315)</f>
        <v>6</v>
      </c>
      <c r="BE27">
        <f t="shared" si="4"/>
        <v>-1</v>
      </c>
      <c r="BF27">
        <f t="shared" si="5"/>
        <v>5</v>
      </c>
      <c r="BG27">
        <f t="shared" si="6"/>
        <v>6</v>
      </c>
      <c r="BH27">
        <f t="shared" si="7"/>
        <v>-1</v>
      </c>
      <c r="BI27" s="12">
        <f>Table3[[#This Row],[GF]]/Table3[[#This Row],[GP]]</f>
        <v>5</v>
      </c>
      <c r="BJ27" s="12">
        <f>Table3[[#This Row],[GA]]/Table3[[#This Row],[GP]]</f>
        <v>6</v>
      </c>
      <c r="BK27" s="12">
        <f>(Table3[[#This Row],[GF]]-Table3[[#This Row],[GA]])/Table3[[#This Row],[GP]]</f>
        <v>-1</v>
      </c>
      <c r="BL27" s="42" t="str">
        <f>_xlfn.CONCAT(TEXT(Table3[[#This Row],[W_H]], "0"), "-", TEXT(Table3[[#This Row],[RL_H]],"0"), "-", TEXT(Table3[[#This Row],[OTL_H]]+Table3[[#This Row],[SOL_H]], "0"))</f>
        <v>0-0-1</v>
      </c>
      <c r="BM27" s="42" t="str">
        <f>_xlfn.CONCAT(TEXT(Table3[[#This Row],[W_A]], "0"), "-", TEXT(Table3[[#This Row],[RL_A]],"0"), "-", TEXT(Table3[[#This Row],[OTL_A]]+Table3[[#This Row],[SOL_A]], "0"))</f>
        <v>0-0-0</v>
      </c>
      <c r="BN27" s="42">
        <f>((2*(Table3[[#This Row],[W_H]]))+Table3[[#This Row],[OTL_H]]+Table3[[#This Row],[SOL_H]])/(2*Table3[[#This Row],[GP_H]])</f>
        <v>0.5</v>
      </c>
      <c r="BO27" s="42" t="e">
        <f>((2*(Table3[[#This Row],[W_A]]))+Table3[[#This Row],[OTL_A]]+Table3[[#This Row],[SOL_A]])/(2*Table3[[#This Row],[GP_A]])</f>
        <v>#DIV/0!</v>
      </c>
      <c r="BP27" s="16">
        <f>(Table3[[#This Row],[W]]*$CX$3)+(Table3[[#This Row],[L]]*$CX$4)+(Table3[[#This Row],[GF]]*$CX$5)+(Table3[[#This Row],[GA]]*$CX$6)</f>
        <v>1.6500000000000001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145.15</v>
      </c>
      <c r="BR27" s="16">
        <f>(Table3[[#This Row],[W]]*0.7) + ((Table3[[#This Row],[GF]] - Table3[[#This Row],[GA]])*0.25)+(Table3[[#This Row],[GF]]*0.1)+(Table3[[#This Row],[GA]]*0.05)+(Table3[[#This Row],[L]]*0.3)</f>
        <v>0.85000000000000009</v>
      </c>
      <c r="BS27" s="16">
        <f>Table3[[#This Row],[TeamCost83]]/Table3[[#This Row],[GP]]</f>
        <v>0.85000000000000009</v>
      </c>
      <c r="BT27">
        <f>COUNTIFS(Table2[AwayTeam],$A27,Table2[PredictedWinner], $A27, Table2[GameIsOver], 1)</f>
        <v>0</v>
      </c>
      <c r="BU27">
        <f>COUNTIFS(Table2[HomeTeam],$A27,Table2[PredictedWinner], $A27, Table2[GameIsOver], 1)</f>
        <v>1</v>
      </c>
      <c r="BV27">
        <f t="shared" si="8"/>
        <v>1</v>
      </c>
      <c r="BW27">
        <f t="shared" si="9"/>
        <v>0</v>
      </c>
      <c r="BX27">
        <f t="shared" si="10"/>
        <v>0</v>
      </c>
      <c r="BY27">
        <f t="shared" si="11"/>
        <v>0</v>
      </c>
      <c r="BZ27">
        <f>Table3[[#This Row],[TimesPredictedWinner]]/Table3[[#This Row],[GP]]</f>
        <v>1</v>
      </c>
      <c r="CB27">
        <v>2023</v>
      </c>
      <c r="CD27" s="1">
        <v>45748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0</v>
      </c>
      <c r="CJ27">
        <f>SUMIFS(Table2[GamePredictionScore], Table2[HomeTeam], Table3[[#This Row],[Teams]])</f>
        <v>0</v>
      </c>
      <c r="CK27">
        <f>Table3[[#This Row],[Column4]]+Table3[[#This Row],[Column3]]</f>
        <v>0</v>
      </c>
      <c r="CL27">
        <f>Table3[[#This Row],[Column5]]/Table3[[#This Row],[GP]]</f>
        <v>0</v>
      </c>
      <c r="CV27" s="72"/>
      <c r="CW27" s="57">
        <v>9</v>
      </c>
      <c r="CX27" s="16">
        <f t="shared" si="17"/>
        <v>1.8499999999999999</v>
      </c>
      <c r="CY27" s="16">
        <f t="shared" si="17"/>
        <v>1.95</v>
      </c>
      <c r="CZ27" s="16">
        <f t="shared" si="17"/>
        <v>2.0499999999999998</v>
      </c>
      <c r="DA27" s="16">
        <f t="shared" si="17"/>
        <v>2.15</v>
      </c>
      <c r="DB27" s="16">
        <f t="shared" si="17"/>
        <v>2.25</v>
      </c>
      <c r="DC27" s="16">
        <f t="shared" si="17"/>
        <v>2.3499999999999996</v>
      </c>
      <c r="DD27" s="16">
        <f t="shared" si="17"/>
        <v>2.4500000000000002</v>
      </c>
      <c r="DE27" s="16">
        <f t="shared" si="17"/>
        <v>2.5499999999999998</v>
      </c>
      <c r="DF27" s="16">
        <f t="shared" si="17"/>
        <v>2.65</v>
      </c>
      <c r="DG27" s="73"/>
      <c r="DH27" s="74">
        <f t="shared" si="17"/>
        <v>2.6499999999999995</v>
      </c>
      <c r="EB27" s="72"/>
      <c r="EC27" s="57">
        <v>9</v>
      </c>
      <c r="ED27" s="16">
        <f t="shared" ref="ED27:EN27" si="23">(IF($EC27&gt;EC$17, 1, 0)*0.7) + (($EC27 - EC$17)*0.25)+($EC27*0.1)+(EC$17*0.05)+(IF($EC27&gt;EC$17, 1, 0)*0.3)</f>
        <v>4.1500000000000004</v>
      </c>
      <c r="EE27" s="16">
        <f t="shared" si="23"/>
        <v>4.1500000000000004</v>
      </c>
      <c r="EF27" s="16">
        <f t="shared" si="23"/>
        <v>3.9499999999999997</v>
      </c>
      <c r="EG27" s="16">
        <f t="shared" si="23"/>
        <v>3.75</v>
      </c>
      <c r="EH27" s="16">
        <f t="shared" si="23"/>
        <v>3.55</v>
      </c>
      <c r="EI27" s="16">
        <f t="shared" si="23"/>
        <v>3.35</v>
      </c>
      <c r="EJ27" s="16">
        <f t="shared" si="23"/>
        <v>3.15</v>
      </c>
      <c r="EK27" s="16">
        <f t="shared" si="23"/>
        <v>2.95</v>
      </c>
      <c r="EL27" s="16">
        <f t="shared" si="23"/>
        <v>2.75</v>
      </c>
      <c r="EM27" s="16">
        <f t="shared" si="23"/>
        <v>2.5499999999999998</v>
      </c>
      <c r="EN27" s="16">
        <f t="shared" si="23"/>
        <v>1.35</v>
      </c>
    </row>
    <row r="28" spans="1:144" ht="15.75" thickBot="1" x14ac:dyDescent="0.3">
      <c r="A28" t="s">
        <v>22</v>
      </c>
      <c r="B28" t="s">
        <v>90</v>
      </c>
      <c r="C28" t="s">
        <v>93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1</v>
      </c>
      <c r="E28" s="10">
        <f>Table3[[#This Row],[Watched]]/Table3[[#This Row],[GP]]</f>
        <v>1</v>
      </c>
      <c r="F28">
        <f>COUNTIFS(DataRegularSeason20242025!$N$3:$N$1315,1,DataRegularSeason20242025!$D$3:$D$1315,$A28)</f>
        <v>0</v>
      </c>
      <c r="G28">
        <f>41-Table3[[#This Row],[GP_A]]</f>
        <v>41</v>
      </c>
      <c r="H28">
        <f>COUNTIFS(DataRegularSeason20242025!$E$3:$E$1315,$A28,DataRegularSeason20242025!$N$3:$N$1315,1)</f>
        <v>1</v>
      </c>
      <c r="I28">
        <f>41-Table3[[#This Row],[GP_H]]</f>
        <v>40</v>
      </c>
      <c r="J28">
        <f t="shared" si="0"/>
        <v>1</v>
      </c>
      <c r="K28">
        <f>82-Table3[[#This Row],[GP]]</f>
        <v>81</v>
      </c>
      <c r="L28">
        <f>COUNTIFS(DataRegularSeason20242025!$D$3:$D$1315,$A28, DataRegularSeason20242025!$L$3:$L$1315, $A28,DataRegularSeason20242025!$N$3:$N$1315,1)</f>
        <v>0</v>
      </c>
      <c r="M28">
        <f>COUNTIFS(DataRegularSeason20242025!$D$3:$D$1315,$A28, DataRegularSeason20242025!$L$3:$L$1315, $A28,DataRegularSeason20242025!$N$3:$N$1315,1,DataRegularSeason20242025!$M$3:$M$1315,"REG")</f>
        <v>0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 t="shared" si="1"/>
        <v>0</v>
      </c>
      <c r="Q28">
        <f>COUNTIFS(DataRegularSeason20242025!$D$3:$D$1315,$A28, DataRegularSeason20242025!$S$3:$S$1315, $A28,DataRegularSeason20242025!$M$3:$M$1315,"REG")</f>
        <v>0</v>
      </c>
      <c r="R28">
        <f>COUNTIFS(DataRegularSeason20242025!$D$3:$D$1315,$A28, DataRegularSeason20242025!$S$3:$S$1315, $A28,DataRegularSeason20242025!$M$3:$M$1315,"OT")</f>
        <v>0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0</v>
      </c>
      <c r="U28">
        <f>COUNTIFS(DataRegularSeason20242025!$E$3:$E$1315,$A28, DataRegularSeason20242025!$L$3:$L$1315, $A28,DataRegularSeason20242025!$N$3:$N$1315,1,DataRegularSeason20242025!$M$3:$M$1315,"REG")</f>
        <v>0</v>
      </c>
      <c r="V28">
        <f>COUNTIFS(DataRegularSeason20242025!$E$3:$E$1315,$A28, DataRegularSeason20242025!$L$3:$L$1315, $A28,DataRegularSeason20242025!$N$3:$N$1315,1,DataRegularSeason20242025!$M$3:$M$1315,"OT")</f>
        <v>0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 t="shared" si="2"/>
        <v>1</v>
      </c>
      <c r="Y28">
        <f>COUNTIFS(DataRegularSeason20242025!$E$3:$E$1315,$A28, DataRegularSeason20242025!$S$3:$S$1315, $A28,DataRegularSeason20242025!$M$3:$M$1315,"REG")</f>
        <v>0</v>
      </c>
      <c r="Z28">
        <f>COUNTIFS(DataRegularSeason20242025!$E$3:$E$1315,$A28, DataRegularSeason20242025!$S$3:$S$1315, $A28,DataRegularSeason20242025!$M$3:$M$1315,"OT")</f>
        <v>0</v>
      </c>
      <c r="AA28">
        <f>COUNTIFS(DataRegularSeason20242025!$E$3:$E$1315,$A28, DataRegularSeason20242025!$S$3:$S$1315, $A28,DataRegularSeason20242025!$M$3:$M$1315,"SO")</f>
        <v>1</v>
      </c>
      <c r="AB28">
        <f>Table3[[#This Row],[W]]/MAX(1,Table3[[#This Row],[W]]+Table3[[#This Row],[L]])</f>
        <v>0</v>
      </c>
      <c r="AC28">
        <f>Table3[[#This Row],[W_A]]+Table3[[#This Row],[W_H]]</f>
        <v>0</v>
      </c>
      <c r="AD28">
        <f>Table3[[#This Row],[L_A]]+Table3[[#This Row],[L_H]]</f>
        <v>1</v>
      </c>
      <c r="AE28">
        <f>Table3[[#This Row],[RW_A]]+Table3[[#This Row],[RW_H]]</f>
        <v>0</v>
      </c>
      <c r="AF28">
        <f>Table3[[#This Row],[RL_A]]+Table3[[#This Row],[RL_H]]</f>
        <v>0</v>
      </c>
      <c r="AG28">
        <f>Table3[[#This Row],[OTW_A]]+Table3[[#This Row],[OTW_H]]</f>
        <v>0</v>
      </c>
      <c r="AH28">
        <f>Table3[[#This Row],[OTL_A]]+Table3[[#This Row],[OTL_H]]</f>
        <v>0</v>
      </c>
      <c r="AI28">
        <f>Table3[[#This Row],[SOW_A]]+Table3[[#This Row],[SOW_H]]</f>
        <v>0</v>
      </c>
      <c r="AJ28">
        <f>Table3[[#This Row],[SOL_A]]+Table3[[#This Row],[SOL_H]]</f>
        <v>1</v>
      </c>
      <c r="AK28" s="15" t="str">
        <f>_xlfn.CONCAT(TEXT(Table3[[#This Row],[OTW]]+Table3[[#This Row],[SOW]], "0"), "-", TEXT(Table3[[#This Row],[OTL]]+Table3[[#This Row],[SOL]],"0"))</f>
        <v>0-1</v>
      </c>
      <c r="AL28">
        <f>SUM(Table3[[#This Row],[OTW]],Table3[[#This Row],[OTL]],Table3[[#This Row],[SOW]],Table3[[#This Row],[SOL]])</f>
        <v>1</v>
      </c>
      <c r="AM28">
        <f>(Table3[[#This Row],[OTW]]+Table3[[#This Row],[SOW]])/IF(Table3[[#This Row],[Total_ExtraTimes]]=0,1,Table3[[#This Row],[Total_ExtraTimes]])</f>
        <v>0</v>
      </c>
      <c r="AN28">
        <f>Table3[[#This Row],[Total_ExtraTimes]]/MAX(1,Table3[[#This Row],[GP]])</f>
        <v>1</v>
      </c>
      <c r="AO28">
        <f>(2*(Table3[[#This Row],[W_A]]+Table3[[#This Row],[W_H]]))+Table3[[#This Row],[OTL_A]]+Table3[[#This Row],[SOL_A]]+Table3[[#This Row],[OTL_H]]+Table3[[#This Row],[SOL_H]]</f>
        <v>1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</v>
      </c>
      <c r="AQ28" s="10">
        <f>Table3[[#This Row],[PTS]]/(2*Table3[[#This Row],[GP]])</f>
        <v>0.5</v>
      </c>
      <c r="AR28" s="10">
        <f>Table3[[#This Row],[PTS2]]/(3*Table3[[#This Row],[GP]])</f>
        <v>0.33333333333333331</v>
      </c>
      <c r="AS28">
        <f>(2*Table3[[#This Row],[GR]])+Table3[[#This Row],[PTS]]</f>
        <v>163</v>
      </c>
      <c r="AT28">
        <f>(3*Table3[[#This Row],[GR]])+Table3[[#This Row],[PTS2]]</f>
        <v>244</v>
      </c>
      <c r="AU28">
        <f>Table3[[#This Row],[PTS]]+(2 * Table3[[#This Row],[GR]] * Table3[[#This Row],[PTS%]])</f>
        <v>82</v>
      </c>
      <c r="AV28">
        <f>Table3[[#This Row],[PTS2]]+(3 * Table3[[#This Row],[GR]] * Table3[[#This Row],[PTS%2]])</f>
        <v>82</v>
      </c>
      <c r="AW28" s="15" t="str">
        <f>_xlfn.CONCAT(TEXT(Table3[[#This Row],[W]], "0"), "-", TEXT(Table3[[#This Row],[RL]],"0"), "-", TEXT(Table3[[#This Row],[OTL]]+Table3[[#This Row],[SOL]], "0"))</f>
        <v>0-0-1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0</v>
      </c>
      <c r="AZ28">
        <f>SUMIF(DataRegularSeason20242025!$D$3:$D$1315,$A28, DataRegularSeason20242025!$K$3:$K$1315)</f>
        <v>0</v>
      </c>
      <c r="BA28">
        <f t="shared" si="3"/>
        <v>0</v>
      </c>
      <c r="BB28">
        <f>COUNTIFS(DataRegularSeason20242025!$E$3:$E$1315,Table3[[#This Row],[Teams]],DataRegularSeason20242025!$J$3:$J$1315,0)</f>
        <v>0</v>
      </c>
      <c r="BC28">
        <f>SUMIF(DataRegularSeason20242025!$E$3:$E$1315,$A28,DataRegularSeason20242025!$K$3:$K$1315)</f>
        <v>3</v>
      </c>
      <c r="BD28">
        <f>SUMIF(DataRegularSeason20242025!$E$3:$E$1315,$A28,DataRegularSeason20242025!$J$3:$J$1315)</f>
        <v>4</v>
      </c>
      <c r="BE28">
        <f t="shared" si="4"/>
        <v>-1</v>
      </c>
      <c r="BF28">
        <f t="shared" si="5"/>
        <v>3</v>
      </c>
      <c r="BG28">
        <f t="shared" si="6"/>
        <v>4</v>
      </c>
      <c r="BH28">
        <f t="shared" si="7"/>
        <v>-1</v>
      </c>
      <c r="BI28" s="12">
        <f>Table3[[#This Row],[GF]]/Table3[[#This Row],[GP]]</f>
        <v>3</v>
      </c>
      <c r="BJ28" s="12">
        <f>Table3[[#This Row],[GA]]/Table3[[#This Row],[GP]]</f>
        <v>4</v>
      </c>
      <c r="BK28" s="12">
        <f>(Table3[[#This Row],[GF]]-Table3[[#This Row],[GA]])/Table3[[#This Row],[GP]]</f>
        <v>-1</v>
      </c>
      <c r="BL28" s="42" t="str">
        <f>_xlfn.CONCAT(TEXT(Table3[[#This Row],[W_H]], "0"), "-", TEXT(Table3[[#This Row],[RL_H]],"0"), "-", TEXT(Table3[[#This Row],[OTL_H]]+Table3[[#This Row],[SOL_H]], "0"))</f>
        <v>0-0-1</v>
      </c>
      <c r="BM28" s="42" t="str">
        <f>_xlfn.CONCAT(TEXT(Table3[[#This Row],[W_A]], "0"), "-", TEXT(Table3[[#This Row],[RL_A]],"0"), "-", TEXT(Table3[[#This Row],[OTL_A]]+Table3[[#This Row],[SOL_A]], "0"))</f>
        <v>0-0-0</v>
      </c>
      <c r="BN28" s="42">
        <f>((2*(Table3[[#This Row],[W_H]]))+Table3[[#This Row],[OTL_H]]+Table3[[#This Row],[SOL_H]])/(2*Table3[[#This Row],[GP_H]])</f>
        <v>0.5</v>
      </c>
      <c r="BO28" s="42" t="e">
        <f>((2*(Table3[[#This Row],[W_A]]))+Table3[[#This Row],[OTL_A]]+Table3[[#This Row],[SOL_A]])/(2*Table3[[#This Row],[GP_A]])</f>
        <v>#DIV/0!</v>
      </c>
      <c r="BP28" s="16">
        <f>(Table3[[#This Row],[W]]*$CX$3)+(Table3[[#This Row],[L]]*$CX$4)+(Table3[[#This Row],[GF]]*$CX$5)+(Table3[[#This Row],[GA]]*$CX$6)</f>
        <v>1.1499999999999999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103.65</v>
      </c>
      <c r="BR28" s="16">
        <f>(Table3[[#This Row],[W]]*0.7) + ((Table3[[#This Row],[GF]] - Table3[[#This Row],[GA]])*0.25)+(Table3[[#This Row],[GF]]*0.1)+(Table3[[#This Row],[GA]]*0.05)+(Table3[[#This Row],[L]]*0.3)</f>
        <v>0.55000000000000004</v>
      </c>
      <c r="BS28" s="16">
        <f>Table3[[#This Row],[TeamCost83]]/Table3[[#This Row],[GP]]</f>
        <v>0.55000000000000004</v>
      </c>
      <c r="BT28">
        <f>COUNTIFS(Table2[AwayTeam],$A28,Table2[PredictedWinner], $A28, Table2[GameIsOver], 1)</f>
        <v>0</v>
      </c>
      <c r="BU28">
        <f>COUNTIFS(Table2[HomeTeam],$A28,Table2[PredictedWinner], $A28, Table2[GameIsOver], 1)</f>
        <v>1</v>
      </c>
      <c r="BV28">
        <f t="shared" si="8"/>
        <v>1</v>
      </c>
      <c r="BW28">
        <f t="shared" si="9"/>
        <v>0</v>
      </c>
      <c r="BX28">
        <f t="shared" si="10"/>
        <v>0</v>
      </c>
      <c r="BY28">
        <f t="shared" si="11"/>
        <v>0</v>
      </c>
      <c r="BZ28">
        <f>Table3[[#This Row],[TimesPredictedWinner]]/Table3[[#This Row],[GP]]</f>
        <v>1</v>
      </c>
      <c r="CB28">
        <v>1990</v>
      </c>
      <c r="CD28" s="1">
        <v>45758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0</v>
      </c>
      <c r="CJ28">
        <f>SUMIFS(Table2[GamePredictionScore], Table2[HomeTeam], Table3[[#This Row],[Teams]])</f>
        <v>0.1</v>
      </c>
      <c r="CK28">
        <f>Table3[[#This Row],[Column4]]+Table3[[#This Row],[Column3]]</f>
        <v>0.1</v>
      </c>
      <c r="CL28">
        <f>Table3[[#This Row],[Column5]]/Table3[[#This Row],[GP]]</f>
        <v>0.1</v>
      </c>
      <c r="CV28" s="75"/>
      <c r="CW28" s="79">
        <v>10</v>
      </c>
      <c r="CX28" s="76">
        <f t="shared" si="17"/>
        <v>2</v>
      </c>
      <c r="CY28" s="76">
        <f t="shared" si="17"/>
        <v>2.1</v>
      </c>
      <c r="CZ28" s="76">
        <f t="shared" si="17"/>
        <v>2.2000000000000002</v>
      </c>
      <c r="DA28" s="76">
        <f t="shared" si="17"/>
        <v>2.2999999999999998</v>
      </c>
      <c r="DB28" s="76">
        <f t="shared" si="17"/>
        <v>2.4</v>
      </c>
      <c r="DC28" s="76">
        <f t="shared" si="17"/>
        <v>2.5</v>
      </c>
      <c r="DD28" s="76">
        <f t="shared" si="17"/>
        <v>2.6</v>
      </c>
      <c r="DE28" s="76">
        <f t="shared" si="17"/>
        <v>2.7</v>
      </c>
      <c r="DF28" s="76">
        <f t="shared" si="17"/>
        <v>2.8</v>
      </c>
      <c r="DG28" s="76">
        <f t="shared" si="17"/>
        <v>2.9</v>
      </c>
      <c r="DH28" s="77"/>
      <c r="EB28" s="75"/>
      <c r="EC28" s="79">
        <v>10</v>
      </c>
      <c r="ED28" s="16">
        <f t="shared" ref="ED28:EN28" si="24">(IF($EC28&gt;EC$17, 1, 0)*0.7) + (($EC28 - EC$17)*0.25)+($EC28*0.1)+(EC$17*0.05)+(IF($EC28&gt;EC$17, 1, 0)*0.3)</f>
        <v>4.5</v>
      </c>
      <c r="EE28" s="16">
        <f t="shared" si="24"/>
        <v>4.5</v>
      </c>
      <c r="EF28" s="16">
        <f t="shared" si="24"/>
        <v>4.3</v>
      </c>
      <c r="EG28" s="16">
        <f t="shared" si="24"/>
        <v>4.1000000000000005</v>
      </c>
      <c r="EH28" s="16">
        <f t="shared" si="24"/>
        <v>3.9</v>
      </c>
      <c r="EI28" s="16">
        <f t="shared" si="24"/>
        <v>3.7</v>
      </c>
      <c r="EJ28" s="16">
        <f t="shared" si="24"/>
        <v>3.5</v>
      </c>
      <c r="EK28" s="16">
        <f t="shared" si="24"/>
        <v>3.3</v>
      </c>
      <c r="EL28" s="16">
        <f t="shared" si="24"/>
        <v>3.1</v>
      </c>
      <c r="EM28" s="16">
        <f t="shared" si="24"/>
        <v>2.9</v>
      </c>
      <c r="EN28" s="16">
        <f t="shared" si="24"/>
        <v>2.6999999999999997</v>
      </c>
    </row>
    <row r="29" spans="1:144" ht="15.75" thickBot="1" x14ac:dyDescent="0.3">
      <c r="A29" t="s">
        <v>43</v>
      </c>
      <c r="B29" t="s">
        <v>91</v>
      </c>
      <c r="C29" t="s">
        <v>92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0</v>
      </c>
      <c r="E29" s="10">
        <f>Table3[[#This Row],[Watched]]/Table3[[#This Row],[GP]]</f>
        <v>0</v>
      </c>
      <c r="F29">
        <f>COUNTIFS(DataRegularSeason20242025!$N$3:$N$1315,1,DataRegularSeason20242025!$D$3:$D$1315,$A29)</f>
        <v>0</v>
      </c>
      <c r="G29">
        <f>41-Table3[[#This Row],[GP_A]]</f>
        <v>41</v>
      </c>
      <c r="H29">
        <f>COUNTIFS(DataRegularSeason20242025!$E$3:$E$1315,$A29,DataRegularSeason20242025!$N$3:$N$1315,1)</f>
        <v>1</v>
      </c>
      <c r="I29">
        <f>41-Table3[[#This Row],[GP_H]]</f>
        <v>40</v>
      </c>
      <c r="J29">
        <f t="shared" si="0"/>
        <v>1</v>
      </c>
      <c r="K29">
        <f>82-Table3[[#This Row],[GP]]</f>
        <v>81</v>
      </c>
      <c r="L29">
        <f>COUNTIFS(DataRegularSeason20242025!$D$3:$D$1315,$A29, DataRegularSeason20242025!$L$3:$L$1315, $A29,DataRegularSeason20242025!$N$3:$N$1315,1)</f>
        <v>0</v>
      </c>
      <c r="M29">
        <f>COUNTIFS(DataRegularSeason20242025!$D$3:$D$1315,$A29, DataRegularSeason20242025!$L$3:$L$1315, $A29,DataRegularSeason20242025!$N$3:$N$1315,1,DataRegularSeason20242025!$M$3:$M$1315,"REG")</f>
        <v>0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 t="shared" si="1"/>
        <v>0</v>
      </c>
      <c r="Q29">
        <f>COUNTIFS(DataRegularSeason20242025!$D$3:$D$1315,$A29, DataRegularSeason20242025!$S$3:$S$1315, $A29,DataRegularSeason20242025!$M$3:$M$1315,"REG")</f>
        <v>0</v>
      </c>
      <c r="R29">
        <f>COUNTIFS(DataRegularSeason20242025!$D$3:$D$1315,$A29, DataRegularSeason20242025!$S$3:$S$1315, $A29,DataRegularSeason20242025!$M$3:$M$1315,"OT")</f>
        <v>0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0</v>
      </c>
      <c r="U29">
        <f>COUNTIFS(DataRegularSeason20242025!$E$3:$E$1315,$A29, DataRegularSeason20242025!$L$3:$L$1315, $A29,DataRegularSeason20242025!$N$3:$N$1315,1,DataRegularSeason20242025!$M$3:$M$1315,"REG")</f>
        <v>0</v>
      </c>
      <c r="V29">
        <f>COUNTIFS(DataRegularSeason20242025!$E$3:$E$1315,$A29, DataRegularSeason20242025!$L$3:$L$1315, $A29,DataRegularSeason20242025!$N$3:$N$1315,1,DataRegularSeason20242025!$M$3:$M$1315,"OT")</f>
        <v>0</v>
      </c>
      <c r="W29">
        <f>COUNTIFS(DataRegularSeason20242025!$E$3:$E$1315,$A29, DataRegularSeason20242025!$L$3:$L$1315, $A29,DataRegularSeason20242025!$N$3:$N$1315,1,DataRegularSeason20242025!$M$3:$M$1315,"SO")</f>
        <v>0</v>
      </c>
      <c r="X29">
        <f t="shared" si="2"/>
        <v>1</v>
      </c>
      <c r="Y29">
        <f>COUNTIFS(DataRegularSeason20242025!$E$3:$E$1315,$A29, DataRegularSeason20242025!$S$3:$S$1315, $A29,DataRegularSeason20242025!$M$3:$M$1315,"REG")</f>
        <v>1</v>
      </c>
      <c r="Z29">
        <f>COUNTIFS(DataRegularSeason20242025!$E$3:$E$1315,$A29, DataRegularSeason20242025!$S$3:$S$1315, $A29,DataRegularSeason20242025!$M$3:$M$1315,"OT")</f>
        <v>0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</v>
      </c>
      <c r="AC29">
        <f>Table3[[#This Row],[W_A]]+Table3[[#This Row],[W_H]]</f>
        <v>0</v>
      </c>
      <c r="AD29">
        <f>Table3[[#This Row],[L_A]]+Table3[[#This Row],[L_H]]</f>
        <v>1</v>
      </c>
      <c r="AE29">
        <f>Table3[[#This Row],[RW_A]]+Table3[[#This Row],[RW_H]]</f>
        <v>0</v>
      </c>
      <c r="AF29">
        <f>Table3[[#This Row],[RL_A]]+Table3[[#This Row],[RL_H]]</f>
        <v>1</v>
      </c>
      <c r="AG29">
        <f>Table3[[#This Row],[OTW_A]]+Table3[[#This Row],[OTW_H]]</f>
        <v>0</v>
      </c>
      <c r="AH29">
        <f>Table3[[#This Row],[OTL_A]]+Table3[[#This Row],[OTL_H]]</f>
        <v>0</v>
      </c>
      <c r="AI29">
        <f>Table3[[#This Row],[SOW_A]]+Table3[[#This Row],[SOW_H]]</f>
        <v>0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0-0</v>
      </c>
      <c r="AL29">
        <f>SUM(Table3[[#This Row],[OTW]],Table3[[#This Row],[OTL]],Table3[[#This Row],[SOW]],Table3[[#This Row],[SOL]])</f>
        <v>0</v>
      </c>
      <c r="AM29">
        <f>(Table3[[#This Row],[OTW]]+Table3[[#This Row],[SOW]])/IF(Table3[[#This Row],[Total_ExtraTimes]]=0,1,Table3[[#This Row],[Total_ExtraTimes]])</f>
        <v>0</v>
      </c>
      <c r="AN29">
        <f>Table3[[#This Row],[Total_ExtraTimes]]/MAX(1,Table3[[#This Row],[GP]])</f>
        <v>0</v>
      </c>
      <c r="AO29">
        <f>(2*(Table3[[#This Row],[W_A]]+Table3[[#This Row],[W_H]]))+Table3[[#This Row],[OTL_A]]+Table3[[#This Row],[SOL_A]]+Table3[[#This Row],[OTL_H]]+Table3[[#This Row],[SOL_H]]</f>
        <v>0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9" s="10">
        <f>Table3[[#This Row],[PTS]]/(2*Table3[[#This Row],[GP]])</f>
        <v>0</v>
      </c>
      <c r="AR29" s="10">
        <f>Table3[[#This Row],[PTS2]]/(3*Table3[[#This Row],[GP]])</f>
        <v>0</v>
      </c>
      <c r="AS29">
        <f>(2*Table3[[#This Row],[GR]])+Table3[[#This Row],[PTS]]</f>
        <v>162</v>
      </c>
      <c r="AT29">
        <f>(3*Table3[[#This Row],[GR]])+Table3[[#This Row],[PTS2]]</f>
        <v>243</v>
      </c>
      <c r="AU29">
        <f>Table3[[#This Row],[PTS]]+(2 * Table3[[#This Row],[GR]] * Table3[[#This Row],[PTS%]])</f>
        <v>0</v>
      </c>
      <c r="AV29">
        <f>Table3[[#This Row],[PTS2]]+(3 * Table3[[#This Row],[GR]] * Table3[[#This Row],[PTS%2]])</f>
        <v>0</v>
      </c>
      <c r="AW29" s="15" t="str">
        <f>_xlfn.CONCAT(TEXT(Table3[[#This Row],[W]], "0"), "-", TEXT(Table3[[#This Row],[RL]],"0"), "-", TEXT(Table3[[#This Row],[OTL]]+Table3[[#This Row],[SOL]], "0"))</f>
        <v>0-1-0</v>
      </c>
      <c r="AX29">
        <f>COUNTIFS(DataRegularSeason20242025!$D$3:$D$1315,Table3[[#This Row],[Teams]],DataRegularSeason20242025!$K$3:$K$1315,0)</f>
        <v>0</v>
      </c>
      <c r="AY29">
        <f>SUMIF(DataRegularSeason20242025!$D$3:$D$1315,$A29, DataRegularSeason20242025!$J$3:$J$1315)</f>
        <v>0</v>
      </c>
      <c r="AZ29">
        <f>SUMIF(DataRegularSeason20242025!$D$3:$D$1315,$A29, DataRegularSeason20242025!$K$3:$K$1315)</f>
        <v>0</v>
      </c>
      <c r="BA29">
        <f t="shared" si="3"/>
        <v>0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1</v>
      </c>
      <c r="BD29">
        <f>SUMIF(DataRegularSeason20242025!$E$3:$E$1315,$A29,DataRegularSeason20242025!$J$3:$J$1315)</f>
        <v>3</v>
      </c>
      <c r="BE29">
        <f t="shared" si="4"/>
        <v>-2</v>
      </c>
      <c r="BF29">
        <f t="shared" si="5"/>
        <v>1</v>
      </c>
      <c r="BG29">
        <f t="shared" si="6"/>
        <v>3</v>
      </c>
      <c r="BH29">
        <f t="shared" si="7"/>
        <v>-2</v>
      </c>
      <c r="BI29" s="12">
        <f>Table3[[#This Row],[GF]]/Table3[[#This Row],[GP]]</f>
        <v>1</v>
      </c>
      <c r="BJ29" s="12">
        <f>Table3[[#This Row],[GA]]/Table3[[#This Row],[GP]]</f>
        <v>3</v>
      </c>
      <c r="BK29" s="12">
        <f>(Table3[[#This Row],[GF]]-Table3[[#This Row],[GA]])/Table3[[#This Row],[GP]]</f>
        <v>-2</v>
      </c>
      <c r="BL29" s="42" t="str">
        <f>_xlfn.CONCAT(TEXT(Table3[[#This Row],[W_H]], "0"), "-", TEXT(Table3[[#This Row],[RL_H]],"0"), "-", TEXT(Table3[[#This Row],[OTL_H]]+Table3[[#This Row],[SOL_H]], "0"))</f>
        <v>0-1-0</v>
      </c>
      <c r="BM29" s="42" t="str">
        <f>_xlfn.CONCAT(TEXT(Table3[[#This Row],[W_A]], "0"), "-", TEXT(Table3[[#This Row],[RL_A]],"0"), "-", TEXT(Table3[[#This Row],[OTL_A]]+Table3[[#This Row],[SOL_A]], "0"))</f>
        <v>0-0-0</v>
      </c>
      <c r="BN29" s="42">
        <f>((2*(Table3[[#This Row],[W_H]]))+Table3[[#This Row],[OTL_H]]+Table3[[#This Row],[SOL_H]])/(2*Table3[[#This Row],[GP_H]])</f>
        <v>0</v>
      </c>
      <c r="BO29" s="42" t="e">
        <f>((2*(Table3[[#This Row],[W_A]]))+Table3[[#This Row],[OTL_A]]+Table3[[#This Row],[SOL_A]])/(2*Table3[[#This Row],[GP_A]])</f>
        <v>#DIV/0!</v>
      </c>
      <c r="BP29" s="16">
        <f>(Table3[[#This Row],[W]]*$CX$3)+(Table3[[#This Row],[L]]*$CX$4)+(Table3[[#This Row],[GF]]*$CX$5)+(Table3[[#This Row],[GA]]*$CX$6)</f>
        <v>0.75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62.249999999999993</v>
      </c>
      <c r="BR29" s="16">
        <f>(Table3[[#This Row],[W]]*0.7) + ((Table3[[#This Row],[GF]] - Table3[[#This Row],[GA]])*0.25)+(Table3[[#This Row],[GF]]*0.1)+(Table3[[#This Row],[GA]]*0.05)+(Table3[[#This Row],[L]]*0.3)</f>
        <v>4.9999999999999989E-2</v>
      </c>
      <c r="BS29" s="16">
        <f>Table3[[#This Row],[TeamCost83]]/Table3[[#This Row],[GP]]</f>
        <v>4.9999999999999989E-2</v>
      </c>
      <c r="BT29">
        <f>COUNTIFS(Table2[AwayTeam],$A29,Table2[PredictedWinner], $A29, Table2[GameIsOver], 1)</f>
        <v>0</v>
      </c>
      <c r="BU29">
        <f>COUNTIFS(Table2[HomeTeam],$A29,Table2[PredictedWinner], $A29, Table2[GameIsOver], 1)</f>
        <v>1</v>
      </c>
      <c r="BV29">
        <f t="shared" si="8"/>
        <v>1</v>
      </c>
      <c r="BW29">
        <f t="shared" si="9"/>
        <v>0</v>
      </c>
      <c r="BX29">
        <f t="shared" si="10"/>
        <v>0</v>
      </c>
      <c r="BY29">
        <f t="shared" si="11"/>
        <v>0</v>
      </c>
      <c r="BZ29">
        <f>Table3[[#This Row],[TimesPredictedWinner]]/Table3[[#This Row],[GP]]</f>
        <v>1</v>
      </c>
      <c r="CB29">
        <v>2018</v>
      </c>
      <c r="CD29" s="1">
        <v>45736</v>
      </c>
      <c r="CE29" t="str">
        <f>INDEX(Table2[AwayTeam], Table3[[#This Row],[Column2]])</f>
        <v>OTT</v>
      </c>
      <c r="CF29">
        <f>LARGE((Table2[[#This Row],[AwayTeam]]=Table3[[#This Row],[Teams]]), 1)</f>
        <v>0</v>
      </c>
      <c r="CI29">
        <f>SUMIFS(Table2[GamePredictionScore], Table2[AwayTeam], Table3[[#This Row],[Teams]])</f>
        <v>0</v>
      </c>
      <c r="CJ29">
        <f>SUMIFS(Table2[GamePredictionScore], Table2[HomeTeam], Table3[[#This Row],[Teams]])</f>
        <v>0</v>
      </c>
      <c r="CK29">
        <f>Table3[[#This Row],[Column4]]+Table3[[#This Row],[Column3]]</f>
        <v>0</v>
      </c>
      <c r="CL29">
        <f>Table3[[#This Row],[Column5]]/Table3[[#This Row],[GP]]</f>
        <v>0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27</v>
      </c>
      <c r="B30" t="s">
        <v>90</v>
      </c>
      <c r="C30" t="s">
        <v>93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1</v>
      </c>
      <c r="E30" s="10">
        <f>Table3[[#This Row],[Watched]]/Table3[[#This Row],[GP]]</f>
        <v>0.5</v>
      </c>
      <c r="F30">
        <f>COUNTIFS(DataRegularSeason20242025!$N$3:$N$1315,1,DataRegularSeason20242025!$D$3:$D$1315,$A30)</f>
        <v>1</v>
      </c>
      <c r="G30">
        <f>41-Table3[[#This Row],[GP_A]]</f>
        <v>40</v>
      </c>
      <c r="H30">
        <f>COUNTIFS(DataRegularSeason20242025!$E$3:$E$1315,$A30,DataRegularSeason20242025!$N$3:$N$1315,1)</f>
        <v>1</v>
      </c>
      <c r="I30">
        <f>41-Table3[[#This Row],[GP_H]]</f>
        <v>40</v>
      </c>
      <c r="J30">
        <f t="shared" si="0"/>
        <v>2</v>
      </c>
      <c r="K30">
        <f>82-Table3[[#This Row],[GP]]</f>
        <v>80</v>
      </c>
      <c r="L30">
        <f>COUNTIFS(DataRegularSeason20242025!$D$3:$D$1315,$A30, DataRegularSeason20242025!$L$3:$L$1315, $A30,DataRegularSeason20242025!$N$3:$N$1315,1)</f>
        <v>1</v>
      </c>
      <c r="M30">
        <f>COUNTIFS(DataRegularSeason20242025!$D$3:$D$1315,$A30, DataRegularSeason20242025!$L$3:$L$1315, $A30,DataRegularSeason20242025!$N$3:$N$1315,1,DataRegularSeason20242025!$M$3:$M$1315,"REG")</f>
        <v>0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1</v>
      </c>
      <c r="P30">
        <f t="shared" si="1"/>
        <v>0</v>
      </c>
      <c r="Q30">
        <f>COUNTIFS(DataRegularSeason20242025!$D$3:$D$1315,$A30, DataRegularSeason20242025!$S$3:$S$1315, $A30,DataRegularSeason20242025!$M$3:$M$1315,"REG")</f>
        <v>0</v>
      </c>
      <c r="R30">
        <f>COUNTIFS(DataRegularSeason20242025!$D$3:$D$1315,$A30, DataRegularSeason20242025!$S$3:$S$1315, $A30,DataRegularSeason20242025!$M$3:$M$1315,"OT")</f>
        <v>0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0</v>
      </c>
      <c r="U30">
        <f>COUNTIFS(DataRegularSeason20242025!$E$3:$E$1315,$A30, DataRegularSeason20242025!$L$3:$L$1315, $A30,DataRegularSeason20242025!$N$3:$N$1315,1,DataRegularSeason20242025!$M$3:$M$1315,"REG")</f>
        <v>0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0</v>
      </c>
      <c r="X30">
        <f t="shared" si="2"/>
        <v>1</v>
      </c>
      <c r="Y30">
        <f>COUNTIFS(DataRegularSeason20242025!$E$3:$E$1315,$A30, DataRegularSeason20242025!$S$3:$S$1315, $A30,DataRegularSeason20242025!$M$3:$M$1315,"REG")</f>
        <v>1</v>
      </c>
      <c r="Z30">
        <f>COUNTIFS(DataRegularSeason20242025!$E$3:$E$1315,$A30, DataRegularSeason20242025!$S$3:$S$1315, $A30,DataRegularSeason20242025!$M$3:$M$1315,"OT")</f>
        <v>0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0.5</v>
      </c>
      <c r="AC30">
        <f>Table3[[#This Row],[W_A]]+Table3[[#This Row],[W_H]]</f>
        <v>1</v>
      </c>
      <c r="AD30">
        <f>Table3[[#This Row],[L_A]]+Table3[[#This Row],[L_H]]</f>
        <v>1</v>
      </c>
      <c r="AE30">
        <f>Table3[[#This Row],[RW_A]]+Table3[[#This Row],[RW_H]]</f>
        <v>0</v>
      </c>
      <c r="AF30">
        <f>Table3[[#This Row],[RL_A]]+Table3[[#This Row],[RL_H]]</f>
        <v>1</v>
      </c>
      <c r="AG30">
        <f>Table3[[#This Row],[OTW_A]]+Table3[[#This Row],[OTW_H]]</f>
        <v>0</v>
      </c>
      <c r="AH30">
        <f>Table3[[#This Row],[OTL_A]]+Table3[[#This Row],[OTL_H]]</f>
        <v>0</v>
      </c>
      <c r="AI30">
        <f>Table3[[#This Row],[SOW_A]]+Table3[[#This Row],[SOW_H]]</f>
        <v>1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1-0</v>
      </c>
      <c r="AL30">
        <f>SUM(Table3[[#This Row],[OTW]],Table3[[#This Row],[OTL]],Table3[[#This Row],[SOW]],Table3[[#This Row],[SOL]])</f>
        <v>1</v>
      </c>
      <c r="AM30">
        <f>(Table3[[#This Row],[OTW]]+Table3[[#This Row],[SOW]])/IF(Table3[[#This Row],[Total_ExtraTimes]]=0,1,Table3[[#This Row],[Total_ExtraTimes]])</f>
        <v>1</v>
      </c>
      <c r="AN30">
        <f>Table3[[#This Row],[Total_ExtraTimes]]/MAX(1,Table3[[#This Row],[GP]])</f>
        <v>0.5</v>
      </c>
      <c r="AO30">
        <f>(2*(Table3[[#This Row],[W_A]]+Table3[[#This Row],[W_H]]))+Table3[[#This Row],[OTL_A]]+Table3[[#This Row],[SOL_A]]+Table3[[#This Row],[OTL_H]]+Table3[[#This Row],[SOL_H]]</f>
        <v>2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30" s="10">
        <f>Table3[[#This Row],[PTS]]/(2*Table3[[#This Row],[GP]])</f>
        <v>0.5</v>
      </c>
      <c r="AR30" s="10">
        <f>Table3[[#This Row],[PTS2]]/(3*Table3[[#This Row],[GP]])</f>
        <v>0.33333333333333331</v>
      </c>
      <c r="AS30">
        <f>(2*Table3[[#This Row],[GR]])+Table3[[#This Row],[PTS]]</f>
        <v>162</v>
      </c>
      <c r="AT30">
        <f>(3*Table3[[#This Row],[GR]])+Table3[[#This Row],[PTS2]]</f>
        <v>242</v>
      </c>
      <c r="AU30">
        <f>Table3[[#This Row],[PTS]]+(2 * Table3[[#This Row],[GR]] * Table3[[#This Row],[PTS%]])</f>
        <v>82</v>
      </c>
      <c r="AV30">
        <f>Table3[[#This Row],[PTS2]]+(3 * Table3[[#This Row],[GR]] * Table3[[#This Row],[PTS%2]])</f>
        <v>82</v>
      </c>
      <c r="AW30" s="15" t="str">
        <f>_xlfn.CONCAT(TEXT(Table3[[#This Row],[W]], "0"), "-", TEXT(Table3[[#This Row],[RL]],"0"), "-", TEXT(Table3[[#This Row],[OTL]]+Table3[[#This Row],[SOL]], "0"))</f>
        <v>1-1-0</v>
      </c>
      <c r="AX30">
        <f>COUNTIFS(DataRegularSeason20242025!$D$3:$D$1315,Table3[[#This Row],[Teams]],DataRegularSeason20242025!$K$3:$K$1315,0)</f>
        <v>0</v>
      </c>
      <c r="AY30">
        <f>SUMIF(DataRegularSeason20242025!$D$3:$D$1315,$A30, DataRegularSeason20242025!$J$3:$J$1315)</f>
        <v>6</v>
      </c>
      <c r="AZ30">
        <f>SUMIF(DataRegularSeason20242025!$D$3:$D$1315,$A30, DataRegularSeason20242025!$K$3:$K$1315)</f>
        <v>5</v>
      </c>
      <c r="BA30">
        <f t="shared" si="3"/>
        <v>1</v>
      </c>
      <c r="BB30">
        <f>COUNTIFS(DataRegularSeason20242025!$E$3:$E$1315,Table3[[#This Row],[Teams]],DataRegularSeason20242025!$J$3:$J$1315,0)</f>
        <v>0</v>
      </c>
      <c r="BC30">
        <f>SUMIF(DataRegularSeason20242025!$E$3:$E$1315,$A30,DataRegularSeason20242025!$K$3:$K$1315)</f>
        <v>1</v>
      </c>
      <c r="BD30">
        <f>SUMIF(DataRegularSeason20242025!$E$3:$E$1315,$A30,DataRegularSeason20242025!$J$3:$J$1315)</f>
        <v>4</v>
      </c>
      <c r="BE30">
        <f t="shared" si="4"/>
        <v>-3</v>
      </c>
      <c r="BF30">
        <f t="shared" si="5"/>
        <v>7</v>
      </c>
      <c r="BG30">
        <f t="shared" si="6"/>
        <v>9</v>
      </c>
      <c r="BH30">
        <f t="shared" si="7"/>
        <v>-2</v>
      </c>
      <c r="BI30" s="12">
        <f>Table3[[#This Row],[GF]]/Table3[[#This Row],[GP]]</f>
        <v>3.5</v>
      </c>
      <c r="BJ30" s="12">
        <f>Table3[[#This Row],[GA]]/Table3[[#This Row],[GP]]</f>
        <v>4.5</v>
      </c>
      <c r="BK30" s="12">
        <f>(Table3[[#This Row],[GF]]-Table3[[#This Row],[GA]])/Table3[[#This Row],[GP]]</f>
        <v>-1</v>
      </c>
      <c r="BL30" s="42" t="str">
        <f>_xlfn.CONCAT(TEXT(Table3[[#This Row],[W_H]], "0"), "-", TEXT(Table3[[#This Row],[RL_H]],"0"), "-", TEXT(Table3[[#This Row],[OTL_H]]+Table3[[#This Row],[SOL_H]], "0"))</f>
        <v>0-1-0</v>
      </c>
      <c r="BM30" s="42" t="str">
        <f>_xlfn.CONCAT(TEXT(Table3[[#This Row],[W_A]], "0"), "-", TEXT(Table3[[#This Row],[RL_A]],"0"), "-", TEXT(Table3[[#This Row],[OTL_A]]+Table3[[#This Row],[SOL_A]], "0"))</f>
        <v>1-0-0</v>
      </c>
      <c r="BN30" s="42">
        <f>((2*(Table3[[#This Row],[W_H]]))+Table3[[#This Row],[OTL_H]]+Table3[[#This Row],[SOL_H]])/(2*Table3[[#This Row],[GP_H]])</f>
        <v>0</v>
      </c>
      <c r="BO30" s="42">
        <f>((2*(Table3[[#This Row],[W_A]]))+Table3[[#This Row],[OTL_A]]+Table3[[#This Row],[SOL_A]])/(2*Table3[[#This Row],[GP_A]])</f>
        <v>1</v>
      </c>
      <c r="BP30" s="16">
        <f>(Table3[[#This Row],[W]]*$CX$3)+(Table3[[#This Row],[L]]*$CX$4)+(Table3[[#This Row],[GF]]*$CX$5)+(Table3[[#This Row],[GA]]*$CX$6)</f>
        <v>2.75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99.100000000000009</v>
      </c>
      <c r="BR30" s="16">
        <f>(Table3[[#This Row],[W]]*0.7) + ((Table3[[#This Row],[GF]] - Table3[[#This Row],[GA]])*0.25)+(Table3[[#This Row],[GF]]*0.1)+(Table3[[#This Row],[GA]]*0.05)+(Table3[[#This Row],[L]]*0.3)</f>
        <v>1.6500000000000001</v>
      </c>
      <c r="BS30" s="16">
        <f>Table3[[#This Row],[TeamCost83]]/Table3[[#This Row],[GP]]</f>
        <v>0.82500000000000007</v>
      </c>
      <c r="BT30">
        <f>COUNTIFS(Table2[AwayTeam],$A30,Table2[PredictedWinner], $A30, Table2[GameIsOver], 1)</f>
        <v>0</v>
      </c>
      <c r="BU30">
        <f>COUNTIFS(Table2[HomeTeam],$A30,Table2[PredictedWinner], $A30, Table2[GameIsOver], 1)</f>
        <v>0</v>
      </c>
      <c r="BV30">
        <f t="shared" si="8"/>
        <v>0</v>
      </c>
      <c r="BW30">
        <f t="shared" si="9"/>
        <v>1</v>
      </c>
      <c r="BX30">
        <f t="shared" si="10"/>
        <v>1</v>
      </c>
      <c r="BY30">
        <f t="shared" si="11"/>
        <v>2</v>
      </c>
      <c r="BZ30">
        <f>Table3[[#This Row],[TimesPredictedWinner]]/Table3[[#This Row],[GP]]</f>
        <v>0</v>
      </c>
      <c r="CB30">
        <v>2014</v>
      </c>
      <c r="CD30" s="1">
        <v>45752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0</v>
      </c>
      <c r="CJ30">
        <f>SUMIFS(Table2[GamePredictionScore], Table2[HomeTeam], Table3[[#This Row],[Teams]])</f>
        <v>0.8</v>
      </c>
      <c r="CK30">
        <f>Table3[[#This Row],[Column4]]+Table3[[#This Row],[Column3]]</f>
        <v>0.8</v>
      </c>
      <c r="CL30">
        <f>Table3[[#This Row],[Column5]]/Table3[[#This Row],[GP]]</f>
        <v>0.4</v>
      </c>
      <c r="CU30" s="57"/>
      <c r="CV30" s="173" t="s">
        <v>543</v>
      </c>
      <c r="CW30" s="174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73" t="s">
        <v>525</v>
      </c>
      <c r="DK30" s="174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18</v>
      </c>
      <c r="B31" t="s">
        <v>91</v>
      </c>
      <c r="C31" t="s">
        <v>74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1</v>
      </c>
      <c r="E31" s="10">
        <f>Table3[[#This Row],[Watched]]/Table3[[#This Row],[GP]]</f>
        <v>1</v>
      </c>
      <c r="F31">
        <f>COUNTIFS(DataRegularSeason20242025!$N$3:$N$1315,1,DataRegularSeason20242025!$D$3:$D$1315,$A31)</f>
        <v>1</v>
      </c>
      <c r="G31">
        <f>41-Table3[[#This Row],[GP_A]]</f>
        <v>40</v>
      </c>
      <c r="H31">
        <f>COUNTIFS(DataRegularSeason20242025!$E$3:$E$1315,$A31,DataRegularSeason20242025!$N$3:$N$1315,1)</f>
        <v>0</v>
      </c>
      <c r="I31">
        <f>41-Table3[[#This Row],[GP_H]]</f>
        <v>41</v>
      </c>
      <c r="J31">
        <f t="shared" si="0"/>
        <v>1</v>
      </c>
      <c r="K31">
        <f>82-Table3[[#This Row],[GP]]</f>
        <v>81</v>
      </c>
      <c r="L31">
        <f>COUNTIFS(DataRegularSeason20242025!$D$3:$D$1315,$A31, DataRegularSeason20242025!$L$3:$L$1315, $A31,DataRegularSeason20242025!$N$3:$N$1315,1)</f>
        <v>0</v>
      </c>
      <c r="M31">
        <f>COUNTIFS(DataRegularSeason20242025!$D$3:$D$1315,$A31, DataRegularSeason20242025!$L$3:$L$1315, $A31,DataRegularSeason20242025!$N$3:$N$1315,1,DataRegularSeason20242025!$M$3:$M$1315,"REG")</f>
        <v>0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0</v>
      </c>
      <c r="P31">
        <f t="shared" si="1"/>
        <v>1</v>
      </c>
      <c r="Q31">
        <f>COUNTIFS(DataRegularSeason20242025!$D$3:$D$1315,$A31, DataRegularSeason20242025!$S$3:$S$1315, $A31,DataRegularSeason20242025!$M$3:$M$1315,"REG")</f>
        <v>1</v>
      </c>
      <c r="R31">
        <f>COUNTIFS(DataRegularSeason20242025!$D$3:$D$1315,$A31, DataRegularSeason20242025!$S$3:$S$1315, $A31,DataRegularSeason20242025!$M$3:$M$1315,"OT")</f>
        <v>0</v>
      </c>
      <c r="S31">
        <f>COUNTIFS(DataRegularSeason20242025!$D$3:$D$1315,$A31, DataRegularSeason20242025!$S$3:$S$1315, $A31,DataRegularSeason20242025!$M$3:$M$1315,"SO")</f>
        <v>0</v>
      </c>
      <c r="T31">
        <f>COUNTIFS(DataRegularSeason20242025!$E$3:$E$1315,$A31, DataRegularSeason20242025!$L$3:$L$1315, $A31, DataRegularSeason20242025!$N$3:$N$1315,1)</f>
        <v>0</v>
      </c>
      <c r="U31">
        <f>COUNTIFS(DataRegularSeason20242025!$E$3:$E$1315,$A31, DataRegularSeason20242025!$L$3:$L$1315, $A31,DataRegularSeason20242025!$N$3:$N$1315,1,DataRegularSeason20242025!$M$3:$M$1315,"REG")</f>
        <v>0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 t="shared" si="2"/>
        <v>0</v>
      </c>
      <c r="Y31">
        <f>COUNTIFS(DataRegularSeason20242025!$E$3:$E$1315,$A31, DataRegularSeason20242025!$S$3:$S$1315, $A31,DataRegularSeason20242025!$M$3:$M$1315,"REG")</f>
        <v>0</v>
      </c>
      <c r="Z31">
        <f>COUNTIFS(DataRegularSeason20242025!$E$3:$E$1315,$A31, DataRegularSeason20242025!$S$3:$S$1315, $A31,DataRegularSeason20242025!$M$3:$M$1315,"OT")</f>
        <v>0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</v>
      </c>
      <c r="AC31">
        <f>Table3[[#This Row],[W_A]]+Table3[[#This Row],[W_H]]</f>
        <v>0</v>
      </c>
      <c r="AD31">
        <f>Table3[[#This Row],[L_A]]+Table3[[#This Row],[L_H]]</f>
        <v>1</v>
      </c>
      <c r="AE31">
        <f>Table3[[#This Row],[RW_A]]+Table3[[#This Row],[RW_H]]</f>
        <v>0</v>
      </c>
      <c r="AF31">
        <f>Table3[[#This Row],[RL_A]]+Table3[[#This Row],[RL_H]]</f>
        <v>1</v>
      </c>
      <c r="AG31">
        <f>Table3[[#This Row],[OTW_A]]+Table3[[#This Row],[OTW_H]]</f>
        <v>0</v>
      </c>
      <c r="AH31">
        <f>Table3[[#This Row],[OTL_A]]+Table3[[#This Row],[OTL_H]]</f>
        <v>0</v>
      </c>
      <c r="AI31">
        <f>Table3[[#This Row],[SOW_A]]+Table3[[#This Row],[SOW_H]]</f>
        <v>0</v>
      </c>
      <c r="AJ31">
        <f>Table3[[#This Row],[SOL_A]]+Table3[[#This Row],[SOL_H]]</f>
        <v>0</v>
      </c>
      <c r="AK31" s="15" t="str">
        <f>_xlfn.CONCAT(TEXT(Table3[[#This Row],[OTW]]+Table3[[#This Row],[SOW]], "0"), "-", TEXT(Table3[[#This Row],[OTL]]+Table3[[#This Row],[SOL]],"0"))</f>
        <v>0-0</v>
      </c>
      <c r="AL31">
        <f>SUM(Table3[[#This Row],[OTW]],Table3[[#This Row],[OTL]],Table3[[#This Row],[SOW]],Table3[[#This Row],[SOL]])</f>
        <v>0</v>
      </c>
      <c r="AM31">
        <f>(Table3[[#This Row],[OTW]]+Table3[[#This Row],[SOW]])/IF(Table3[[#This Row],[Total_ExtraTimes]]=0,1,Table3[[#This Row],[Total_ExtraTimes]])</f>
        <v>0</v>
      </c>
      <c r="AN31">
        <f>Table3[[#This Row],[Total_ExtraTimes]]/MAX(1,Table3[[#This Row],[GP]])</f>
        <v>0</v>
      </c>
      <c r="AO31">
        <f>(2*(Table3[[#This Row],[W_A]]+Table3[[#This Row],[W_H]]))+Table3[[#This Row],[OTL_A]]+Table3[[#This Row],[SOL_A]]+Table3[[#This Row],[OTL_H]]+Table3[[#This Row],[SOL_H]]</f>
        <v>0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1" s="10">
        <f>Table3[[#This Row],[PTS]]/(2*Table3[[#This Row],[GP]])</f>
        <v>0</v>
      </c>
      <c r="AR31" s="10">
        <f>Table3[[#This Row],[PTS2]]/(3*Table3[[#This Row],[GP]])</f>
        <v>0</v>
      </c>
      <c r="AS31">
        <f>(2*Table3[[#This Row],[GR]])+Table3[[#This Row],[PTS]]</f>
        <v>162</v>
      </c>
      <c r="AT31">
        <f>(3*Table3[[#This Row],[GR]])+Table3[[#This Row],[PTS2]]</f>
        <v>243</v>
      </c>
      <c r="AU31">
        <f>Table3[[#This Row],[PTS]]+(2 * Table3[[#This Row],[GR]] * Table3[[#This Row],[PTS%]])</f>
        <v>0</v>
      </c>
      <c r="AV31">
        <f>Table3[[#This Row],[PTS2]]+(3 * Table3[[#This Row],[GR]] * Table3[[#This Row],[PTS%2]])</f>
        <v>0</v>
      </c>
      <c r="AW31" s="15" t="str">
        <f>_xlfn.CONCAT(TEXT(Table3[[#This Row],[W]], "0"), "-", TEXT(Table3[[#This Row],[RL]],"0"), "-", TEXT(Table3[[#This Row],[OTL]]+Table3[[#This Row],[SOL]], "0"))</f>
        <v>0-1-0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2</v>
      </c>
      <c r="AZ31">
        <f>SUMIF(DataRegularSeason20242025!$D$3:$D$1315,$A31, DataRegularSeason20242025!$K$3:$K$1315)</f>
        <v>5</v>
      </c>
      <c r="BA31">
        <f t="shared" si="3"/>
        <v>-3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0</v>
      </c>
      <c r="BD31">
        <f>SUMIF(DataRegularSeason20242025!$E$3:$E$1315,$A31,DataRegularSeason20242025!$J$3:$J$1315)</f>
        <v>0</v>
      </c>
      <c r="BE31">
        <f t="shared" si="4"/>
        <v>0</v>
      </c>
      <c r="BF31">
        <f t="shared" si="5"/>
        <v>2</v>
      </c>
      <c r="BG31">
        <f t="shared" si="6"/>
        <v>5</v>
      </c>
      <c r="BH31">
        <f t="shared" si="7"/>
        <v>-3</v>
      </c>
      <c r="BI31" s="12">
        <f>Table3[[#This Row],[GF]]/Table3[[#This Row],[GP]]</f>
        <v>2</v>
      </c>
      <c r="BJ31" s="12">
        <f>Table3[[#This Row],[GA]]/Table3[[#This Row],[GP]]</f>
        <v>5</v>
      </c>
      <c r="BK31" s="12">
        <f>(Table3[[#This Row],[GF]]-Table3[[#This Row],[GA]])/Table3[[#This Row],[GP]]</f>
        <v>-3</v>
      </c>
      <c r="BL31" s="42" t="str">
        <f>_xlfn.CONCAT(TEXT(Table3[[#This Row],[W_H]], "0"), "-", TEXT(Table3[[#This Row],[RL_H]],"0"), "-", TEXT(Table3[[#This Row],[OTL_H]]+Table3[[#This Row],[SOL_H]], "0"))</f>
        <v>0-0-0</v>
      </c>
      <c r="BM31" s="42" t="str">
        <f>_xlfn.CONCAT(TEXT(Table3[[#This Row],[W_A]], "0"), "-", TEXT(Table3[[#This Row],[RL_A]],"0"), "-", TEXT(Table3[[#This Row],[OTL_A]]+Table3[[#This Row],[SOL_A]], "0"))</f>
        <v>0-1-0</v>
      </c>
      <c r="BN31" s="42" t="e">
        <f>((2*(Table3[[#This Row],[W_H]]))+Table3[[#This Row],[OTL_H]]+Table3[[#This Row],[SOL_H]])/(2*Table3[[#This Row],[GP_H]])</f>
        <v>#DIV/0!</v>
      </c>
      <c r="BO31" s="42">
        <f>((2*(Table3[[#This Row],[W_A]]))+Table3[[#This Row],[OTL_A]]+Table3[[#This Row],[SOL_A]])/(2*Table3[[#This Row],[GP_A]])</f>
        <v>0</v>
      </c>
      <c r="BP31" s="16">
        <f>(Table3[[#This Row],[W]]*$CX$3)+(Table3[[#This Row],[L]]*$CX$4)+(Table3[[#This Row],[GF]]*$CX$5)+(Table3[[#This Row],[GA]]*$CX$6)</f>
        <v>1.1000000000000001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91.3</v>
      </c>
      <c r="BR31" s="16">
        <f>(Table3[[#This Row],[W]]*0.7) + ((Table3[[#This Row],[GF]] - Table3[[#This Row],[GA]])*0.25)+(Table3[[#This Row],[GF]]*0.1)+(Table3[[#This Row],[GA]]*0.05)+(Table3[[#This Row],[L]]*0.3)</f>
        <v>0</v>
      </c>
      <c r="BS31" s="16">
        <f>Table3[[#This Row],[TeamCost83]]/Table3[[#This Row],[GP]]</f>
        <v>0</v>
      </c>
      <c r="BT31">
        <f>COUNTIFS(Table2[AwayTeam],$A31,Table2[PredictedWinner], $A31, Table2[GameIsOver], 1)</f>
        <v>0</v>
      </c>
      <c r="BU31">
        <f>COUNTIFS(Table2[HomeTeam],$A31,Table2[PredictedWinner], $A31, Table2[GameIsOver], 1)</f>
        <v>0</v>
      </c>
      <c r="BV31">
        <f t="shared" si="8"/>
        <v>0</v>
      </c>
      <c r="BW31">
        <f t="shared" si="9"/>
        <v>1</v>
      </c>
      <c r="BX31">
        <f t="shared" si="10"/>
        <v>0</v>
      </c>
      <c r="BY31">
        <f t="shared" si="11"/>
        <v>1</v>
      </c>
      <c r="BZ31">
        <f>Table3[[#This Row],[TimesPredictedWinner]]/Table3[[#This Row],[GP]]</f>
        <v>0</v>
      </c>
      <c r="CB31">
        <v>1993</v>
      </c>
      <c r="CD31" s="1">
        <v>45763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0.8</v>
      </c>
      <c r="CJ31">
        <f>SUMIFS(Table2[GamePredictionScore], Table2[HomeTeam], Table3[[#This Row],[Teams]])</f>
        <v>0</v>
      </c>
      <c r="CK31">
        <f>Table3[[#This Row],[Column4]]+Table3[[#This Row],[Column3]]</f>
        <v>0.8</v>
      </c>
      <c r="CL31">
        <f>Table3[[#This Row],[Column5]]/Table3[[#This Row],[GP]]</f>
        <v>0.8</v>
      </c>
      <c r="CV31" s="175"/>
      <c r="CW31" s="176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75"/>
      <c r="DK31" s="176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19</v>
      </c>
      <c r="B32" t="s">
        <v>91</v>
      </c>
      <c r="C32" t="s">
        <v>92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1</v>
      </c>
      <c r="E32" s="10">
        <f>Table3[[#This Row],[Watched]]/Table3[[#This Row],[GP]]</f>
        <v>1</v>
      </c>
      <c r="F32">
        <f>COUNTIFS(DataRegularSeason20242025!$N$3:$N$1315,1,DataRegularSeason20242025!$D$3:$D$1315,$A32)</f>
        <v>0</v>
      </c>
      <c r="G32">
        <f>41-Table3[[#This Row],[GP_A]]</f>
        <v>41</v>
      </c>
      <c r="H32">
        <f>COUNTIFS(DataRegularSeason20242025!$E$3:$E$1315,$A32,DataRegularSeason20242025!$N$3:$N$1315,1)</f>
        <v>1</v>
      </c>
      <c r="I32">
        <f>41-Table3[[#This Row],[GP_H]]</f>
        <v>40</v>
      </c>
      <c r="J32">
        <f t="shared" si="0"/>
        <v>1</v>
      </c>
      <c r="K32">
        <f>82-Table3[[#This Row],[GP]]</f>
        <v>81</v>
      </c>
      <c r="L32">
        <f>COUNTIFS(DataRegularSeason20242025!$D$3:$D$1315,$A32, DataRegularSeason20242025!$L$3:$L$1315, $A32,DataRegularSeason20242025!$N$3:$N$1315,1)</f>
        <v>0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0</v>
      </c>
      <c r="O32">
        <f>COUNTIFS(DataRegularSeason20242025!$D$3:$D$1315,$A32, DataRegularSeason20242025!$L$3:$L$1315, $A32,DataRegularSeason20242025!$N$3:$N$1315,1,DataRegularSeason20242025!$M$3:$M$1315,"SO")</f>
        <v>0</v>
      </c>
      <c r="P32">
        <f t="shared" si="1"/>
        <v>0</v>
      </c>
      <c r="Q32">
        <f>COUNTIFS(DataRegularSeason20242025!$D$3:$D$1315,$A32, DataRegularSeason20242025!$S$3:$S$1315, $A32,DataRegularSeason20242025!$M$3:$M$1315,"REG")</f>
        <v>0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 t="shared" si="2"/>
        <v>1</v>
      </c>
      <c r="Y32">
        <f>COUNTIFS(DataRegularSeason20242025!$E$3:$E$1315,$A32, DataRegularSeason20242025!$S$3:$S$1315, $A32,DataRegularSeason20242025!$M$3:$M$1315,"REG")</f>
        <v>1</v>
      </c>
      <c r="Z32">
        <f>COUNTIFS(DataRegularSeason20242025!$E$3:$E$1315,$A32, DataRegularSeason20242025!$S$3:$S$1315, $A32,DataRegularSeason20242025!$M$3:$M$1315,"OT")</f>
        <v>0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</v>
      </c>
      <c r="AC32">
        <f>Table3[[#This Row],[W_A]]+Table3[[#This Row],[W_H]]</f>
        <v>0</v>
      </c>
      <c r="AD32">
        <f>Table3[[#This Row],[L_A]]+Table3[[#This Row],[L_H]]</f>
        <v>1</v>
      </c>
      <c r="AE32">
        <f>Table3[[#This Row],[RW_A]]+Table3[[#This Row],[RW_H]]</f>
        <v>0</v>
      </c>
      <c r="AF32">
        <f>Table3[[#This Row],[RL_A]]+Table3[[#This Row],[RL_H]]</f>
        <v>1</v>
      </c>
      <c r="AG32">
        <f>Table3[[#This Row],[OTW_A]]+Table3[[#This Row],[OTW_H]]</f>
        <v>0</v>
      </c>
      <c r="AH32">
        <f>Table3[[#This Row],[OTL_A]]+Table3[[#This Row],[OTL_H]]</f>
        <v>0</v>
      </c>
      <c r="AI32">
        <f>Table3[[#This Row],[SOW_A]]+Table3[[#This Row],[SOW_H]]</f>
        <v>0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0-0</v>
      </c>
      <c r="AL32">
        <f>SUM(Table3[[#This Row],[OTW]],Table3[[#This Row],[OTL]],Table3[[#This Row],[SOW]],Table3[[#This Row],[SOL]])</f>
        <v>0</v>
      </c>
      <c r="AM32">
        <f>(Table3[[#This Row],[OTW]]+Table3[[#This Row],[SOW]])/IF(Table3[[#This Row],[Total_ExtraTimes]]=0,1,Table3[[#This Row],[Total_ExtraTimes]])</f>
        <v>0</v>
      </c>
      <c r="AN32">
        <f>Table3[[#This Row],[Total_ExtraTimes]]/MAX(1,Table3[[#This Row],[GP]])</f>
        <v>0</v>
      </c>
      <c r="AO32">
        <f>(2*(Table3[[#This Row],[W_A]]+Table3[[#This Row],[W_H]]))+Table3[[#This Row],[OTL_A]]+Table3[[#This Row],[SOL_A]]+Table3[[#This Row],[OTL_H]]+Table3[[#This Row],[SOL_H]]</f>
        <v>0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2" s="10">
        <f>Table3[[#This Row],[PTS]]/(2*Table3[[#This Row],[GP]])</f>
        <v>0</v>
      </c>
      <c r="AR32" s="10">
        <f>Table3[[#This Row],[PTS2]]/(3*Table3[[#This Row],[GP]])</f>
        <v>0</v>
      </c>
      <c r="AS32">
        <f>(2*Table3[[#This Row],[GR]])+Table3[[#This Row],[PTS]]</f>
        <v>162</v>
      </c>
      <c r="AT32">
        <f>(3*Table3[[#This Row],[GR]])+Table3[[#This Row],[PTS2]]</f>
        <v>243</v>
      </c>
      <c r="AU32">
        <f>Table3[[#This Row],[PTS]]+(2 * Table3[[#This Row],[GR]] * Table3[[#This Row],[PTS%]])</f>
        <v>0</v>
      </c>
      <c r="AV32">
        <f>Table3[[#This Row],[PTS2]]+(3 * Table3[[#This Row],[GR]] * Table3[[#This Row],[PTS%2]])</f>
        <v>0</v>
      </c>
      <c r="AW32" s="15" t="str">
        <f>_xlfn.CONCAT(TEXT(Table3[[#This Row],[W]], "0"), "-", TEXT(Table3[[#This Row],[RL]],"0"), "-", TEXT(Table3[[#This Row],[OTL]]+Table3[[#This Row],[SOL]], "0"))</f>
        <v>0-1-0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0</v>
      </c>
      <c r="AZ32">
        <f>SUMIF(DataRegularSeason20242025!$D$3:$D$1315,$A32, DataRegularSeason20242025!$K$3:$K$1315)</f>
        <v>0</v>
      </c>
      <c r="BA32">
        <f t="shared" si="3"/>
        <v>0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0</v>
      </c>
      <c r="BD32">
        <f>SUMIF(DataRegularSeason20242025!$E$3:$E$1315,$A32,DataRegularSeason20242025!$J$3:$J$1315)</f>
        <v>3</v>
      </c>
      <c r="BE32">
        <f t="shared" si="4"/>
        <v>-3</v>
      </c>
      <c r="BF32">
        <f t="shared" si="5"/>
        <v>0</v>
      </c>
      <c r="BG32">
        <f t="shared" si="6"/>
        <v>3</v>
      </c>
      <c r="BH32">
        <f t="shared" si="7"/>
        <v>-3</v>
      </c>
      <c r="BI32" s="12">
        <f>Table3[[#This Row],[GF]]/Table3[[#This Row],[GP]]</f>
        <v>0</v>
      </c>
      <c r="BJ32" s="12">
        <f>Table3[[#This Row],[GA]]/Table3[[#This Row],[GP]]</f>
        <v>3</v>
      </c>
      <c r="BK32" s="12">
        <f>(Table3[[#This Row],[GF]]-Table3[[#This Row],[GA]])/Table3[[#This Row],[GP]]</f>
        <v>-3</v>
      </c>
      <c r="BL32" s="42" t="str">
        <f>_xlfn.CONCAT(TEXT(Table3[[#This Row],[W_H]], "0"), "-", TEXT(Table3[[#This Row],[RL_H]],"0"), "-", TEXT(Table3[[#This Row],[OTL_H]]+Table3[[#This Row],[SOL_H]], "0"))</f>
        <v>0-1-0</v>
      </c>
      <c r="BM32" s="42" t="str">
        <f>_xlfn.CONCAT(TEXT(Table3[[#This Row],[W_A]], "0"), "-", TEXT(Table3[[#This Row],[RL_A]],"0"), "-", TEXT(Table3[[#This Row],[OTL_A]]+Table3[[#This Row],[SOL_A]], "0"))</f>
        <v>0-0-0</v>
      </c>
      <c r="BN32" s="42">
        <f>((2*(Table3[[#This Row],[W_H]]))+Table3[[#This Row],[OTL_H]]+Table3[[#This Row],[SOL_H]])/(2*Table3[[#This Row],[GP_H]])</f>
        <v>0</v>
      </c>
      <c r="BO32" s="42" t="e">
        <f>((2*(Table3[[#This Row],[W_A]]))+Table3[[#This Row],[OTL_A]]+Table3[[#This Row],[SOL_A]])/(2*Table3[[#This Row],[GP_A]])</f>
        <v>#DIV/0!</v>
      </c>
      <c r="BP32" s="16">
        <f>(Table3[[#This Row],[W]]*$CX$3)+(Table3[[#This Row],[L]]*$CX$4)+(Table3[[#This Row],[GF]]*$CX$5)+(Table3[[#This Row],[GA]]*$CX$6)</f>
        <v>0.60000000000000009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49.800000000000004</v>
      </c>
      <c r="BR32" s="16">
        <f>(Table3[[#This Row],[W]]*0.7) + ((Table3[[#This Row],[GF]] - Table3[[#This Row],[GA]])*0.25)+(Table3[[#This Row],[GF]]*0.1)+(Table3[[#This Row],[GA]]*0.05)+(Table3[[#This Row],[L]]*0.3)</f>
        <v>-0.3</v>
      </c>
      <c r="BS32" s="16">
        <f>Table3[[#This Row],[TeamCost83]]/Table3[[#This Row],[GP]]</f>
        <v>-0.3</v>
      </c>
      <c r="BT32">
        <f>COUNTIFS(Table2[AwayTeam],$A32,Table2[PredictedWinner], $A32, Table2[GameIsOver], 1)</f>
        <v>0</v>
      </c>
      <c r="BU32">
        <f>COUNTIFS(Table2[HomeTeam],$A32,Table2[PredictedWinner], $A32, Table2[GameIsOver], 1)</f>
        <v>1</v>
      </c>
      <c r="BV32">
        <f t="shared" si="8"/>
        <v>1</v>
      </c>
      <c r="BW32">
        <f t="shared" si="9"/>
        <v>0</v>
      </c>
      <c r="BX32">
        <f t="shared" si="10"/>
        <v>0</v>
      </c>
      <c r="BY32">
        <f t="shared" si="11"/>
        <v>0</v>
      </c>
      <c r="BZ32">
        <f>Table3[[#This Row],[TimesPredictedWinner]]/Table3[[#This Row],[GP]]</f>
        <v>1</v>
      </c>
      <c r="CB32">
        <v>1994</v>
      </c>
      <c r="CC32" s="1">
        <v>45759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0</v>
      </c>
      <c r="CJ32">
        <f>SUMIFS(Table2[GamePredictionScore], Table2[HomeTeam], Table3[[#This Row],[Teams]])</f>
        <v>0.1</v>
      </c>
      <c r="CK32">
        <f>Table3[[#This Row],[Column4]]+Table3[[#This Row],[Column3]]</f>
        <v>0.1</v>
      </c>
      <c r="CL32">
        <f>Table3[[#This Row],[Column5]]/Table3[[#This Row],[GP]]</f>
        <v>0.1</v>
      </c>
      <c r="CV32" s="85"/>
      <c r="CW32" s="57">
        <v>0</v>
      </c>
      <c r="CX32" s="124"/>
      <c r="CY32" s="14">
        <f>(COUNTIFS(Table2[AwayTeam],$CV$30, Table2[ActualAwayScore],$CW32, Table2[ActualHomeScore],CY$31)+COUNTIFS(Table2[HomeTeam],$CV$30, Table2[ActualAwayScore],CY$31, Table2[ActualHomeScore],$CW32))*-1</f>
        <v>0</v>
      </c>
      <c r="CZ32" s="14">
        <f>(COUNTIFS(Table2[AwayTeam],$CV$30, Table2[ActualAwayScore],$CW32, Table2[ActualHomeScore],CZ$31)+COUNTIFS(Table2[HomeTeam],$CV$30, Table2[ActualAwayScore],CZ$31, Table2[ActualHomeScore],$CW32))*-1</f>
        <v>0</v>
      </c>
      <c r="DA32" s="14">
        <f>(COUNTIFS(Table2[AwayTeam],$CV$30, Table2[ActualAwayScore],$CW32, Table2[ActualHomeScore],DA$31)+COUNTIFS(Table2[HomeTeam],$CV$30, Table2[ActualAwayScore],DA$31, Table2[ActualHomeScore],$CW32))*-1</f>
        <v>0</v>
      </c>
      <c r="DB32" s="14">
        <f>(COUNTIFS(Table2[AwayTeam],$CV$30, Table2[ActualAwayScore],$CW32, Table2[ActualHomeScore],DB$31)+COUNTIFS(Table2[HomeTeam],$CV$30, Table2[ActualAwayScore],DB$31, Table2[ActualHomeScore],$CW32))*-1</f>
        <v>0</v>
      </c>
      <c r="DC32" s="14">
        <f>(COUNTIFS(Table2[AwayTeam],$CV$30, Table2[ActualAwayScore],$CW32, Table2[ActualHomeScore],DC$31)+COUNTIFS(Table2[HomeTeam],$CV$30, Table2[ActualAwayScore],DC$31, Table2[ActualHomeScore],$CW32))*-1</f>
        <v>0</v>
      </c>
      <c r="DD32" s="14">
        <f>(COUNTIFS(Table2[AwayTeam],$CV$30, Table2[ActualAwayScore],$CW32, Table2[ActualHomeScore],DD$31)+COUNTIFS(Table2[HomeTeam],$CV$30, Table2[ActualAwayScore],DD$31, Table2[ActualHomeScore],$CW32))*-1</f>
        <v>0</v>
      </c>
      <c r="DE32" s="14">
        <f>(COUNTIFS(Table2[AwayTeam],$CV$30, Table2[ActualAwayScore],$CW32, Table2[ActualHomeScore],DE$31)+COUNTIFS(Table2[HomeTeam],$CV$30, Table2[ActualAwayScore],DE$31, Table2[ActualHomeScore],$CW32))*-1</f>
        <v>0</v>
      </c>
      <c r="DF32" s="14">
        <f>(COUNTIFS(Table2[AwayTeam],$CV$30, Table2[ActualAwayScore],$CW32, Table2[ActualHomeScore],DF$31)+COUNTIFS(Table2[HomeTeam],$CV$30, Table2[ActualAwayScore],DF$31, Table2[ActualHomeScore],$CW32))*-1</f>
        <v>0</v>
      </c>
      <c r="DG32" s="14">
        <f>(COUNTIFS(Table2[AwayTeam],$CV$30, Table2[ActualAwayScore],$CW32, Table2[ActualHomeScore],DG$31)+COUNTIFS(Table2[HomeTeam],$CV$30, Table2[ActualAwayScore],DG$31, Table2[ActualHomeScore],$CW32))*-1</f>
        <v>0</v>
      </c>
      <c r="DH32" s="125">
        <f>(COUNTIFS(Table2[AwayTeam],$CV$30, Table2[ActualAwayScore],$CW32, Table2[ActualHomeScore],DH$31)+COUNTIFS(Table2[HomeTeam],$CV$30,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0</v>
      </c>
      <c r="DN32" s="14">
        <f>COUNTIFS(Table2[[ActualHomeScore]:[ActualHomeScore]],$DK32, Table2[[ActualAwayScore]:[ActualAwayScore]],DN$31)</f>
        <v>0</v>
      </c>
      <c r="DO32" s="14">
        <f>COUNTIFS(Table2[[ActualHomeScore]:[ActualHomeScore]],$DK32, Table2[[ActualAwayScore]:[ActualAwayScore]],DO$31)</f>
        <v>1</v>
      </c>
      <c r="DP32" s="14">
        <f>COUNTIFS(Table2[[ActualHomeScore]:[ActualHomeScore]],$DK32, Table2[[ActualAwayScore]:[ActualAwayScore]],DP$31)</f>
        <v>0</v>
      </c>
      <c r="DQ32" s="14">
        <f>COUNTIFS(Table2[[ActualHomeScore]:[ActualHomeScore]],$DK32, Table2[[ActualAwayScore]:[ActualAwayScore]],DQ$31)</f>
        <v>0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16</v>
      </c>
      <c r="B33" t="s">
        <v>90</v>
      </c>
      <c r="C33" t="s">
        <v>88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1</v>
      </c>
      <c r="E33" s="10">
        <f>Table3[[#This Row],[Watched]]/Table3[[#This Row],[GP]]</f>
        <v>1</v>
      </c>
      <c r="F33">
        <f>COUNTIFS(DataRegularSeason20242025!$N$3:$N$1315,1,DataRegularSeason20242025!$D$3:$D$1315,$A33)</f>
        <v>1</v>
      </c>
      <c r="G33">
        <f>41-Table3[[#This Row],[GP_A]]</f>
        <v>40</v>
      </c>
      <c r="H33">
        <f>COUNTIFS(DataRegularSeason20242025!$E$3:$E$1315,$A33,DataRegularSeason20242025!$N$3:$N$1315,1)</f>
        <v>0</v>
      </c>
      <c r="I33">
        <f>41-Table3[[#This Row],[GP_H]]</f>
        <v>41</v>
      </c>
      <c r="J33">
        <f t="shared" si="0"/>
        <v>1</v>
      </c>
      <c r="K33">
        <f>82-Table3[[#This Row],[GP]]</f>
        <v>81</v>
      </c>
      <c r="L33">
        <f>COUNTIFS(DataRegularSeason20242025!$D$3:$D$1315,$A33, DataRegularSeason20242025!$L$3:$L$1315, $A33,DataRegularSeason20242025!$N$3:$N$1315,1)</f>
        <v>0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0</v>
      </c>
      <c r="P33">
        <f t="shared" si="1"/>
        <v>1</v>
      </c>
      <c r="Q33">
        <f>COUNTIFS(DataRegularSeason20242025!$D$3:$D$1315,$A33, DataRegularSeason20242025!$S$3:$S$1315, $A33,DataRegularSeason20242025!$M$3:$M$1315,"REG")</f>
        <v>1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0</v>
      </c>
      <c r="U33">
        <f>COUNTIFS(DataRegularSeason20242025!$E$3:$E$1315,$A33, DataRegularSeason20242025!$L$3:$L$1315, $A33,DataRegularSeason20242025!$N$3:$N$1315,1,DataRegularSeason20242025!$M$3:$M$1315,"REG")</f>
        <v>0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 t="shared" si="2"/>
        <v>0</v>
      </c>
      <c r="Y33">
        <f>COUNTIFS(DataRegularSeason20242025!$E$3:$E$1315,$A33, DataRegularSeason20242025!$S$3:$S$1315, $A33,DataRegularSeason20242025!$M$3:$M$1315,"REG")</f>
        <v>0</v>
      </c>
      <c r="Z33">
        <f>COUNTIFS(DataRegularSeason20242025!$E$3:$E$1315,$A33, DataRegularSeason20242025!$S$3:$S$1315, $A33,DataRegularSeason20242025!$M$3:$M$1315,"OT")</f>
        <v>0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</v>
      </c>
      <c r="AC33">
        <f>Table3[[#This Row],[W_A]]+Table3[[#This Row],[W_H]]</f>
        <v>0</v>
      </c>
      <c r="AD33">
        <f>Table3[[#This Row],[L_A]]+Table3[[#This Row],[L_H]]</f>
        <v>1</v>
      </c>
      <c r="AE33">
        <f>Table3[[#This Row],[RW_A]]+Table3[[#This Row],[RW_H]]</f>
        <v>0</v>
      </c>
      <c r="AF33">
        <f>Table3[[#This Row],[RL_A]]+Table3[[#This Row],[RL_H]]</f>
        <v>1</v>
      </c>
      <c r="AG33">
        <f>Table3[[#This Row],[OTW_A]]+Table3[[#This Row],[OTW_H]]</f>
        <v>0</v>
      </c>
      <c r="AH33">
        <f>Table3[[#This Row],[OTL_A]]+Table3[[#This Row],[OTL_H]]</f>
        <v>0</v>
      </c>
      <c r="AI33">
        <f>Table3[[#This Row],[SOW_A]]+Table3[[#This Row],[SOW_H]]</f>
        <v>0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0-0</v>
      </c>
      <c r="AL33">
        <f>SUM(Table3[[#This Row],[OTW]],Table3[[#This Row],[OTL]],Table3[[#This Row],[SOW]],Table3[[#This Row],[SOL]])</f>
        <v>0</v>
      </c>
      <c r="AM33">
        <f>(Table3[[#This Row],[OTW]]+Table3[[#This Row],[SOW]])/IF(Table3[[#This Row],[Total_ExtraTimes]]=0,1,Table3[[#This Row],[Total_ExtraTimes]])</f>
        <v>0</v>
      </c>
      <c r="AN33">
        <f>Table3[[#This Row],[Total_ExtraTimes]]/MAX(1,Table3[[#This Row],[GP]])</f>
        <v>0</v>
      </c>
      <c r="AO33">
        <f>(2*(Table3[[#This Row],[W_A]]+Table3[[#This Row],[W_H]]))+Table3[[#This Row],[OTL_A]]+Table3[[#This Row],[SOL_A]]+Table3[[#This Row],[OTL_H]]+Table3[[#This Row],[SOL_H]]</f>
        <v>0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3" s="10">
        <f>Table3[[#This Row],[PTS]]/(2*Table3[[#This Row],[GP]])</f>
        <v>0</v>
      </c>
      <c r="AR33" s="10">
        <f>Table3[[#This Row],[PTS2]]/(3*Table3[[#This Row],[GP]])</f>
        <v>0</v>
      </c>
      <c r="AS33">
        <f>(2*Table3[[#This Row],[GR]])+Table3[[#This Row],[PTS]]</f>
        <v>162</v>
      </c>
      <c r="AT33">
        <f>(3*Table3[[#This Row],[GR]])+Table3[[#This Row],[PTS2]]</f>
        <v>243</v>
      </c>
      <c r="AU33">
        <f>Table3[[#This Row],[PTS]]+(2 * Table3[[#This Row],[GR]] * Table3[[#This Row],[PTS%]])</f>
        <v>0</v>
      </c>
      <c r="AV33">
        <f>Table3[[#This Row],[PTS2]]+(3 * Table3[[#This Row],[GR]] * Table3[[#This Row],[PTS%2]])</f>
        <v>0</v>
      </c>
      <c r="AW33" s="15" t="str">
        <f>_xlfn.CONCAT(TEXT(Table3[[#This Row],[W]], "0"), "-", TEXT(Table3[[#This Row],[RL]],"0"), "-", TEXT(Table3[[#This Row],[OTL]]+Table3[[#This Row],[SOL]], "0"))</f>
        <v>0-1-0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2</v>
      </c>
      <c r="AZ33">
        <f>SUMIF(DataRegularSeason20242025!$D$3:$D$1315,$A33, DataRegularSeason20242025!$K$3:$K$1315)</f>
        <v>3</v>
      </c>
      <c r="BA33">
        <f t="shared" si="3"/>
        <v>-1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0</v>
      </c>
      <c r="BD33">
        <f>SUMIF(DataRegularSeason20242025!$E$3:$E$1315,$A33,DataRegularSeason20242025!$J$3:$J$1315)</f>
        <v>0</v>
      </c>
      <c r="BE33">
        <f t="shared" si="4"/>
        <v>0</v>
      </c>
      <c r="BF33">
        <f t="shared" si="5"/>
        <v>2</v>
      </c>
      <c r="BG33">
        <f t="shared" si="6"/>
        <v>3</v>
      </c>
      <c r="BH33">
        <f t="shared" si="7"/>
        <v>-1</v>
      </c>
      <c r="BI33" s="12">
        <f>Table3[[#This Row],[GF]]/Table3[[#This Row],[GP]]</f>
        <v>2</v>
      </c>
      <c r="BJ33" s="12">
        <f>Table3[[#This Row],[GA]]/Table3[[#This Row],[GP]]</f>
        <v>3</v>
      </c>
      <c r="BK33" s="12">
        <f>(Table3[[#This Row],[GF]]-Table3[[#This Row],[GA]])/Table3[[#This Row],[GP]]</f>
        <v>-1</v>
      </c>
      <c r="BL33" s="42" t="str">
        <f>_xlfn.CONCAT(TEXT(Table3[[#This Row],[W_H]], "0"), "-", TEXT(Table3[[#This Row],[RL_H]],"0"), "-", TEXT(Table3[[#This Row],[OTL_H]]+Table3[[#This Row],[SOL_H]], "0"))</f>
        <v>0-0-0</v>
      </c>
      <c r="BM33" s="42" t="str">
        <f>_xlfn.CONCAT(TEXT(Table3[[#This Row],[W_A]], "0"), "-", TEXT(Table3[[#This Row],[RL_A]],"0"), "-", TEXT(Table3[[#This Row],[OTL_A]]+Table3[[#This Row],[SOL_A]], "0"))</f>
        <v>0-1-0</v>
      </c>
      <c r="BN33" s="42" t="e">
        <f>((2*(Table3[[#This Row],[W_H]]))+Table3[[#This Row],[OTL_H]]+Table3[[#This Row],[SOL_H]])/(2*Table3[[#This Row],[GP_H]])</f>
        <v>#DIV/0!</v>
      </c>
      <c r="BO33" s="42">
        <f>((2*(Table3[[#This Row],[W_A]]))+Table3[[#This Row],[OTL_A]]+Table3[[#This Row],[SOL_A]])/(2*Table3[[#This Row],[GP_A]])</f>
        <v>0</v>
      </c>
      <c r="BP33" s="16">
        <f>(Table3[[#This Row],[W]]*$CX$3)+(Table3[[#This Row],[L]]*$CX$4)+(Table3[[#This Row],[GF]]*$CX$5)+(Table3[[#This Row],[GA]]*$CX$6)</f>
        <v>0.9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74.699999999999989</v>
      </c>
      <c r="BR33" s="16">
        <f>(Table3[[#This Row],[W]]*0.7) + ((Table3[[#This Row],[GF]] - Table3[[#This Row],[GA]])*0.25)+(Table3[[#This Row],[GF]]*0.1)+(Table3[[#This Row],[GA]]*0.05)+(Table3[[#This Row],[L]]*0.3)</f>
        <v>0.4</v>
      </c>
      <c r="BS33" s="16">
        <f>Table3[[#This Row],[TeamCost83]]/Table3[[#This Row],[GP]]</f>
        <v>0.4</v>
      </c>
      <c r="BT33">
        <f>COUNTIFS(Table2[AwayTeam],$A33,Table2[PredictedWinner], $A33, Table2[GameIsOver], 1)</f>
        <v>0</v>
      </c>
      <c r="BU33">
        <f>COUNTIFS(Table2[HomeTeam],$A33,Table2[PredictedWinner], $A33, Table2[GameIsOver], 1)</f>
        <v>0</v>
      </c>
      <c r="BV33">
        <f t="shared" si="8"/>
        <v>0</v>
      </c>
      <c r="BW33">
        <f t="shared" si="9"/>
        <v>1</v>
      </c>
      <c r="BX33">
        <f t="shared" si="10"/>
        <v>0</v>
      </c>
      <c r="BY33">
        <f t="shared" si="11"/>
        <v>1</v>
      </c>
      <c r="BZ33">
        <f>Table3[[#This Row],[TimesPredictedWinner]]/Table3[[#This Row],[GP]]</f>
        <v>0</v>
      </c>
      <c r="CB33">
        <v>2015</v>
      </c>
      <c r="CC33" s="1">
        <v>45736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0.8</v>
      </c>
      <c r="CJ33">
        <f>SUMIFS(Table2[GamePredictionScore], Table2[HomeTeam], Table3[[#This Row],[Teams]])</f>
        <v>0</v>
      </c>
      <c r="CK33">
        <f>Table3[[#This Row],[Column4]]+Table3[[#This Row],[Column3]]</f>
        <v>0.8</v>
      </c>
      <c r="CL33">
        <f>Table3[[#This Row],[Column5]]/Table3[[#This Row],[GP]]</f>
        <v>0.8</v>
      </c>
      <c r="CV33" s="85"/>
      <c r="CW33" s="57">
        <v>1</v>
      </c>
      <c r="CX33" s="14">
        <f>COUNTIFS(Table2[AwayTeam],$CV$30, Table2[ActualAwayScore],$CW33, Table2[ActualHomeScore],CX$31)+COUNTIFS(Table2[HomeTeam],$CV$30, Table2[ActualAwayScore],CX$31, Table2[ActualHomeScore],$CW33)</f>
        <v>0</v>
      </c>
      <c r="CY33" s="124"/>
      <c r="CZ33" s="14">
        <f>(COUNTIFS(Table2[AwayTeam],$CV$30, Table2[ActualAwayScore],$CW33, Table2[ActualHomeScore],CZ$31)+COUNTIFS(Table2[HomeTeam],$CV$30, Table2[ActualAwayScore],CZ$31, Table2[ActualHomeScore],$CW33))*-1</f>
        <v>0</v>
      </c>
      <c r="DA33" s="14">
        <f>(COUNTIFS(Table2[AwayTeam],$CV$30, Table2[ActualAwayScore],$CW33, Table2[ActualHomeScore],DA$31)+COUNTIFS(Table2[HomeTeam],$CV$30, Table2[ActualAwayScore],DA$31, Table2[ActualHomeScore],$CW33))*-1</f>
        <v>0</v>
      </c>
      <c r="DB33" s="14">
        <f>(COUNTIFS(Table2[AwayTeam],$CV$30, Table2[ActualAwayScore],$CW33, Table2[ActualHomeScore],DB$31)+COUNTIFS(Table2[HomeTeam],$CV$30, Table2[ActualAwayScore],DB$31, Table2[ActualHomeScore],$CW33))*-1</f>
        <v>0</v>
      </c>
      <c r="DC33" s="14">
        <f>(COUNTIFS(Table2[AwayTeam],$CV$30, Table2[ActualAwayScore],$CW33, Table2[ActualHomeScore],DC$31)+COUNTIFS(Table2[HomeTeam],$CV$30, Table2[ActualAwayScore],DC$31, Table2[ActualHomeScore],$CW33))*-1</f>
        <v>0</v>
      </c>
      <c r="DD33" s="14">
        <f>(COUNTIFS(Table2[AwayTeam],$CV$30, Table2[ActualAwayScore],$CW33, Table2[ActualHomeScore],DD$31)+COUNTIFS(Table2[HomeTeam],$CV$30, Table2[ActualAwayScore],DD$31, Table2[ActualHomeScore],$CW33))*-1</f>
        <v>0</v>
      </c>
      <c r="DE33" s="14">
        <f>(COUNTIFS(Table2[AwayTeam],$CV$30, Table2[ActualAwayScore],$CW33, Table2[ActualHomeScore],DE$31)+COUNTIFS(Table2[HomeTeam],$CV$30, Table2[ActualAwayScore],DE$31, Table2[ActualHomeScore],$CW33))*-1</f>
        <v>0</v>
      </c>
      <c r="DF33" s="14">
        <f>(COUNTIFS(Table2[AwayTeam],$CV$30, Table2[ActualAwayScore],$CW33, Table2[ActualHomeScore],DF$31)+COUNTIFS(Table2[HomeTeam],$CV$30, Table2[ActualAwayScore],DF$31, Table2[ActualHomeScore],$CW33))*-1</f>
        <v>0</v>
      </c>
      <c r="DG33" s="14">
        <f>(COUNTIFS(Table2[AwayTeam],$CV$30, Table2[ActualAwayScore],$CW33, Table2[ActualHomeScore],DG$31)+COUNTIFS(Table2[HomeTeam],$CV$30, Table2[ActualAwayScore],DG$31, Table2[ActualHomeScore],$CW33))*-1</f>
        <v>0</v>
      </c>
      <c r="DH33" s="125">
        <f>(COUNTIFS(Table2[AwayTeam],$CV$30, Table2[ActualAwayScore],$CW33, Table2[ActualHomeScore],DH$31)+COUNTIFS(Table2[HomeTeam],$CV$30,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0</v>
      </c>
      <c r="DM33" s="127"/>
      <c r="DN33" s="14">
        <f>COUNTIFS(Table2[[ActualHomeScore]:[ActualHomeScore]],$DK33, Table2[[ActualAwayScore]:[ActualAwayScore]],DN$31)</f>
        <v>0</v>
      </c>
      <c r="DO33" s="14">
        <f>COUNTIFS(Table2[[ActualHomeScore]:[ActualHomeScore]],$DK33, Table2[[ActualAwayScore]:[ActualAwayScore]],DO$31)</f>
        <v>1</v>
      </c>
      <c r="DP33" s="14">
        <f>COUNTIFS(Table2[[ActualHomeScore]:[ActualHomeScore]],$DK33, Table2[[ActualAwayScore]:[ActualAwayScore]],DP$31)</f>
        <v>1</v>
      </c>
      <c r="DQ33" s="14">
        <f>COUNTIFS(Table2[[ActualHomeScore]:[ActualHomeScore]],$DK33, Table2[[ActualAwayScore]:[ActualAwayScore]],DQ$31)</f>
        <v>0</v>
      </c>
      <c r="DR33" s="14">
        <f>COUNTIFS(Table2[[ActualHomeScore]:[ActualHomeScore]],$DK33, Table2[[ActualAwayScore]:[ActualAwayScore]],DR$31)</f>
        <v>0</v>
      </c>
      <c r="DS33" s="14">
        <f>COUNTIFS(Table2[[ActualHomeScore]:[ActualHomeScore]],$DK33, Table2[[ActualAwayScore]:[ActualAwayScore]],DS$31)</f>
        <v>0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COUNTIFS(Table2[AwayTeam],$CV$30, Table2[ActualAwayScore],$CW34, Table2[ActualHomeScore],CX$31)+COUNTIFS(Table2[HomeTeam],$CV$30, Table2[ActualAwayScore],CX$31, Table2[ActualHomeScore],$CW34)</f>
        <v>0</v>
      </c>
      <c r="CY34" s="14">
        <f>COUNTIFS(Table2[AwayTeam],"CGY", Table2[ActualAwayScore],$CW34, Table2[ActualHomeScore],CY$31)+COUNTIFS(Table2[HomeTeam],"CGY", Table2[ActualAwayScore],CY$31, Table2[ActualHomeScore],$CW34)</f>
        <v>0</v>
      </c>
      <c r="CZ34" s="124"/>
      <c r="DA34" s="14">
        <f>(COUNTIFS(Table2[AwayTeam],$CV$30, Table2[ActualAwayScore],$CW34, Table2[ActualHomeScore],DA$31)+COUNTIFS(Table2[HomeTeam],$CV$30, Table2[ActualAwayScore],DA$31, Table2[ActualHomeScore],$CW34))*-1</f>
        <v>0</v>
      </c>
      <c r="DB34" s="14">
        <f>(COUNTIFS(Table2[AwayTeam],$CV$30, Table2[ActualAwayScore],$CW34, Table2[ActualHomeScore],DB$31)+COUNTIFS(Table2[HomeTeam],$CV$30, Table2[ActualAwayScore],DB$31, Table2[ActualHomeScore],$CW34))*-1</f>
        <v>0</v>
      </c>
      <c r="DC34" s="14">
        <f>(COUNTIFS(Table2[AwayTeam],$CV$30, Table2[ActualAwayScore],$CW34, Table2[ActualHomeScore],DC$31)+COUNTIFS(Table2[HomeTeam],$CV$30, Table2[ActualAwayScore],DC$31, Table2[ActualHomeScore],$CW34))*-1</f>
        <v>0</v>
      </c>
      <c r="DD34" s="14">
        <f>(COUNTIFS(Table2[AwayTeam],$CV$30, Table2[ActualAwayScore],$CW34, Table2[ActualHomeScore],DD$31)+COUNTIFS(Table2[HomeTeam],$CV$30, Table2[ActualAwayScore],DD$31, Table2[ActualHomeScore],$CW34))*-1</f>
        <v>0</v>
      </c>
      <c r="DE34" s="14">
        <f>(COUNTIFS(Table2[AwayTeam],$CV$30, Table2[ActualAwayScore],$CW34, Table2[ActualHomeScore],DE$31)+COUNTIFS(Table2[HomeTeam],$CV$30, Table2[ActualAwayScore],DE$31, Table2[ActualHomeScore],$CW34))*-1</f>
        <v>0</v>
      </c>
      <c r="DF34" s="14">
        <f>(COUNTIFS(Table2[AwayTeam],$CV$30, Table2[ActualAwayScore],$CW34, Table2[ActualHomeScore],DF$31)+COUNTIFS(Table2[HomeTeam],$CV$30, Table2[ActualAwayScore],DF$31, Table2[ActualHomeScore],$CW34))*-1</f>
        <v>0</v>
      </c>
      <c r="DG34" s="14">
        <f>(COUNTIFS(Table2[AwayTeam],$CV$30, Table2[ActualAwayScore],$CW34, Table2[ActualHomeScore],DG$31)+COUNTIFS(Table2[HomeTeam],$CV$30, Table2[ActualAwayScore],DG$31, Table2[ActualHomeScore],$CW34))*-1</f>
        <v>0</v>
      </c>
      <c r="DH34" s="125">
        <f>(COUNTIFS(Table2[AwayTeam],$CV$30, Table2[ActualAwayScore],$CW34, Table2[ActualHomeScore],DH$31)+COUNTIFS(Table2[HomeTeam],$CV$30,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0</v>
      </c>
      <c r="DN34" s="127"/>
      <c r="DO34" s="14">
        <f>COUNTIFS(Table2[[ActualHomeScore]:[ActualHomeScore]],$DK34, Table2[[ActualAwayScore]:[ActualAwayScore]],DO$31)</f>
        <v>0</v>
      </c>
      <c r="DP34" s="14">
        <f>COUNTIFS(Table2[[ActualHomeScore]:[ActualHomeScore]],$DK34, Table2[[ActualAwayScore]:[ActualAwayScore]],DP$31)</f>
        <v>0</v>
      </c>
      <c r="DQ34" s="14">
        <f>COUNTIFS(Table2[[ActualHomeScore]:[ActualHomeScore]],$DK34, Table2[[ActualAwayScore]:[ActualAwayScore]],DQ$31)</f>
        <v>0</v>
      </c>
      <c r="DR34" s="14">
        <f>COUNTIFS(Table2[[ActualHomeScore]:[ActualHomeScore]],$DK34, Table2[[ActualAwayScore]:[ActualAwayScore]],DR$31)</f>
        <v>0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10</v>
      </c>
      <c r="E35" t="e">
        <f t="shared" ref="E35:CA35" si="25">SUM(E$2:E$33)</f>
        <v>#DIV/0!</v>
      </c>
      <c r="F35">
        <f t="shared" si="25"/>
        <v>7</v>
      </c>
      <c r="G35">
        <f t="shared" si="25"/>
        <v>1305</v>
      </c>
      <c r="H35">
        <f t="shared" si="25"/>
        <v>7</v>
      </c>
      <c r="I35">
        <f t="shared" si="25"/>
        <v>1305</v>
      </c>
      <c r="J35">
        <f t="shared" si="25"/>
        <v>14</v>
      </c>
      <c r="K35">
        <f t="shared" si="25"/>
        <v>2610</v>
      </c>
      <c r="L35">
        <f t="shared" si="25"/>
        <v>5</v>
      </c>
      <c r="M35">
        <f t="shared" si="25"/>
        <v>3</v>
      </c>
      <c r="N35">
        <f t="shared" si="25"/>
        <v>0</v>
      </c>
      <c r="O35">
        <f t="shared" si="25"/>
        <v>2</v>
      </c>
      <c r="P35">
        <f t="shared" si="25"/>
        <v>2</v>
      </c>
      <c r="Q35">
        <f t="shared" si="25"/>
        <v>2</v>
      </c>
      <c r="R35">
        <f t="shared" si="25"/>
        <v>0</v>
      </c>
      <c r="S35">
        <f t="shared" si="25"/>
        <v>0</v>
      </c>
      <c r="T35">
        <f t="shared" si="25"/>
        <v>2</v>
      </c>
      <c r="U35">
        <f t="shared" si="25"/>
        <v>2</v>
      </c>
      <c r="V35">
        <f t="shared" si="25"/>
        <v>0</v>
      </c>
      <c r="W35">
        <f t="shared" si="25"/>
        <v>0</v>
      </c>
      <c r="X35">
        <f t="shared" si="25"/>
        <v>5</v>
      </c>
      <c r="Y35">
        <f t="shared" si="25"/>
        <v>3</v>
      </c>
      <c r="Z35">
        <f t="shared" si="25"/>
        <v>0</v>
      </c>
      <c r="AA35">
        <f t="shared" si="25"/>
        <v>2</v>
      </c>
      <c r="AC35">
        <f t="shared" si="25"/>
        <v>7</v>
      </c>
      <c r="AD35">
        <f t="shared" si="25"/>
        <v>7</v>
      </c>
      <c r="AE35">
        <f t="shared" si="25"/>
        <v>5</v>
      </c>
      <c r="AF35">
        <f t="shared" si="25"/>
        <v>5</v>
      </c>
      <c r="AG35">
        <f t="shared" si="25"/>
        <v>0</v>
      </c>
      <c r="AH35">
        <f t="shared" si="25"/>
        <v>0</v>
      </c>
      <c r="AI35">
        <f t="shared" si="25"/>
        <v>2</v>
      </c>
      <c r="AJ35">
        <f t="shared" si="25"/>
        <v>2</v>
      </c>
      <c r="AO35">
        <f t="shared" si="25"/>
        <v>16</v>
      </c>
      <c r="AP35">
        <f t="shared" si="25"/>
        <v>21</v>
      </c>
      <c r="AQ35" t="e">
        <f t="shared" si="25"/>
        <v>#DIV/0!</v>
      </c>
      <c r="AR35" t="e">
        <f t="shared" si="25"/>
        <v>#DIV/0!</v>
      </c>
      <c r="AS35">
        <f t="shared" si="25"/>
        <v>5236</v>
      </c>
      <c r="AT35">
        <f t="shared" si="25"/>
        <v>7851</v>
      </c>
      <c r="AU35" t="e">
        <f t="shared" si="25"/>
        <v>#DIV/0!</v>
      </c>
      <c r="AV35" t="e">
        <f t="shared" si="25"/>
        <v>#DIV/0!</v>
      </c>
      <c r="AX35">
        <f t="shared" si="25"/>
        <v>1</v>
      </c>
      <c r="AY35">
        <f t="shared" si="25"/>
        <v>24</v>
      </c>
      <c r="AZ35">
        <f t="shared" si="25"/>
        <v>18</v>
      </c>
      <c r="BA35">
        <f t="shared" si="25"/>
        <v>6</v>
      </c>
      <c r="BB35">
        <f t="shared" si="25"/>
        <v>0</v>
      </c>
      <c r="BC35">
        <f t="shared" si="25"/>
        <v>18</v>
      </c>
      <c r="BD35">
        <f t="shared" si="25"/>
        <v>24</v>
      </c>
      <c r="BE35">
        <f t="shared" si="25"/>
        <v>-6</v>
      </c>
      <c r="BF35">
        <f t="shared" si="25"/>
        <v>42</v>
      </c>
      <c r="BG35">
        <f t="shared" si="25"/>
        <v>42</v>
      </c>
      <c r="BH35">
        <f t="shared" si="25"/>
        <v>0</v>
      </c>
      <c r="BI35" t="e">
        <f t="shared" si="25"/>
        <v>#DIV/0!</v>
      </c>
      <c r="BJ35" t="e">
        <f t="shared" si="25"/>
        <v>#DIV/0!</v>
      </c>
      <c r="BK35" t="e">
        <f t="shared" si="25"/>
        <v>#DIV/0!</v>
      </c>
      <c r="BL35">
        <f t="shared" si="25"/>
        <v>0</v>
      </c>
      <c r="BM35">
        <f t="shared" si="25"/>
        <v>0</v>
      </c>
      <c r="BN35" t="e">
        <f t="shared" si="25"/>
        <v>#DIV/0!</v>
      </c>
      <c r="BO35" t="e">
        <f t="shared" si="25"/>
        <v>#DIV/0!</v>
      </c>
      <c r="BP35">
        <f t="shared" si="25"/>
        <v>16.099999999999998</v>
      </c>
      <c r="BQ35" t="e">
        <f t="shared" si="25"/>
        <v>#DIV/0!</v>
      </c>
      <c r="BR35">
        <f t="shared" si="25"/>
        <v>13.300000000000002</v>
      </c>
      <c r="BS35" t="e">
        <f t="shared" si="25"/>
        <v>#DIV/0!</v>
      </c>
      <c r="BT35">
        <f t="shared" si="25"/>
        <v>1</v>
      </c>
      <c r="BU35">
        <f t="shared" si="25"/>
        <v>6</v>
      </c>
      <c r="BV35">
        <f t="shared" si="25"/>
        <v>7</v>
      </c>
      <c r="BW35">
        <f t="shared" si="25"/>
        <v>6</v>
      </c>
      <c r="BX35">
        <f t="shared" si="25"/>
        <v>1</v>
      </c>
      <c r="BY35">
        <f t="shared" si="25"/>
        <v>7</v>
      </c>
      <c r="BZ35" t="e">
        <f t="shared" si="25"/>
        <v>#DIV/0!</v>
      </c>
      <c r="CA35">
        <f t="shared" si="25"/>
        <v>0</v>
      </c>
      <c r="CR35" t="str">
        <v/>
      </c>
      <c r="CV35" s="85"/>
      <c r="CW35" s="57">
        <v>3</v>
      </c>
      <c r="CX35" s="14">
        <f>COUNTIFS(Table2[AwayTeam],$CV$30, Table2[ActualAwayScore],$CW35, Table2[ActualHomeScore],CX$31)+COUNTIFS(Table2[HomeTeam],$CV$30, Table2[ActualAwayScore],CX$31, Table2[ActualHomeScore],$CW35)</f>
        <v>0</v>
      </c>
      <c r="CY35" s="14">
        <f>COUNTIFS(Table2[AwayTeam],"CGY", Table2[ActualAwayScore],$CW35, Table2[ActualHomeScore],CY$31)+COUNTIFS(Table2[HomeTeam],"CGY", Table2[ActualAwayScore],CY$31, Table2[ActualHomeScore],$CW35)</f>
        <v>0</v>
      </c>
      <c r="CZ35" s="14">
        <f>COUNTIFS(Table2[AwayTeam],$CV$30, Table2[ActualAwayScore],$CW35, Table2[ActualHomeScore],CZ$31)+COUNTIFS(Table2[HomeTeam],$CV$30, Table2[ActualAwayScore],CZ$31, Table2[ActualHomeScore],$CW35)</f>
        <v>0</v>
      </c>
      <c r="DA35" s="124"/>
      <c r="DB35" s="14">
        <f>(COUNTIFS(Table2[AwayTeam],$CV$30, Table2[ActualAwayScore],$CW35, Table2[ActualHomeScore],DB$31)+COUNTIFS(Table2[HomeTeam],$CV$30, Table2[ActualAwayScore],DB$31, Table2[ActualHomeScore],$CW35))*-1</f>
        <v>0</v>
      </c>
      <c r="DC35" s="14">
        <f>(COUNTIFS(Table2[AwayTeam],$CV$30, Table2[ActualAwayScore],$CW35, Table2[ActualHomeScore],DC$31)+COUNTIFS(Table2[HomeTeam],$CV$30, Table2[ActualAwayScore],DC$31, Table2[ActualHomeScore],$CW35))*-1</f>
        <v>0</v>
      </c>
      <c r="DD35" s="14">
        <f>(COUNTIFS(Table2[AwayTeam],$CV$30, Table2[ActualAwayScore],$CW35, Table2[ActualHomeScore],DD$31)+COUNTIFS(Table2[HomeTeam],$CV$30, Table2[ActualAwayScore],DD$31, Table2[ActualHomeScore],$CW35))*-1</f>
        <v>0</v>
      </c>
      <c r="DE35" s="14">
        <f>(COUNTIFS(Table2[AwayTeam],$CV$30, Table2[ActualAwayScore],$CW35, Table2[ActualHomeScore],DE$31)+COUNTIFS(Table2[HomeTeam],$CV$30, Table2[ActualAwayScore],DE$31, Table2[ActualHomeScore],$CW35))*-1</f>
        <v>0</v>
      </c>
      <c r="DF35" s="14">
        <f>(COUNTIFS(Table2[AwayTeam],$CV$30, Table2[ActualAwayScore],$CW35, Table2[ActualHomeScore],DF$31)+COUNTIFS(Table2[HomeTeam],$CV$30, Table2[ActualAwayScore],DF$31, Table2[ActualHomeScore],$CW35))*-1</f>
        <v>0</v>
      </c>
      <c r="DG35" s="14">
        <f>(COUNTIFS(Table2[AwayTeam],$CV$30, Table2[ActualAwayScore],$CW35, Table2[ActualHomeScore],DG$31)+COUNTIFS(Table2[HomeTeam],$CV$30, Table2[ActualAwayScore],DG$31, Table2[ActualHomeScore],$CW35))*-1</f>
        <v>0</v>
      </c>
      <c r="DH35" s="125">
        <f>(COUNTIFS(Table2[AwayTeam],$CV$30, Table2[ActualAwayScore],$CW35, Table2[ActualHomeScore],DH$31)+COUNTIFS(Table2[HomeTeam],$CV$30,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0</v>
      </c>
      <c r="DM35" s="14">
        <f>COUNTIFS(Table2[[ActualHomeScore]:[ActualHomeScore]],$DK35, Table2[[ActualAwayScore]:[ActualAwayScore]],DM$31)</f>
        <v>0</v>
      </c>
      <c r="DN35" s="14">
        <f>COUNTIFS(Table2[[ActualHomeScore]:[ActualHomeScore]],$DK35, Table2[[ActualAwayScore]:[ActualAwayScore]],DN$31)</f>
        <v>1</v>
      </c>
      <c r="DO35" s="127"/>
      <c r="DP35" s="14">
        <f>COUNTIFS(Table2[[ActualHomeScore]:[ActualHomeScore]],$DK35, Table2[[ActualAwayScore]:[ActualAwayScore]],DP$31)</f>
        <v>1</v>
      </c>
      <c r="DQ35" s="14">
        <f>COUNTIFS(Table2[[ActualHomeScore]:[ActualHomeScore]],$DK35, Table2[[ActualAwayScore]:[ActualAwayScore]],DQ$31)</f>
        <v>0</v>
      </c>
      <c r="DR35" s="14">
        <f>COUNTIFS(Table2[[ActualHomeScore]:[ActualHomeScore]],$DK35, Table2[[ActualAwayScore]:[ActualAwayScore]],DR$31)</f>
        <v>0</v>
      </c>
      <c r="DS35" s="14">
        <f>COUNTIFS(Table2[[ActualHomeScore]:[ActualHomeScore]],$DK35, Table2[[ActualAwayScore]:[ActualAwayScore]],DS$31)</f>
        <v>0</v>
      </c>
      <c r="DT35" s="14">
        <f>COUNTIFS(Table2[[ActualHomeScore]:[ActualHomeScore]],$DK35, Table2[[ActualAwayScore]:[ActualAwayScore]],DT$31)</f>
        <v>0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0.3125</v>
      </c>
      <c r="E36" t="e">
        <f t="shared" ref="E36:CA36" si="26">AVERAGE(E$2:E$33)</f>
        <v>#DIV/0!</v>
      </c>
      <c r="F36">
        <f t="shared" si="26"/>
        <v>0.21875</v>
      </c>
      <c r="G36">
        <f t="shared" si="26"/>
        <v>40.78125</v>
      </c>
      <c r="H36">
        <f t="shared" si="26"/>
        <v>0.21875</v>
      </c>
      <c r="I36">
        <f t="shared" si="26"/>
        <v>40.78125</v>
      </c>
      <c r="J36">
        <f t="shared" si="26"/>
        <v>0.4375</v>
      </c>
      <c r="K36">
        <f t="shared" si="26"/>
        <v>81.5625</v>
      </c>
      <c r="L36">
        <f t="shared" si="26"/>
        <v>0.15625</v>
      </c>
      <c r="M36">
        <f t="shared" si="26"/>
        <v>9.375E-2</v>
      </c>
      <c r="N36">
        <f t="shared" si="26"/>
        <v>0</v>
      </c>
      <c r="O36">
        <f t="shared" si="26"/>
        <v>6.25E-2</v>
      </c>
      <c r="P36">
        <f t="shared" si="26"/>
        <v>6.25E-2</v>
      </c>
      <c r="Q36">
        <f t="shared" si="26"/>
        <v>6.25E-2</v>
      </c>
      <c r="R36">
        <f t="shared" si="26"/>
        <v>0</v>
      </c>
      <c r="S36">
        <f t="shared" si="26"/>
        <v>0</v>
      </c>
      <c r="T36">
        <f t="shared" si="26"/>
        <v>6.25E-2</v>
      </c>
      <c r="U36">
        <f t="shared" si="26"/>
        <v>6.25E-2</v>
      </c>
      <c r="V36">
        <f t="shared" si="26"/>
        <v>0</v>
      </c>
      <c r="W36">
        <f t="shared" si="26"/>
        <v>0</v>
      </c>
      <c r="X36">
        <f t="shared" si="26"/>
        <v>0.15625</v>
      </c>
      <c r="Y36">
        <f t="shared" si="26"/>
        <v>9.375E-2</v>
      </c>
      <c r="Z36">
        <f t="shared" si="26"/>
        <v>0</v>
      </c>
      <c r="AA36">
        <f t="shared" si="26"/>
        <v>6.25E-2</v>
      </c>
      <c r="AC36">
        <f t="shared" si="26"/>
        <v>0.21875</v>
      </c>
      <c r="AD36">
        <f t="shared" si="26"/>
        <v>0.21875</v>
      </c>
      <c r="AE36">
        <f t="shared" si="26"/>
        <v>0.15625</v>
      </c>
      <c r="AF36">
        <f t="shared" si="26"/>
        <v>0.15625</v>
      </c>
      <c r="AG36">
        <f t="shared" si="26"/>
        <v>0</v>
      </c>
      <c r="AH36">
        <f t="shared" si="26"/>
        <v>0</v>
      </c>
      <c r="AI36">
        <f t="shared" si="26"/>
        <v>6.25E-2</v>
      </c>
      <c r="AJ36">
        <f t="shared" si="26"/>
        <v>6.25E-2</v>
      </c>
      <c r="AO36">
        <f t="shared" si="26"/>
        <v>0.5</v>
      </c>
      <c r="AP36">
        <f t="shared" si="26"/>
        <v>0.65625</v>
      </c>
      <c r="AQ36" t="e">
        <f t="shared" si="26"/>
        <v>#DIV/0!</v>
      </c>
      <c r="AR36" t="e">
        <f t="shared" si="26"/>
        <v>#DIV/0!</v>
      </c>
      <c r="AS36">
        <f t="shared" si="26"/>
        <v>163.625</v>
      </c>
      <c r="AT36">
        <f t="shared" si="26"/>
        <v>245.34375</v>
      </c>
      <c r="AU36" t="e">
        <f t="shared" si="26"/>
        <v>#DIV/0!</v>
      </c>
      <c r="AV36" t="e">
        <f t="shared" si="26"/>
        <v>#DIV/0!</v>
      </c>
      <c r="AX36">
        <f t="shared" si="26"/>
        <v>3.125E-2</v>
      </c>
      <c r="AY36">
        <f t="shared" si="26"/>
        <v>0.75</v>
      </c>
      <c r="AZ36">
        <f t="shared" si="26"/>
        <v>0.5625</v>
      </c>
      <c r="BA36">
        <f t="shared" si="26"/>
        <v>0.1875</v>
      </c>
      <c r="BB36">
        <f t="shared" si="26"/>
        <v>0</v>
      </c>
      <c r="BC36">
        <f t="shared" si="26"/>
        <v>0.5625</v>
      </c>
      <c r="BD36">
        <f t="shared" si="26"/>
        <v>0.75</v>
      </c>
      <c r="BE36">
        <f t="shared" si="26"/>
        <v>-0.1875</v>
      </c>
      <c r="BF36">
        <f t="shared" si="26"/>
        <v>1.3125</v>
      </c>
      <c r="BG36">
        <f t="shared" si="26"/>
        <v>1.3125</v>
      </c>
      <c r="BH36">
        <f t="shared" si="26"/>
        <v>0</v>
      </c>
      <c r="BI36" t="e">
        <f t="shared" si="26"/>
        <v>#DIV/0!</v>
      </c>
      <c r="BJ36" t="e">
        <f t="shared" si="26"/>
        <v>#DIV/0!</v>
      </c>
      <c r="BK36" t="e">
        <f t="shared" si="26"/>
        <v>#DIV/0!</v>
      </c>
      <c r="BL36" t="e">
        <f t="shared" si="26"/>
        <v>#DIV/0!</v>
      </c>
      <c r="BM36" t="e">
        <f t="shared" si="26"/>
        <v>#DIV/0!</v>
      </c>
      <c r="BN36" t="e">
        <f t="shared" si="26"/>
        <v>#DIV/0!</v>
      </c>
      <c r="BO36" t="e">
        <f t="shared" si="26"/>
        <v>#DIV/0!</v>
      </c>
      <c r="BP36">
        <f t="shared" si="26"/>
        <v>0.50312499999999993</v>
      </c>
      <c r="BQ36" t="e">
        <f t="shared" si="26"/>
        <v>#DIV/0!</v>
      </c>
      <c r="BR36">
        <f t="shared" si="26"/>
        <v>0.41562500000000008</v>
      </c>
      <c r="BS36" t="e">
        <f t="shared" si="26"/>
        <v>#DIV/0!</v>
      </c>
      <c r="BT36">
        <f t="shared" si="26"/>
        <v>3.125E-2</v>
      </c>
      <c r="BU36">
        <f t="shared" si="26"/>
        <v>0.1875</v>
      </c>
      <c r="BV36">
        <f t="shared" si="26"/>
        <v>0.21875</v>
      </c>
      <c r="BW36">
        <f t="shared" si="26"/>
        <v>0.1875</v>
      </c>
      <c r="BX36">
        <f t="shared" si="26"/>
        <v>3.125E-2</v>
      </c>
      <c r="BY36">
        <f t="shared" si="26"/>
        <v>0.21875</v>
      </c>
      <c r="BZ36" t="e">
        <f t="shared" si="26"/>
        <v>#DIV/0!</v>
      </c>
      <c r="CA36" t="e">
        <f t="shared" si="26"/>
        <v>#DIV/0!</v>
      </c>
      <c r="CR36" t="str">
        <v/>
      </c>
      <c r="CV36" s="85"/>
      <c r="CW36" s="57">
        <v>4</v>
      </c>
      <c r="CX36" s="14">
        <f>COUNTIFS(Table2[AwayTeam],$CV$30, Table2[ActualAwayScore],$CW36, Table2[ActualHomeScore],CX$31)+COUNTIFS(Table2[HomeTeam],$CV$30, Table2[ActualAwayScore],CX$31, Table2[ActualHomeScore],$CW36)</f>
        <v>0</v>
      </c>
      <c r="CY36" s="14">
        <f>COUNTIFS(Table2[AwayTeam],"CGY", Table2[ActualAwayScore],$CW36, Table2[ActualHomeScore],CY$31)+COUNTIFS(Table2[HomeTeam],"CGY", Table2[ActualAwayScore],CY$31, Table2[ActualHomeScore],$CW36)</f>
        <v>0</v>
      </c>
      <c r="CZ36" s="14">
        <f>COUNTIFS(Table2[AwayTeam],$CV$30, Table2[ActualAwayScore],$CW36, Table2[ActualHomeScore],CZ$31)+COUNTIFS(Table2[HomeTeam],$CV$30, Table2[ActualAwayScore],CZ$31, Table2[ActualHomeScore],$CW36)</f>
        <v>0</v>
      </c>
      <c r="DA36" s="14">
        <f>COUNTIFS(Table2[AwayTeam],$CV$30, Table2[ActualAwayScore],$CW36, Table2[ActualHomeScore],DA$31)+COUNTIFS(Table2[HomeTeam],$CV$30, Table2[ActualAwayScore],DA$31, Table2[ActualHomeScore],$CW36)</f>
        <v>1</v>
      </c>
      <c r="DB36" s="124"/>
      <c r="DC36" s="14">
        <f>(COUNTIFS(Table2[AwayTeam],$CV$30, Table2[ActualAwayScore],$CW36, Table2[ActualHomeScore],DC$31)+COUNTIFS(Table2[HomeTeam],$CV$30, Table2[ActualAwayScore],DC$31, Table2[ActualHomeScore],$CW36))*-1</f>
        <v>0</v>
      </c>
      <c r="DD36" s="14">
        <f>(COUNTIFS(Table2[AwayTeam],$CV$30, Table2[ActualAwayScore],$CW36, Table2[ActualHomeScore],DD$31)+COUNTIFS(Table2[HomeTeam],$CV$30, Table2[ActualAwayScore],DD$31, Table2[ActualHomeScore],$CW36))*-1</f>
        <v>0</v>
      </c>
      <c r="DE36" s="14">
        <f>(COUNTIFS(Table2[AwayTeam],$CV$30, Table2[ActualAwayScore],$CW36, Table2[ActualHomeScore],DE$31)+COUNTIFS(Table2[HomeTeam],$CV$30, Table2[ActualAwayScore],DE$31, Table2[ActualHomeScore],$CW36))*-1</f>
        <v>0</v>
      </c>
      <c r="DF36" s="14">
        <f>(COUNTIFS(Table2[AwayTeam],$CV$30, Table2[ActualAwayScore],$CW36, Table2[ActualHomeScore],DF$31)+COUNTIFS(Table2[HomeTeam],$CV$30, Table2[ActualAwayScore],DF$31, Table2[ActualHomeScore],$CW36))*-1</f>
        <v>0</v>
      </c>
      <c r="DG36" s="14">
        <f>(COUNTIFS(Table2[AwayTeam],$CV$30, Table2[ActualAwayScore],$CW36, Table2[ActualHomeScore],DG$31)+COUNTIFS(Table2[HomeTeam],$CV$30, Table2[ActualAwayScore],DG$31, Table2[ActualHomeScore],$CW36))*-1</f>
        <v>0</v>
      </c>
      <c r="DH36" s="125">
        <f>(COUNTIFS(Table2[AwayTeam],$CV$30, Table2[ActualAwayScore],$CW36, Table2[ActualHomeScore],DH$31)+COUNTIFS(Table2[HomeTeam],$CV$30,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0</v>
      </c>
      <c r="DN36" s="14">
        <f>COUNTIFS(Table2[[ActualHomeScore]:[ActualHomeScore]],$DK36, Table2[[ActualAwayScore]:[ActualAwayScore]],DN$31)</f>
        <v>0</v>
      </c>
      <c r="DO36" s="14">
        <f>COUNTIFS(Table2[[ActualHomeScore]:[ActualHomeScore]],$DK36, Table2[[ActualAwayScore]:[ActualAwayScore]],DO$31)</f>
        <v>0</v>
      </c>
      <c r="DP36" s="127"/>
      <c r="DQ36" s="14">
        <f>COUNTIFS(Table2[[ActualHomeScore]:[ActualHomeScore]],$DK36, Table2[[ActualAwayScore]:[ActualAwayScore]],DQ$31)</f>
        <v>0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0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0.46351240544347894</v>
      </c>
      <c r="E37" t="e">
        <f t="shared" ref="E37:CA37" si="27">_xlfn.STDEV.P(E$2:E$33)</f>
        <v>#DIV/0!</v>
      </c>
      <c r="F37">
        <f t="shared" si="27"/>
        <v>0.41339864235384227</v>
      </c>
      <c r="G37">
        <f t="shared" si="27"/>
        <v>0.41339864235384227</v>
      </c>
      <c r="H37">
        <f t="shared" si="27"/>
        <v>0.41339864235384227</v>
      </c>
      <c r="I37">
        <f t="shared" si="27"/>
        <v>0.41339864235384227</v>
      </c>
      <c r="J37">
        <f t="shared" si="27"/>
        <v>0.55551215108222429</v>
      </c>
      <c r="K37">
        <f t="shared" si="27"/>
        <v>0.55551215108222429</v>
      </c>
      <c r="L37">
        <f t="shared" si="27"/>
        <v>0.36309218870694532</v>
      </c>
      <c r="M37">
        <f t="shared" si="27"/>
        <v>0.29148059540902549</v>
      </c>
      <c r="N37">
        <f t="shared" si="27"/>
        <v>0</v>
      </c>
      <c r="O37">
        <f t="shared" si="27"/>
        <v>0.24206145913796356</v>
      </c>
      <c r="P37">
        <f t="shared" si="27"/>
        <v>0.24206145913796356</v>
      </c>
      <c r="Q37">
        <f t="shared" si="27"/>
        <v>0.24206145913796356</v>
      </c>
      <c r="R37">
        <f t="shared" si="27"/>
        <v>0</v>
      </c>
      <c r="S37">
        <f t="shared" si="27"/>
        <v>0</v>
      </c>
      <c r="T37">
        <f t="shared" si="27"/>
        <v>0.24206145913796356</v>
      </c>
      <c r="U37">
        <f t="shared" si="27"/>
        <v>0.24206145913796356</v>
      </c>
      <c r="V37">
        <f t="shared" si="27"/>
        <v>0</v>
      </c>
      <c r="W37">
        <f t="shared" si="27"/>
        <v>0</v>
      </c>
      <c r="X37">
        <f t="shared" si="27"/>
        <v>0.36309218870694532</v>
      </c>
      <c r="Y37">
        <f t="shared" si="27"/>
        <v>0.29148059540902549</v>
      </c>
      <c r="Z37">
        <f t="shared" si="27"/>
        <v>0</v>
      </c>
      <c r="AA37">
        <f t="shared" si="27"/>
        <v>0.24206145913796356</v>
      </c>
      <c r="AC37">
        <f t="shared" si="27"/>
        <v>0.41339864235384227</v>
      </c>
      <c r="AD37">
        <f t="shared" si="27"/>
        <v>0.41339864235384227</v>
      </c>
      <c r="AE37">
        <f t="shared" si="27"/>
        <v>0.36309218870694532</v>
      </c>
      <c r="AF37">
        <f t="shared" si="27"/>
        <v>0.36309218870694532</v>
      </c>
      <c r="AG37">
        <f t="shared" si="27"/>
        <v>0</v>
      </c>
      <c r="AH37">
        <f t="shared" si="27"/>
        <v>0</v>
      </c>
      <c r="AI37">
        <f t="shared" si="27"/>
        <v>0.24206145913796356</v>
      </c>
      <c r="AJ37">
        <f t="shared" si="27"/>
        <v>0.24206145913796356</v>
      </c>
      <c r="AO37">
        <f t="shared" si="27"/>
        <v>0.82915619758884995</v>
      </c>
      <c r="AP37">
        <f t="shared" si="27"/>
        <v>1.1349387373334299</v>
      </c>
      <c r="AQ37" t="e">
        <f t="shared" si="27"/>
        <v>#DIV/0!</v>
      </c>
      <c r="AR37" t="e">
        <f t="shared" si="27"/>
        <v>#DIV/0!</v>
      </c>
      <c r="AS37">
        <f t="shared" si="27"/>
        <v>0.73950997288745202</v>
      </c>
      <c r="AT37">
        <f t="shared" si="27"/>
        <v>1.2147369828485506</v>
      </c>
      <c r="AU37" t="e">
        <f t="shared" si="27"/>
        <v>#DIV/0!</v>
      </c>
      <c r="AV37" t="e">
        <f t="shared" si="27"/>
        <v>#DIV/0!</v>
      </c>
      <c r="AX37">
        <f t="shared" si="27"/>
        <v>0.17399263633843817</v>
      </c>
      <c r="AY37">
        <f t="shared" si="27"/>
        <v>1.541103500742244</v>
      </c>
      <c r="AZ37">
        <f t="shared" si="27"/>
        <v>1.3678792892649556</v>
      </c>
      <c r="BA37">
        <f t="shared" si="27"/>
        <v>1.0135796712641785</v>
      </c>
      <c r="BB37">
        <f t="shared" si="27"/>
        <v>0</v>
      </c>
      <c r="BC37">
        <f t="shared" si="27"/>
        <v>1.3678792892649556</v>
      </c>
      <c r="BD37">
        <f t="shared" si="27"/>
        <v>1.541103500742244</v>
      </c>
      <c r="BE37">
        <f t="shared" si="27"/>
        <v>1.0135796712641785</v>
      </c>
      <c r="BF37">
        <f t="shared" si="27"/>
        <v>1.9435389756832766</v>
      </c>
      <c r="BG37">
        <f t="shared" si="27"/>
        <v>2.1569292408421745</v>
      </c>
      <c r="BH37">
        <f t="shared" si="27"/>
        <v>1.3919410907075054</v>
      </c>
      <c r="BI37" t="e">
        <f t="shared" si="27"/>
        <v>#DIV/0!</v>
      </c>
      <c r="BJ37" t="e">
        <f t="shared" si="27"/>
        <v>#DIV/0!</v>
      </c>
      <c r="BK37" t="e">
        <f t="shared" si="27"/>
        <v>#DIV/0!</v>
      </c>
      <c r="BL37" t="e">
        <f t="shared" si="27"/>
        <v>#DIV/0!</v>
      </c>
      <c r="BM37" t="e">
        <f t="shared" si="27"/>
        <v>#DIV/0!</v>
      </c>
      <c r="BN37" t="e">
        <f t="shared" si="27"/>
        <v>#DIV/0!</v>
      </c>
      <c r="BO37" t="e">
        <f t="shared" si="27"/>
        <v>#DIV/0!</v>
      </c>
      <c r="BP37">
        <f t="shared" si="27"/>
        <v>0.69100668185987901</v>
      </c>
      <c r="BQ37" t="e">
        <f t="shared" si="27"/>
        <v>#DIV/0!</v>
      </c>
      <c r="BR37">
        <f t="shared" si="27"/>
        <v>0.70316666543217177</v>
      </c>
      <c r="BS37" t="e">
        <f t="shared" si="27"/>
        <v>#DIV/0!</v>
      </c>
      <c r="BT37">
        <f t="shared" si="27"/>
        <v>0.17399263633843817</v>
      </c>
      <c r="BU37">
        <f t="shared" si="27"/>
        <v>0.39031237489989989</v>
      </c>
      <c r="BV37">
        <f t="shared" si="27"/>
        <v>0.41339864235384227</v>
      </c>
      <c r="BW37">
        <f t="shared" si="27"/>
        <v>0.39031237489989989</v>
      </c>
      <c r="BX37">
        <f t="shared" si="27"/>
        <v>0.17399263633843817</v>
      </c>
      <c r="BY37">
        <f t="shared" si="27"/>
        <v>0.48311327605438459</v>
      </c>
      <c r="BZ37" t="e">
        <f t="shared" si="27"/>
        <v>#DIV/0!</v>
      </c>
      <c r="CA37" t="e">
        <f t="shared" si="27"/>
        <v>#DIV/0!</v>
      </c>
      <c r="CR37" t="str">
        <v/>
      </c>
      <c r="CV37" s="85"/>
      <c r="CW37" s="57">
        <v>5</v>
      </c>
      <c r="CX37" s="14">
        <f>COUNTIFS(Table2[AwayTeam],$CV$30, Table2[ActualAwayScore],$CW37, Table2[ActualHomeScore],CX$31)+COUNTIFS(Table2[HomeTeam],$CV$30, Table2[ActualAwayScore],CX$31, Table2[ActualHomeScore],$CW37)</f>
        <v>0</v>
      </c>
      <c r="CY37" s="14">
        <f>COUNTIFS(Table2[AwayTeam],"CGY", Table2[ActualAwayScore],$CW37, Table2[ActualHomeScore],CY$31)+COUNTIFS(Table2[HomeTeam],"CGY", Table2[ActualAwayScore],CY$31, Table2[ActualHomeScore],$CW37)</f>
        <v>0</v>
      </c>
      <c r="CZ37" s="14">
        <f>COUNTIFS(Table2[AwayTeam],$CV$30, Table2[ActualAwayScore],$CW37, Table2[ActualHomeScore],CZ$31)+COUNTIFS(Table2[HomeTeam],$CV$30, Table2[ActualAwayScore],CZ$31, Table2[ActualHomeScore],$CW37)</f>
        <v>0</v>
      </c>
      <c r="DA37" s="14">
        <f>COUNTIFS(Table2[AwayTeam],$CV$30, Table2[ActualAwayScore],$CW37, Table2[ActualHomeScore],DA$31)+COUNTIFS(Table2[HomeTeam],$CV$30, Table2[ActualAwayScore],DA$31, Table2[ActualHomeScore],$CW37)</f>
        <v>0</v>
      </c>
      <c r="DB37" s="14">
        <f>COUNTIFS(Table2[AwayTeam],$CV$30, Table2[ActualAwayScore],$CW37, Table2[ActualHomeScore],DB$31)+COUNTIFS(Table2[HomeTeam],$CV$30, Table2[ActualAwayScore],DB$31, Table2[ActualHomeScore],$CW37)</f>
        <v>0</v>
      </c>
      <c r="DC37" s="124"/>
      <c r="DD37" s="14">
        <f>(COUNTIFS(Table2[AwayTeam],$CV$30, Table2[ActualAwayScore],$CW37, Table2[ActualHomeScore],DD$31)+COUNTIFS(Table2[HomeTeam],$CV$30, Table2[ActualAwayScore],DD$31, Table2[ActualHomeScore],$CW37))*-1</f>
        <v>0</v>
      </c>
      <c r="DE37" s="14">
        <f>(COUNTIFS(Table2[AwayTeam],$CV$30, Table2[ActualAwayScore],$CW37, Table2[ActualHomeScore],DE$31)+COUNTIFS(Table2[HomeTeam],$CV$30, Table2[ActualAwayScore],DE$31, Table2[ActualHomeScore],$CW37))*-1</f>
        <v>0</v>
      </c>
      <c r="DF37" s="14">
        <f>(COUNTIFS(Table2[AwayTeam],$CV$30, Table2[ActualAwayScore],$CW37, Table2[ActualHomeScore],DF$31)+COUNTIFS(Table2[HomeTeam],$CV$30, Table2[ActualAwayScore],DF$31, Table2[ActualHomeScore],$CW37))*-1</f>
        <v>0</v>
      </c>
      <c r="DG37" s="14">
        <f>(COUNTIFS(Table2[AwayTeam],$CV$30, Table2[ActualAwayScore],$CW37, Table2[ActualHomeScore],DG$31)+COUNTIFS(Table2[HomeTeam],$CV$30, Table2[ActualAwayScore],DG$31, Table2[ActualHomeScore],$CW37))*-1</f>
        <v>0</v>
      </c>
      <c r="DH37" s="125">
        <f>(COUNTIFS(Table2[AwayTeam],$CV$30, Table2[ActualAwayScore],$CW37, Table2[ActualHomeScore],DH$31)+COUNTIFS(Table2[HomeTeam],$CV$30,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0</v>
      </c>
      <c r="DN37" s="14">
        <f>COUNTIFS(Table2[[ActualHomeScore]:[ActualHomeScore]],$DK37, Table2[[ActualAwayScore]:[ActualAwayScore]],DN$31)</f>
        <v>1</v>
      </c>
      <c r="DO37" s="14">
        <f>COUNTIFS(Table2[[ActualHomeScore]:[ActualHomeScore]],$DK37, Table2[[ActualAwayScore]:[ActualAwayScore]],DO$31)</f>
        <v>0</v>
      </c>
      <c r="DP37" s="14">
        <f>COUNTIFS(Table2[[ActualHomeScore]:[ActualHomeScore]],$DK37, Table2[[ActualAwayScore]:[ActualAwayScore]],DP$31)</f>
        <v>0</v>
      </c>
      <c r="DQ37" s="127"/>
      <c r="DR37" s="14">
        <f>COUNTIFS(Table2[[ActualHomeScore]:[ActualHomeScore]],$DK37, Table2[[ActualAwayScore]:[ActualAwayScore]],DR$31)</f>
        <v>1</v>
      </c>
      <c r="DS37" s="14">
        <f>COUNTIFS(Table2[[ActualHomeScore]:[ActualHomeScore]],$DK37, Table2[[ActualAwayScore]:[ActualAwayScore]],DS$31)</f>
        <v>0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COUNTIFS(Table2[AwayTeam],$CV$30, Table2[ActualAwayScore],$CW38, Table2[ActualHomeScore],CX$31)+COUNTIFS(Table2[HomeTeam],$CV$30, Table2[ActualAwayScore],CX$31, Table2[ActualHomeScore],$CW38)</f>
        <v>0</v>
      </c>
      <c r="CY38" s="14">
        <f>COUNTIFS(Table2[AwayTeam],"CGY", Table2[ActualAwayScore],$CW38, Table2[ActualHomeScore],CY$31)+COUNTIFS(Table2[HomeTeam],"CGY", Table2[ActualAwayScore],CY$31, Table2[ActualHomeScore],$CW38)</f>
        <v>0</v>
      </c>
      <c r="CZ38" s="14">
        <f>COUNTIFS(Table2[AwayTeam],$CV$30, Table2[ActualAwayScore],$CW38, Table2[ActualHomeScore],CZ$31)+COUNTIFS(Table2[HomeTeam],$CV$30, Table2[ActualAwayScore],CZ$31, Table2[ActualHomeScore],$CW38)</f>
        <v>0</v>
      </c>
      <c r="DA38" s="14">
        <f>COUNTIFS(Table2[AwayTeam],$CV$30, Table2[ActualAwayScore],$CW38, Table2[ActualHomeScore],DA$31)+COUNTIFS(Table2[HomeTeam],$CV$30, Table2[ActualAwayScore],DA$31, Table2[ActualHomeScore],$CW38)</f>
        <v>0</v>
      </c>
      <c r="DB38" s="14">
        <f>COUNTIFS(Table2[AwayTeam],$CV$30, Table2[ActualAwayScore],$CW38, Table2[ActualHomeScore],DB$31)+COUNTIFS(Table2[HomeTeam],$CV$30, Table2[ActualAwayScore],DB$31, Table2[ActualHomeScore],$CW38)</f>
        <v>0</v>
      </c>
      <c r="DC38" s="14">
        <f>COUNTIFS(Table2[AwayTeam],$CV$30, Table2[ActualAwayScore],$CW38, Table2[ActualHomeScore],DC$31)+COUNTIFS(Table2[HomeTeam],$CV$30, Table2[ActualAwayScore],DC$31, Table2[ActualHomeScore],$CW38)</f>
        <v>0</v>
      </c>
      <c r="DD38" s="124"/>
      <c r="DE38" s="14">
        <f>(COUNTIFS(Table2[AwayTeam],$CV$30, Table2[ActualAwayScore],$CW38, Table2[ActualHomeScore],DE$31)+COUNTIFS(Table2[HomeTeam],$CV$30, Table2[ActualAwayScore],DE$31, Table2[ActualHomeScore],$CW38))*-1</f>
        <v>0</v>
      </c>
      <c r="DF38" s="14">
        <f>(COUNTIFS(Table2[AwayTeam],$CV$30, Table2[ActualAwayScore],$CW38, Table2[ActualHomeScore],DF$31)+COUNTIFS(Table2[HomeTeam],$CV$30, Table2[ActualAwayScore],DF$31, Table2[ActualHomeScore],$CW38))*-1</f>
        <v>0</v>
      </c>
      <c r="DG38" s="14">
        <f>(COUNTIFS(Table2[AwayTeam],$CV$30, Table2[ActualAwayScore],$CW38, Table2[ActualHomeScore],DG$31)+COUNTIFS(Table2[HomeTeam],$CV$30, Table2[ActualAwayScore],DG$31, Table2[ActualHomeScore],$CW38))*-1</f>
        <v>0</v>
      </c>
      <c r="DH38" s="125">
        <f>(COUNTIFS(Table2[AwayTeam],$CV$30, Table2[ActualAwayScore],$CW38, Table2[ActualHomeScore],DH$31)+COUNTIFS(Table2[HomeTeam],$CV$30,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0</v>
      </c>
      <c r="DN38" s="14">
        <f>COUNTIFS(Table2[[ActualHomeScore]:[ActualHomeScore]],$DK38, Table2[[ActualAwayScore]:[ActualAwayScore]],DN$31)</f>
        <v>0</v>
      </c>
      <c r="DO38" s="14">
        <f>COUNTIFS(Table2[[ActualHomeScore]:[ActualHomeScore]],$DK38, Table2[[ActualAwayScore]:[ActualAwayScore]],DO$31)</f>
        <v>0</v>
      </c>
      <c r="DP38" s="14">
        <f>COUNTIFS(Table2[[ActualHomeScore]:[ActualHomeScore]],$DK38, Table2[[ActualAwayScore]:[ActualAwayScore]],DP$31)</f>
        <v>0</v>
      </c>
      <c r="DQ38" s="14">
        <f>COUNTIFS(Table2[[ActualHomeScore]:[ActualHomeScore]],$DK38, Table2[[ActualAwayScore]:[ActualAwayScore]],DQ$31)</f>
        <v>0</v>
      </c>
      <c r="DR38" s="127"/>
      <c r="DS38" s="14">
        <f>COUNTIFS(Table2[[ActualHomeScore]:[ActualHomeScore]],$DK38, Table2[[ActualAwayScore]:[ActualAwayScore]],DS$31)</f>
        <v>0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COUNTIFS(Table2[AwayTeam],$CV$30, Table2[ActualAwayScore],$CW39, Table2[ActualHomeScore],CX$31)+COUNTIFS(Table2[HomeTeam],$CV$30, Table2[ActualAwayScore],CX$31, Table2[ActualHomeScore],$CW39)</f>
        <v>0</v>
      </c>
      <c r="CY39" s="14">
        <f>COUNTIFS(Table2[AwayTeam],"CGY", Table2[ActualAwayScore],$CW39, Table2[ActualHomeScore],CY$31)+COUNTIFS(Table2[HomeTeam],"CGY", Table2[ActualAwayScore],CY$31, Table2[ActualHomeScore],$CW39)</f>
        <v>0</v>
      </c>
      <c r="CZ39" s="14">
        <f>COUNTIFS(Table2[AwayTeam],$CV$30, Table2[ActualAwayScore],$CW39, Table2[ActualHomeScore],CZ$31)+COUNTIFS(Table2[HomeTeam],$CV$30, Table2[ActualAwayScore],CZ$31, Table2[ActualHomeScore],$CW39)</f>
        <v>0</v>
      </c>
      <c r="DA39" s="14">
        <f>COUNTIFS(Table2[AwayTeam],$CV$30, Table2[ActualAwayScore],$CW39, Table2[ActualHomeScore],DA$31)+COUNTIFS(Table2[HomeTeam],$CV$30, Table2[ActualAwayScore],DA$31, Table2[ActualHomeScore],$CW39)</f>
        <v>0</v>
      </c>
      <c r="DB39" s="14">
        <f>COUNTIFS(Table2[AwayTeam],$CV$30, Table2[ActualAwayScore],$CW39, Table2[ActualHomeScore],DB$31)+COUNTIFS(Table2[HomeTeam],$CV$30, Table2[ActualAwayScore],DB$31, Table2[ActualHomeScore],$CW39)</f>
        <v>0</v>
      </c>
      <c r="DC39" s="14">
        <f>COUNTIFS(Table2[AwayTeam],$CV$30, Table2[ActualAwayScore],$CW39, Table2[ActualHomeScore],DC$31)+COUNTIFS(Table2[HomeTeam],$CV$30, Table2[ActualAwayScore],DC$31, Table2[ActualHomeScore],$CW39)</f>
        <v>0</v>
      </c>
      <c r="DD39" s="14">
        <f>COUNTIFS(Table2[AwayTeam],$CV$30, Table2[ActualAwayScore],$CW39, Table2[ActualHomeScore],DD$31)+COUNTIFS(Table2[HomeTeam],$CV$30, Table2[ActualAwayScore],DD$31, Table2[ActualHomeScore],$CW39)</f>
        <v>0</v>
      </c>
      <c r="DE39" s="124"/>
      <c r="DF39" s="14">
        <f>(COUNTIFS(Table2[AwayTeam],$CV$30, Table2[ActualAwayScore],$CW39, Table2[ActualHomeScore],DF$31)+COUNTIFS(Table2[HomeTeam],$CV$30, Table2[ActualAwayScore],DF$31, Table2[ActualHomeScore],$CW39))*-1</f>
        <v>0</v>
      </c>
      <c r="DG39" s="14">
        <f>(COUNTIFS(Table2[AwayTeam],$CV$30, Table2[ActualAwayScore],$CW39, Table2[ActualHomeScore],DG$31)+COUNTIFS(Table2[HomeTeam],$CV$30, Table2[ActualAwayScore],DG$31, Table2[ActualHomeScore],$CW39))*-1</f>
        <v>0</v>
      </c>
      <c r="DH39" s="125">
        <f>(COUNTIFS(Table2[AwayTeam],$CV$30, Table2[ActualAwayScore],$CW39, Table2[ActualHomeScore],DH$31)+COUNTIFS(Table2[HomeTeam],$CV$30,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0</v>
      </c>
      <c r="DO39" s="14">
        <f>COUNTIFS(Table2[[ActualHomeScore]:[ActualHomeScore]],$DK39, Table2[[ActualAwayScore]:[ActualAwayScore]],DO$31)</f>
        <v>0</v>
      </c>
      <c r="DP39" s="14">
        <f>COUNTIFS(Table2[[ActualHomeScore]:[ActualHomeScore]],$DK39, Table2[[ActualAwayScore]:[ActualAwayScore]],DP$31)</f>
        <v>0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COUNTIFS(Table2[AwayTeam],$CV$30, Table2[ActualAwayScore],$CW40, Table2[ActualHomeScore],CX$31)+COUNTIFS(Table2[HomeTeam],$CV$30, Table2[ActualAwayScore],CX$31, Table2[ActualHomeScore],$CW40)</f>
        <v>0</v>
      </c>
      <c r="CY40" s="14">
        <f>COUNTIFS(Table2[AwayTeam],"CGY", Table2[ActualAwayScore],$CW40, Table2[ActualHomeScore],CY$31)+COUNTIFS(Table2[HomeTeam],"CGY", Table2[ActualAwayScore],CY$31, Table2[ActualHomeScore],$CW40)</f>
        <v>0</v>
      </c>
      <c r="CZ40" s="14">
        <f>COUNTIFS(Table2[AwayTeam],$CV$30, Table2[ActualAwayScore],$CW40, Table2[ActualHomeScore],CZ$31)+COUNTIFS(Table2[HomeTeam],$CV$30, Table2[ActualAwayScore],CZ$31, Table2[ActualHomeScore],$CW40)</f>
        <v>0</v>
      </c>
      <c r="DA40" s="14">
        <f>COUNTIFS(Table2[AwayTeam],$CV$30, Table2[ActualAwayScore],$CW40, Table2[ActualHomeScore],DA$31)+COUNTIFS(Table2[HomeTeam],$CV$30, Table2[ActualAwayScore],DA$31, Table2[ActualHomeScore],$CW40)</f>
        <v>0</v>
      </c>
      <c r="DB40" s="14">
        <f>COUNTIFS(Table2[AwayTeam],$CV$30, Table2[ActualAwayScore],$CW40, Table2[ActualHomeScore],DB$31)+COUNTIFS(Table2[HomeTeam],$CV$30, Table2[ActualAwayScore],DB$31, Table2[ActualHomeScore],$CW40)</f>
        <v>0</v>
      </c>
      <c r="DC40" s="14">
        <f>COUNTIFS(Table2[AwayTeam],$CV$30, Table2[ActualAwayScore],$CW40, Table2[ActualHomeScore],DC$31)+COUNTIFS(Table2[HomeTeam],$CV$30, Table2[ActualAwayScore],DC$31, Table2[ActualHomeScore],$CW40)</f>
        <v>0</v>
      </c>
      <c r="DD40" s="14">
        <f>COUNTIFS(Table2[AwayTeam],$CV$30, Table2[ActualAwayScore],$CW40, Table2[ActualHomeScore],DD$31)+COUNTIFS(Table2[HomeTeam],$CV$30, Table2[ActualAwayScore],DD$31, Table2[ActualHomeScore],$CW40)</f>
        <v>0</v>
      </c>
      <c r="DE40" s="14">
        <f>COUNTIFS(Table2[AwayTeam],$CV$30, Table2[ActualAwayScore],$CW40, Table2[ActualHomeScore],DE$31)+COUNTIFS(Table2[HomeTeam],$CV$30, Table2[ActualAwayScore],DE$31, Table2[ActualHomeScore],$CW40)</f>
        <v>0</v>
      </c>
      <c r="DF40" s="124"/>
      <c r="DG40" s="14">
        <f>(COUNTIFS(Table2[AwayTeam],$CV$30, Table2[ActualAwayScore],$CW40, Table2[ActualHomeScore],DG$31)+COUNTIFS(Table2[HomeTeam],$CV$30, Table2[ActualAwayScore],DG$31, Table2[ActualHomeScore],$CW40))*-1</f>
        <v>0</v>
      </c>
      <c r="DH40" s="125">
        <f>(COUNTIFS(Table2[AwayTeam],$CV$30, Table2[ActualAwayScore],$CW40, Table2[ActualHomeScore],DH$31)+COUNTIFS(Table2[HomeTeam],$CV$30,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0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COUNTIFS(Table2[AwayTeam],$CV$30, Table2[ActualAwayScore],$CW41, Table2[ActualHomeScore],CX$31)+COUNTIFS(Table2[HomeTeam],$CV$30, Table2[ActualAwayScore],CX$31, Table2[ActualHomeScore],$CW41)</f>
        <v>0</v>
      </c>
      <c r="CY41" s="14">
        <f>COUNTIFS(Table2[AwayTeam],"CGY", Table2[ActualAwayScore],$CW41, Table2[ActualHomeScore],CY$31)+COUNTIFS(Table2[HomeTeam],"CGY", Table2[ActualAwayScore],CY$31, Table2[ActualHomeScore],$CW41)</f>
        <v>0</v>
      </c>
      <c r="CZ41" s="14">
        <f>COUNTIFS(Table2[AwayTeam],$CV$30, Table2[ActualAwayScore],$CW41, Table2[ActualHomeScore],CZ$31)+COUNTIFS(Table2[HomeTeam],$CV$30, Table2[ActualAwayScore],CZ$31, Table2[ActualHomeScore],$CW41)</f>
        <v>0</v>
      </c>
      <c r="DA41" s="14">
        <f>COUNTIFS(Table2[AwayTeam],$CV$30, Table2[ActualAwayScore],$CW41, Table2[ActualHomeScore],DA$31)+COUNTIFS(Table2[HomeTeam],$CV$30, Table2[ActualAwayScore],DA$31, Table2[ActualHomeScore],$CW41)</f>
        <v>0</v>
      </c>
      <c r="DB41" s="14">
        <f>COUNTIFS(Table2[AwayTeam],$CV$30, Table2[ActualAwayScore],$CW41, Table2[ActualHomeScore],DB$31)+COUNTIFS(Table2[HomeTeam],$CV$30, Table2[ActualAwayScore],DB$31, Table2[ActualHomeScore],$CW41)</f>
        <v>0</v>
      </c>
      <c r="DC41" s="14">
        <f>COUNTIFS(Table2[AwayTeam],$CV$30, Table2[ActualAwayScore],$CW41, Table2[ActualHomeScore],DC$31)+COUNTIFS(Table2[HomeTeam],$CV$30, Table2[ActualAwayScore],DC$31, Table2[ActualHomeScore],$CW41)</f>
        <v>0</v>
      </c>
      <c r="DD41" s="14">
        <f>COUNTIFS(Table2[AwayTeam],$CV$30, Table2[ActualAwayScore],$CW41, Table2[ActualHomeScore],DD$31)+COUNTIFS(Table2[HomeTeam],$CV$30, Table2[ActualAwayScore],DD$31, Table2[ActualHomeScore],$CW41)</f>
        <v>0</v>
      </c>
      <c r="DE41" s="14">
        <f>COUNTIFS(Table2[AwayTeam],$CV$30, Table2[ActualAwayScore],$CW41, Table2[ActualHomeScore],DE$31)+COUNTIFS(Table2[HomeTeam],$CV$30, Table2[ActualAwayScore],DE$31, Table2[ActualHomeScore],$CW41)</f>
        <v>0</v>
      </c>
      <c r="DF41" s="14">
        <f>COUNTIFS(Table2[AwayTeam],$CV$30, Table2[ActualAwayScore],$CW41, Table2[ActualHomeScore],DF$31)+COUNTIFS(Table2[HomeTeam],$CV$30, Table2[ActualAwayScore],DF$31, Table2[ActualHomeScore],$CW41)</f>
        <v>0</v>
      </c>
      <c r="DG41" s="124"/>
      <c r="DH41" s="125">
        <f>(COUNTIFS(Table2[AwayTeam],$CV$30, Table2[ActualAwayScore],$CW41, Table2[ActualHomeScore],DH$31)+COUNTIFS(Table2[HomeTeam],$CV$30,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8">
        <f>COUNTIFS(Table2[AwayTeam],$CV$30, Table2[ActualAwayScore],$CW42, Table2[ActualHomeScore],CX$31)+COUNTIFS(Table2[HomeTeam],$CV$30, Table2[ActualAwayScore],CX$31, Table2[ActualHomeScore],$CW42)</f>
        <v>0</v>
      </c>
      <c r="CY42" s="128">
        <f>COUNTIFS(Table2[AwayTeam],"CGY", Table2[ActualAwayScore],$CW42, Table2[ActualHomeScore],CY$31)+COUNTIFS(Table2[HomeTeam],"CGY", Table2[ActualAwayScore],CY$31, Table2[ActualHomeScore],$CW42)</f>
        <v>0</v>
      </c>
      <c r="CZ42" s="128">
        <f>COUNTIFS(Table2[AwayTeam],$CV$30, Table2[ActualAwayScore],$CW42, Table2[ActualHomeScore],CZ$31)+COUNTIFS(Table2[HomeTeam],$CV$30, Table2[ActualAwayScore],CZ$31, Table2[ActualHomeScore],$CW42)</f>
        <v>0</v>
      </c>
      <c r="DA42" s="128">
        <f>COUNTIFS(Table2[AwayTeam],$CV$30, Table2[ActualAwayScore],$CW42, Table2[ActualHomeScore],DA$31)+COUNTIFS(Table2[HomeTeam],$CV$30, Table2[ActualAwayScore],DA$31, Table2[ActualHomeScore],$CW42)</f>
        <v>0</v>
      </c>
      <c r="DB42" s="128">
        <f>COUNTIFS(Table2[AwayTeam],$CV$30, Table2[ActualAwayScore],$CW42, Table2[ActualHomeScore],DB$31)+COUNTIFS(Table2[HomeTeam],$CV$30, Table2[ActualAwayScore],DB$31, Table2[ActualHomeScore],$CW42)</f>
        <v>0</v>
      </c>
      <c r="DC42" s="128">
        <f>COUNTIFS(Table2[AwayTeam],$CV$30, Table2[ActualAwayScore],$CW42, Table2[ActualHomeScore],DC$31)+COUNTIFS(Table2[HomeTeam],$CV$30, Table2[ActualAwayScore],DC$31, Table2[ActualHomeScore],$CW42)</f>
        <v>0</v>
      </c>
      <c r="DD42" s="128">
        <f>COUNTIFS(Table2[AwayTeam],$CV$30, Table2[ActualAwayScore],$CW42, Table2[ActualHomeScore],DD$31)+COUNTIFS(Table2[HomeTeam],$CV$30, Table2[ActualAwayScore],DD$31, Table2[ActualHomeScore],$CW42)</f>
        <v>0</v>
      </c>
      <c r="DE42" s="128">
        <f>COUNTIFS(Table2[AwayTeam],$CV$30, Table2[ActualAwayScore],$CW42, Table2[ActualHomeScore],DE$31)+COUNTIFS(Table2[HomeTeam],$CV$30, Table2[ActualAwayScore],DE$31, Table2[ActualHomeScore],$CW42)</f>
        <v>0</v>
      </c>
      <c r="DF42" s="128">
        <f>COUNTIFS(Table2[AwayTeam],$CV$30, Table2[ActualAwayScore],$CW42, Table2[ActualHomeScore],DF$31)+COUNTIFS(Table2[HomeTeam],$CV$30, Table2[ActualAwayScore],DF$31, Table2[ActualHomeScore],$CW42)</f>
        <v>0</v>
      </c>
      <c r="DG42" s="128">
        <f>COUNTIFS(Table2[AwayTeam],$CV$30, Table2[ActualAwayScore],$CW42, Table2[ActualHomeScore],DG$31)+COUNTIFS(Table2[HomeTeam],$CV$30,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28">ABS(CY32*CY18)</f>
        <v>0</v>
      </c>
      <c r="CZ46" s="131">
        <f t="shared" si="28"/>
        <v>0</v>
      </c>
      <c r="DA46" s="131">
        <f t="shared" si="28"/>
        <v>0</v>
      </c>
      <c r="DB46" s="131">
        <f t="shared" si="28"/>
        <v>0</v>
      </c>
      <c r="DC46" s="131">
        <f t="shared" si="28"/>
        <v>0</v>
      </c>
      <c r="DD46" s="131">
        <f t="shared" si="28"/>
        <v>0</v>
      </c>
      <c r="DE46" s="131">
        <f t="shared" si="28"/>
        <v>0</v>
      </c>
      <c r="DF46" s="131">
        <f t="shared" si="28"/>
        <v>0</v>
      </c>
      <c r="DG46" s="131">
        <f t="shared" si="28"/>
        <v>0</v>
      </c>
      <c r="DH46" s="132">
        <f t="shared" si="28"/>
        <v>0</v>
      </c>
      <c r="DI46" s="14"/>
      <c r="DJ46" s="126"/>
      <c r="DK46" s="125">
        <v>0</v>
      </c>
      <c r="DL46" s="127"/>
      <c r="DM46" s="131">
        <f t="shared" ref="DM46:DV46" si="29">ABS(DM32*CY18)</f>
        <v>0</v>
      </c>
      <c r="DN46" s="131">
        <f t="shared" si="29"/>
        <v>0</v>
      </c>
      <c r="DO46" s="131">
        <f t="shared" si="29"/>
        <v>0.60000000000000009</v>
      </c>
      <c r="DP46" s="131">
        <f t="shared" si="29"/>
        <v>0</v>
      </c>
      <c r="DQ46" s="131">
        <f t="shared" si="29"/>
        <v>0</v>
      </c>
      <c r="DR46" s="131">
        <f t="shared" si="29"/>
        <v>0</v>
      </c>
      <c r="DS46" s="131">
        <f t="shared" si="29"/>
        <v>0</v>
      </c>
      <c r="DT46" s="131">
        <f t="shared" si="29"/>
        <v>0</v>
      </c>
      <c r="DU46" s="131">
        <f t="shared" si="29"/>
        <v>0</v>
      </c>
      <c r="DV46" s="132">
        <f t="shared" si="29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30">ABS(CX33*CX19)</f>
        <v>0</v>
      </c>
      <c r="CY47" s="127"/>
      <c r="CZ47" s="131">
        <f t="shared" si="30"/>
        <v>0</v>
      </c>
      <c r="DA47" s="131">
        <f t="shared" si="30"/>
        <v>0</v>
      </c>
      <c r="DB47" s="131">
        <f t="shared" si="30"/>
        <v>0</v>
      </c>
      <c r="DC47" s="131">
        <f t="shared" si="30"/>
        <v>0</v>
      </c>
      <c r="DD47" s="131">
        <f t="shared" si="30"/>
        <v>0</v>
      </c>
      <c r="DE47" s="131">
        <f t="shared" si="30"/>
        <v>0</v>
      </c>
      <c r="DF47" s="131">
        <f t="shared" si="30"/>
        <v>0</v>
      </c>
      <c r="DG47" s="131">
        <f t="shared" si="30"/>
        <v>0</v>
      </c>
      <c r="DH47" s="132">
        <f t="shared" si="30"/>
        <v>0</v>
      </c>
      <c r="DI47" s="14"/>
      <c r="DJ47" s="126"/>
      <c r="DK47" s="125">
        <v>1</v>
      </c>
      <c r="DL47" s="131">
        <f t="shared" ref="DL47:DV47" si="31">ABS(DL33*CX19)</f>
        <v>0</v>
      </c>
      <c r="DM47" s="127"/>
      <c r="DN47" s="131">
        <f t="shared" si="31"/>
        <v>0</v>
      </c>
      <c r="DO47" s="131">
        <f t="shared" si="31"/>
        <v>0.75</v>
      </c>
      <c r="DP47" s="131">
        <f t="shared" si="31"/>
        <v>0.85000000000000009</v>
      </c>
      <c r="DQ47" s="131">
        <f t="shared" si="31"/>
        <v>0</v>
      </c>
      <c r="DR47" s="131">
        <f t="shared" si="31"/>
        <v>0</v>
      </c>
      <c r="DS47" s="131">
        <f t="shared" si="31"/>
        <v>0</v>
      </c>
      <c r="DT47" s="131">
        <f t="shared" si="31"/>
        <v>0</v>
      </c>
      <c r="DU47" s="131">
        <f t="shared" si="31"/>
        <v>0</v>
      </c>
      <c r="DV47" s="132">
        <f t="shared" si="31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32">ABS(CX34*CX20)</f>
        <v>0</v>
      </c>
      <c r="CY48" s="131">
        <f t="shared" si="32"/>
        <v>0</v>
      </c>
      <c r="CZ48" s="127"/>
      <c r="DA48" s="131">
        <f t="shared" si="32"/>
        <v>0</v>
      </c>
      <c r="DB48" s="131">
        <f t="shared" si="32"/>
        <v>0</v>
      </c>
      <c r="DC48" s="131">
        <f t="shared" si="32"/>
        <v>0</v>
      </c>
      <c r="DD48" s="131">
        <f t="shared" si="32"/>
        <v>0</v>
      </c>
      <c r="DE48" s="131">
        <f t="shared" si="32"/>
        <v>0</v>
      </c>
      <c r="DF48" s="131">
        <f t="shared" si="32"/>
        <v>0</v>
      </c>
      <c r="DG48" s="131">
        <f t="shared" si="32"/>
        <v>0</v>
      </c>
      <c r="DH48" s="132">
        <f t="shared" si="32"/>
        <v>0</v>
      </c>
      <c r="DI48" s="14"/>
      <c r="DJ48" s="126"/>
      <c r="DK48" s="125">
        <v>2</v>
      </c>
      <c r="DL48" s="131">
        <f t="shared" ref="DL48:DV48" si="33">ABS(DL34*CX20)</f>
        <v>0</v>
      </c>
      <c r="DM48" s="131">
        <f t="shared" si="33"/>
        <v>0</v>
      </c>
      <c r="DN48" s="127"/>
      <c r="DO48" s="131">
        <f t="shared" si="33"/>
        <v>0</v>
      </c>
      <c r="DP48" s="131">
        <f t="shared" si="33"/>
        <v>0</v>
      </c>
      <c r="DQ48" s="131">
        <f t="shared" si="33"/>
        <v>0</v>
      </c>
      <c r="DR48" s="131">
        <f t="shared" si="33"/>
        <v>0</v>
      </c>
      <c r="DS48" s="131">
        <f t="shared" si="33"/>
        <v>0</v>
      </c>
      <c r="DT48" s="131">
        <f t="shared" si="33"/>
        <v>0</v>
      </c>
      <c r="DU48" s="131">
        <f t="shared" si="33"/>
        <v>0</v>
      </c>
      <c r="DV48" s="132">
        <f t="shared" si="33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34">ABS(CX35*CX21)</f>
        <v>0</v>
      </c>
      <c r="CY49" s="131">
        <f t="shared" si="34"/>
        <v>0</v>
      </c>
      <c r="CZ49" s="131">
        <f t="shared" si="34"/>
        <v>0</v>
      </c>
      <c r="DA49" s="127"/>
      <c r="DB49" s="131">
        <f t="shared" si="34"/>
        <v>0</v>
      </c>
      <c r="DC49" s="131">
        <f t="shared" si="34"/>
        <v>0</v>
      </c>
      <c r="DD49" s="131">
        <f t="shared" si="34"/>
        <v>0</v>
      </c>
      <c r="DE49" s="131">
        <f t="shared" si="34"/>
        <v>0</v>
      </c>
      <c r="DF49" s="131">
        <f t="shared" si="34"/>
        <v>0</v>
      </c>
      <c r="DG49" s="131">
        <f t="shared" si="34"/>
        <v>0</v>
      </c>
      <c r="DH49" s="132">
        <f t="shared" si="34"/>
        <v>0</v>
      </c>
      <c r="DI49" s="14"/>
      <c r="DJ49" s="126"/>
      <c r="DK49" s="125">
        <v>3</v>
      </c>
      <c r="DL49" s="131">
        <f t="shared" ref="DL49:DV49" si="35">ABS(DL35*CX21)</f>
        <v>0</v>
      </c>
      <c r="DM49" s="131">
        <f t="shared" si="35"/>
        <v>0</v>
      </c>
      <c r="DN49" s="131">
        <f t="shared" si="35"/>
        <v>1.1499999999999999</v>
      </c>
      <c r="DO49" s="127"/>
      <c r="DP49" s="131">
        <f t="shared" si="35"/>
        <v>1.1499999999999999</v>
      </c>
      <c r="DQ49" s="131">
        <f t="shared" si="35"/>
        <v>0</v>
      </c>
      <c r="DR49" s="131">
        <f t="shared" si="35"/>
        <v>0</v>
      </c>
      <c r="DS49" s="131">
        <f t="shared" si="35"/>
        <v>0</v>
      </c>
      <c r="DT49" s="131">
        <f t="shared" si="35"/>
        <v>0</v>
      </c>
      <c r="DU49" s="131">
        <f t="shared" si="35"/>
        <v>0</v>
      </c>
      <c r="DV49" s="132">
        <f t="shared" si="35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36">ABS(CX36*CX22)</f>
        <v>0</v>
      </c>
      <c r="CY50" s="131">
        <f t="shared" si="36"/>
        <v>0</v>
      </c>
      <c r="CZ50" s="131">
        <f t="shared" si="36"/>
        <v>0</v>
      </c>
      <c r="DA50" s="131">
        <f t="shared" si="36"/>
        <v>1.4</v>
      </c>
      <c r="DB50" s="127"/>
      <c r="DC50" s="131">
        <f t="shared" si="36"/>
        <v>0</v>
      </c>
      <c r="DD50" s="131">
        <f t="shared" si="36"/>
        <v>0</v>
      </c>
      <c r="DE50" s="131">
        <f t="shared" si="36"/>
        <v>0</v>
      </c>
      <c r="DF50" s="131">
        <f t="shared" si="36"/>
        <v>0</v>
      </c>
      <c r="DG50" s="131">
        <f t="shared" si="36"/>
        <v>0</v>
      </c>
      <c r="DH50" s="132">
        <f t="shared" si="36"/>
        <v>0</v>
      </c>
      <c r="DI50" s="14"/>
      <c r="DJ50" s="126"/>
      <c r="DK50" s="125">
        <v>4</v>
      </c>
      <c r="DL50" s="131">
        <f t="shared" ref="DL50:DV50" si="37">ABS(DL36*CX22)</f>
        <v>0</v>
      </c>
      <c r="DM50" s="131">
        <f t="shared" si="37"/>
        <v>0</v>
      </c>
      <c r="DN50" s="131">
        <f t="shared" si="37"/>
        <v>0</v>
      </c>
      <c r="DO50" s="131">
        <f t="shared" si="37"/>
        <v>0</v>
      </c>
      <c r="DP50" s="127"/>
      <c r="DQ50" s="131">
        <f t="shared" si="37"/>
        <v>0</v>
      </c>
      <c r="DR50" s="131">
        <f t="shared" si="37"/>
        <v>0</v>
      </c>
      <c r="DS50" s="131">
        <f t="shared" si="37"/>
        <v>0</v>
      </c>
      <c r="DT50" s="131">
        <f t="shared" si="37"/>
        <v>0</v>
      </c>
      <c r="DU50" s="131">
        <f t="shared" si="37"/>
        <v>0</v>
      </c>
      <c r="DV50" s="132">
        <f t="shared" si="37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38">ABS(CX37*CX23)</f>
        <v>0</v>
      </c>
      <c r="CY51" s="131">
        <f t="shared" si="38"/>
        <v>0</v>
      </c>
      <c r="CZ51" s="131">
        <f t="shared" si="38"/>
        <v>0</v>
      </c>
      <c r="DA51" s="131">
        <f t="shared" si="38"/>
        <v>0</v>
      </c>
      <c r="DB51" s="131">
        <f t="shared" si="38"/>
        <v>0</v>
      </c>
      <c r="DC51" s="127"/>
      <c r="DD51" s="131">
        <f t="shared" si="38"/>
        <v>0</v>
      </c>
      <c r="DE51" s="131">
        <f t="shared" si="38"/>
        <v>0</v>
      </c>
      <c r="DF51" s="131">
        <f t="shared" si="38"/>
        <v>0</v>
      </c>
      <c r="DG51" s="131">
        <f t="shared" si="38"/>
        <v>0</v>
      </c>
      <c r="DH51" s="132">
        <f t="shared" si="38"/>
        <v>0</v>
      </c>
      <c r="DI51" s="14"/>
      <c r="DJ51" s="126"/>
      <c r="DK51" s="125">
        <v>5</v>
      </c>
      <c r="DL51" s="131">
        <f t="shared" ref="DL51:DV51" si="39">ABS(DL37*CX23)</f>
        <v>0</v>
      </c>
      <c r="DM51" s="131">
        <f t="shared" si="39"/>
        <v>0</v>
      </c>
      <c r="DN51" s="131">
        <f t="shared" si="39"/>
        <v>1.45</v>
      </c>
      <c r="DO51" s="131">
        <f t="shared" si="39"/>
        <v>0</v>
      </c>
      <c r="DP51" s="131">
        <f t="shared" si="39"/>
        <v>0</v>
      </c>
      <c r="DQ51" s="127"/>
      <c r="DR51" s="131">
        <f t="shared" si="39"/>
        <v>1.6500000000000001</v>
      </c>
      <c r="DS51" s="131">
        <f t="shared" si="39"/>
        <v>0</v>
      </c>
      <c r="DT51" s="131">
        <f t="shared" si="39"/>
        <v>0</v>
      </c>
      <c r="DU51" s="131">
        <f t="shared" si="39"/>
        <v>0</v>
      </c>
      <c r="DV51" s="132">
        <f t="shared" si="39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40">ABS(CX38*CX24)</f>
        <v>0</v>
      </c>
      <c r="CY52" s="131">
        <f t="shared" si="40"/>
        <v>0</v>
      </c>
      <c r="CZ52" s="131">
        <f t="shared" si="40"/>
        <v>0</v>
      </c>
      <c r="DA52" s="131">
        <f t="shared" si="40"/>
        <v>0</v>
      </c>
      <c r="DB52" s="131">
        <f t="shared" si="40"/>
        <v>0</v>
      </c>
      <c r="DC52" s="131">
        <f t="shared" si="40"/>
        <v>0</v>
      </c>
      <c r="DD52" s="127"/>
      <c r="DE52" s="131">
        <f t="shared" si="40"/>
        <v>0</v>
      </c>
      <c r="DF52" s="131">
        <f t="shared" si="40"/>
        <v>0</v>
      </c>
      <c r="DG52" s="131">
        <f t="shared" si="40"/>
        <v>0</v>
      </c>
      <c r="DH52" s="132">
        <f t="shared" si="40"/>
        <v>0</v>
      </c>
      <c r="DI52" s="14"/>
      <c r="DJ52" s="126"/>
      <c r="DK52" s="125">
        <v>6</v>
      </c>
      <c r="DL52" s="131">
        <f t="shared" ref="DL52:DV52" si="41">ABS(DL38*CX24)</f>
        <v>0</v>
      </c>
      <c r="DM52" s="131">
        <f t="shared" si="41"/>
        <v>0</v>
      </c>
      <c r="DN52" s="131">
        <f t="shared" si="41"/>
        <v>0</v>
      </c>
      <c r="DO52" s="131">
        <f t="shared" si="41"/>
        <v>0</v>
      </c>
      <c r="DP52" s="131">
        <f t="shared" si="41"/>
        <v>0</v>
      </c>
      <c r="DQ52" s="131">
        <f t="shared" si="41"/>
        <v>0</v>
      </c>
      <c r="DR52" s="127"/>
      <c r="DS52" s="131">
        <f t="shared" si="41"/>
        <v>0</v>
      </c>
      <c r="DT52" s="131">
        <f t="shared" si="41"/>
        <v>0</v>
      </c>
      <c r="DU52" s="131">
        <f t="shared" si="41"/>
        <v>0</v>
      </c>
      <c r="DV52" s="132">
        <f t="shared" si="41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42">ABS(CX39*CX25)</f>
        <v>0</v>
      </c>
      <c r="CY53" s="131">
        <f t="shared" si="42"/>
        <v>0</v>
      </c>
      <c r="CZ53" s="131">
        <f t="shared" si="42"/>
        <v>0</v>
      </c>
      <c r="DA53" s="131">
        <f t="shared" si="42"/>
        <v>0</v>
      </c>
      <c r="DB53" s="131">
        <f t="shared" si="42"/>
        <v>0</v>
      </c>
      <c r="DC53" s="131">
        <f t="shared" si="42"/>
        <v>0</v>
      </c>
      <c r="DD53" s="131">
        <f t="shared" si="42"/>
        <v>0</v>
      </c>
      <c r="DE53" s="127"/>
      <c r="DF53" s="131">
        <f t="shared" si="42"/>
        <v>0</v>
      </c>
      <c r="DG53" s="131">
        <f t="shared" si="42"/>
        <v>0</v>
      </c>
      <c r="DH53" s="132">
        <f t="shared" si="42"/>
        <v>0</v>
      </c>
      <c r="DI53" s="14"/>
      <c r="DJ53" s="126"/>
      <c r="DK53" s="125">
        <v>7</v>
      </c>
      <c r="DL53" s="131">
        <f t="shared" ref="DL53:DV53" si="43">ABS(DL39*CX25)</f>
        <v>0</v>
      </c>
      <c r="DM53" s="131">
        <f t="shared" si="43"/>
        <v>0</v>
      </c>
      <c r="DN53" s="131">
        <f t="shared" si="43"/>
        <v>0</v>
      </c>
      <c r="DO53" s="131">
        <f t="shared" si="43"/>
        <v>0</v>
      </c>
      <c r="DP53" s="131">
        <f t="shared" si="43"/>
        <v>0</v>
      </c>
      <c r="DQ53" s="131">
        <f t="shared" si="43"/>
        <v>0</v>
      </c>
      <c r="DR53" s="131">
        <f t="shared" si="43"/>
        <v>0</v>
      </c>
      <c r="DS53" s="127"/>
      <c r="DT53" s="131">
        <f t="shared" si="43"/>
        <v>0</v>
      </c>
      <c r="DU53" s="131">
        <f t="shared" si="43"/>
        <v>0</v>
      </c>
      <c r="DV53" s="132">
        <f t="shared" si="43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44">ABS(CX40*CX26)</f>
        <v>0</v>
      </c>
      <c r="CY54" s="131">
        <f t="shared" si="44"/>
        <v>0</v>
      </c>
      <c r="CZ54" s="131">
        <f t="shared" si="44"/>
        <v>0</v>
      </c>
      <c r="DA54" s="131">
        <f t="shared" si="44"/>
        <v>0</v>
      </c>
      <c r="DB54" s="131">
        <f t="shared" si="44"/>
        <v>0</v>
      </c>
      <c r="DC54" s="131">
        <f t="shared" si="44"/>
        <v>0</v>
      </c>
      <c r="DD54" s="131">
        <f t="shared" si="44"/>
        <v>0</v>
      </c>
      <c r="DE54" s="131">
        <f t="shared" si="44"/>
        <v>0</v>
      </c>
      <c r="DF54" s="127"/>
      <c r="DG54" s="131">
        <f t="shared" si="44"/>
        <v>0</v>
      </c>
      <c r="DH54" s="132">
        <f t="shared" si="44"/>
        <v>0</v>
      </c>
      <c r="DI54" s="14"/>
      <c r="DJ54" s="126"/>
      <c r="DK54" s="125">
        <v>8</v>
      </c>
      <c r="DL54" s="131">
        <f t="shared" ref="DL54:DV54" si="45">ABS(DL40*CX26)</f>
        <v>0</v>
      </c>
      <c r="DM54" s="131">
        <f t="shared" si="45"/>
        <v>0</v>
      </c>
      <c r="DN54" s="131">
        <f t="shared" si="45"/>
        <v>0</v>
      </c>
      <c r="DO54" s="131">
        <f t="shared" si="45"/>
        <v>0</v>
      </c>
      <c r="DP54" s="131">
        <f t="shared" si="45"/>
        <v>0</v>
      </c>
      <c r="DQ54" s="131">
        <f t="shared" si="45"/>
        <v>0</v>
      </c>
      <c r="DR54" s="131">
        <f t="shared" si="45"/>
        <v>0</v>
      </c>
      <c r="DS54" s="131">
        <f t="shared" si="45"/>
        <v>0</v>
      </c>
      <c r="DT54" s="127"/>
      <c r="DU54" s="131">
        <f t="shared" si="45"/>
        <v>0</v>
      </c>
      <c r="DV54" s="132">
        <f t="shared" si="45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46">ABS(CX41*CX27)</f>
        <v>0</v>
      </c>
      <c r="CY55" s="131">
        <f t="shared" si="46"/>
        <v>0</v>
      </c>
      <c r="CZ55" s="131">
        <f t="shared" si="46"/>
        <v>0</v>
      </c>
      <c r="DA55" s="131">
        <f t="shared" si="46"/>
        <v>0</v>
      </c>
      <c r="DB55" s="131">
        <f t="shared" si="46"/>
        <v>0</v>
      </c>
      <c r="DC55" s="131">
        <f t="shared" si="46"/>
        <v>0</v>
      </c>
      <c r="DD55" s="131">
        <f t="shared" si="46"/>
        <v>0</v>
      </c>
      <c r="DE55" s="131">
        <f t="shared" si="46"/>
        <v>0</v>
      </c>
      <c r="DF55" s="131">
        <f t="shared" si="46"/>
        <v>0</v>
      </c>
      <c r="DG55" s="127"/>
      <c r="DH55" s="132">
        <f t="shared" si="46"/>
        <v>0</v>
      </c>
      <c r="DI55" s="14"/>
      <c r="DJ55" s="126"/>
      <c r="DK55" s="125">
        <v>9</v>
      </c>
      <c r="DL55" s="131">
        <f t="shared" ref="DL55:DV55" si="47">ABS(DL41*CX27)</f>
        <v>0</v>
      </c>
      <c r="DM55" s="131">
        <f t="shared" si="47"/>
        <v>0</v>
      </c>
      <c r="DN55" s="131">
        <f t="shared" si="47"/>
        <v>0</v>
      </c>
      <c r="DO55" s="131">
        <f t="shared" si="47"/>
        <v>0</v>
      </c>
      <c r="DP55" s="131">
        <f t="shared" si="47"/>
        <v>0</v>
      </c>
      <c r="DQ55" s="131">
        <f t="shared" si="47"/>
        <v>0</v>
      </c>
      <c r="DR55" s="131">
        <f t="shared" si="47"/>
        <v>0</v>
      </c>
      <c r="DS55" s="131">
        <f t="shared" si="47"/>
        <v>0</v>
      </c>
      <c r="DT55" s="131">
        <f t="shared" si="47"/>
        <v>0</v>
      </c>
      <c r="DU55" s="127"/>
      <c r="DV55" s="132">
        <f t="shared" si="47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48">ABS(CX42*CX28)</f>
        <v>0</v>
      </c>
      <c r="CY56" s="133">
        <f t="shared" si="48"/>
        <v>0</v>
      </c>
      <c r="CZ56" s="133">
        <f t="shared" si="48"/>
        <v>0</v>
      </c>
      <c r="DA56" s="133">
        <f t="shared" si="48"/>
        <v>0</v>
      </c>
      <c r="DB56" s="133">
        <f t="shared" si="48"/>
        <v>0</v>
      </c>
      <c r="DC56" s="133">
        <f t="shared" si="48"/>
        <v>0</v>
      </c>
      <c r="DD56" s="133">
        <f t="shared" si="48"/>
        <v>0</v>
      </c>
      <c r="DE56" s="133">
        <f t="shared" si="48"/>
        <v>0</v>
      </c>
      <c r="DF56" s="133">
        <f t="shared" si="48"/>
        <v>0</v>
      </c>
      <c r="DG56" s="133">
        <f t="shared" si="48"/>
        <v>0</v>
      </c>
      <c r="DH56" s="134"/>
      <c r="DI56" s="14"/>
      <c r="DJ56" s="122"/>
      <c r="DK56" s="123">
        <v>10</v>
      </c>
      <c r="DL56" s="131">
        <f t="shared" ref="DL56:DU56" si="49">ABS(DL42*CX28)</f>
        <v>0</v>
      </c>
      <c r="DM56" s="131">
        <f t="shared" si="49"/>
        <v>0</v>
      </c>
      <c r="DN56" s="131">
        <f t="shared" si="49"/>
        <v>0</v>
      </c>
      <c r="DO56" s="131">
        <f t="shared" si="49"/>
        <v>0</v>
      </c>
      <c r="DP56" s="131">
        <f t="shared" si="49"/>
        <v>0</v>
      </c>
      <c r="DQ56" s="131">
        <f t="shared" si="49"/>
        <v>0</v>
      </c>
      <c r="DR56" s="131">
        <f t="shared" si="49"/>
        <v>0</v>
      </c>
      <c r="DS56" s="131">
        <f t="shared" si="49"/>
        <v>0</v>
      </c>
      <c r="DT56" s="131">
        <f t="shared" si="49"/>
        <v>0</v>
      </c>
      <c r="DU56" s="131">
        <f t="shared" si="49"/>
        <v>0</v>
      </c>
      <c r="DV56" s="127"/>
    </row>
    <row r="57" spans="96:127" ht="16.5" thickTop="1" thickBot="1" x14ac:dyDescent="0.3">
      <c r="CR57" t="str">
        <v/>
      </c>
      <c r="DI57" s="88">
        <f>SUM(CX46:DH56)</f>
        <v>1.4</v>
      </c>
      <c r="DW57" s="88">
        <f>SUM(DL46:DV56)</f>
        <v>7.6000000000000005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0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59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142" priority="3">
      <formula>LEN(TRIM(CC2))=0</formula>
    </cfRule>
  </conditionalFormatting>
  <conditionalFormatting sqref="CD2:CD33">
    <cfRule type="containsBlanks" dxfId="141" priority="2">
      <formula>LEN(TRIM(CD2))=0</formula>
    </cfRule>
  </conditionalFormatting>
  <conditionalFormatting sqref="CX18:DH28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0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1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0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0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0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0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0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0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2</v>
      </c>
      <c r="E3" s="62">
        <f>INDEX(Table3[PTS], MATCH(Table6[[#This Row],[Teams]], Table3[Teams],0))</f>
        <v>2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2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0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0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0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0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0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0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0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0</v>
      </c>
      <c r="E4" s="62">
        <f>INDEX(Table3[PTS], MATCH(Table6[[#This Row],[Teams]], Table3[Teams],0))</f>
        <v>0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1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0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0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0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0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0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0</v>
      </c>
      <c r="E5" s="62">
        <f>INDEX(Table3[PTS], MATCH(Table6[[#This Row],[Teams]], Table3[Teams],0))</f>
        <v>0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2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0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0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0</v>
      </c>
      <c r="E6" s="62">
        <f>INDEX(Table3[PTS], MATCH(Table6[[#This Row],[Teams]], Table3[Teams],0))</f>
        <v>0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0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0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0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0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0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0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2</v>
      </c>
      <c r="E7" s="62">
        <f>INDEX(Table3[PTS], MATCH(Table6[[#This Row],[Teams]], Table3[Teams],0))</f>
        <v>2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0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0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0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0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0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0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0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0</v>
      </c>
      <c r="E8" s="62">
        <f>INDEX(Table3[PTS], MATCH(Table6[[#This Row],[Teams]], Table3[Teams],0))</f>
        <v>0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0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0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0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0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0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0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0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0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2</v>
      </c>
      <c r="E9" s="62">
        <f>INDEX(Table3[PTS], MATCH(Table6[[#This Row],[Teams]], Table3[Teams],0))</f>
        <v>2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0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0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0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0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0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0</v>
      </c>
      <c r="E10" s="62">
        <f>INDEX(Table3[PTS], MATCH(Table6[[#This Row],[Teams]], Table3[Teams],0))</f>
        <v>0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0</v>
      </c>
      <c r="E11" s="62">
        <f>INDEX(Table3[PTS], MATCH(Table6[[#This Row],[Teams]], Table3[Teams],0))</f>
        <v>0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1</v>
      </c>
      <c r="E12" s="62">
        <f>INDEX(Table3[PTS], MATCH(Table6[[#This Row],[Teams]], Table3[Teams],0))</f>
        <v>1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0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0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0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0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0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0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0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2</v>
      </c>
      <c r="E13" s="62">
        <f>INDEX(Table3[PTS], MATCH(Table6[[#This Row],[Teams]], Table3[Teams],0))</f>
        <v>2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0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0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0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0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0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0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0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0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2</v>
      </c>
      <c r="E14" s="62">
        <f>INDEX(Table3[PTS], MATCH(Table6[[#This Row],[Teams]], Table3[Teams],0))</f>
        <v>2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2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0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0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0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0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0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0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0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0</v>
      </c>
      <c r="E15" s="62">
        <f>INDEX(Table3[PTS], MATCH(Table6[[#This Row],[Teams]], Table3[Teams],0))</f>
        <v>0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0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0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0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0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0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0</v>
      </c>
      <c r="E16" s="62">
        <f>INDEX(Table3[PTS], MATCH(Table6[[#This Row],[Teams]], Table3[Teams],0))</f>
        <v>0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0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0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0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0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0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0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0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0</v>
      </c>
      <c r="E17" s="62">
        <f>INDEX(Table3[PTS], MATCH(Table6[[#This Row],[Teams]], Table3[Teams],0))</f>
        <v>0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0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0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0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0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0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0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0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0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0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0</v>
      </c>
      <c r="E18" s="62">
        <f>INDEX(Table3[PTS], MATCH(Table6[[#This Row],[Teams]], Table3[Teams],0))</f>
        <v>0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0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0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0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0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0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0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0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0</v>
      </c>
      <c r="E19" s="62">
        <f>INDEX(Table3[PTS], MATCH(Table6[[#This Row],[Teams]], Table3[Teams],0))</f>
        <v>0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0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0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0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0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0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0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0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0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0</v>
      </c>
      <c r="E20" s="62">
        <f>INDEX(Table3[PTS], MATCH(Table6[[#This Row],[Teams]], Table3[Teams],0))</f>
        <v>0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0</v>
      </c>
      <c r="E21" s="62">
        <f>INDEX(Table3[PTS], MATCH(Table6[[#This Row],[Teams]], Table3[Teams],0))</f>
        <v>0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0</v>
      </c>
      <c r="E22" s="62">
        <f>INDEX(Table3[PTS], MATCH(Table6[[#This Row],[Teams]], Table3[Teams],0))</f>
        <v>0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0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0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0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0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0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0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0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2</v>
      </c>
      <c r="E23" s="62">
        <f>INDEX(Table3[PTS], MATCH(Table6[[#This Row],[Teams]], Table3[Teams],0))</f>
        <v>2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0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0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0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0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0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0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0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0</v>
      </c>
      <c r="E24" s="62">
        <f>INDEX(Table3[PTS], MATCH(Table6[[#This Row],[Teams]], Table3[Teams],0))</f>
        <v>0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0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0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0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0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0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0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0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0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0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0</v>
      </c>
      <c r="E25" s="62">
        <f>INDEX(Table3[PTS], MATCH(Table6[[#This Row],[Teams]], Table3[Teams],0))</f>
        <v>0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0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0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0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0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0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0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0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0</v>
      </c>
      <c r="E26" s="62">
        <f>INDEX(Table3[PTS], MATCH(Table6[[#This Row],[Teams]], Table3[Teams],0))</f>
        <v>0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0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0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0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0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0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0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0</v>
      </c>
      <c r="E27" s="62">
        <f>INDEX(Table3[PTS], MATCH(Table6[[#This Row],[Teams]], Table3[Teams],0))</f>
        <v>0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0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0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0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0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0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0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2</v>
      </c>
      <c r="E28" s="62">
        <f>INDEX(Table3[PTS], MATCH(Table6[[#This Row],[Teams]], Table3[Teams],0))</f>
        <v>2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2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0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0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0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0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0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0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0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0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0</v>
      </c>
      <c r="E29" s="62">
        <f>INDEX(Table3[PTS], MATCH(Table6[[#This Row],[Teams]], Table3[Teams],0))</f>
        <v>0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0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0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0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0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0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0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0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0</v>
      </c>
      <c r="E30" s="62">
        <f>INDEX(Table3[PTS], MATCH(Table6[[#This Row],[Teams]], Table3[Teams],0))</f>
        <v>0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1</v>
      </c>
      <c r="E31" s="62">
        <f>INDEX(Table3[PTS], MATCH(Table6[[#This Row],[Teams]], Table3[Teams],0))</f>
        <v>1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0</v>
      </c>
      <c r="E32" s="62">
        <f>INDEX(Table3[PTS], MATCH(Table6[[#This Row],[Teams]], Table3[Teams],0))</f>
        <v>0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2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0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0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0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0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0</v>
      </c>
      <c r="E33" s="116">
        <f>INDEX(Table3[PTS], MATCH(Table6[[#This Row],[Teams]], Table3[Teams],0))</f>
        <v>0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0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0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0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0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0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2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0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0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0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0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0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0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0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0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0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0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0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0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0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0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0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0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0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0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0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0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0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0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0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0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0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0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0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2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2</v>
      </c>
    </row>
    <row r="42" spans="1:53" x14ac:dyDescent="0.25">
      <c r="U42" cm="1">
        <f t="array" ref="U42">SMALL(U35:U39 + U25:U29,5)</f>
        <v>2</v>
      </c>
    </row>
    <row r="44" spans="1:53" x14ac:dyDescent="0.25">
      <c r="U44">
        <f>LARGE(_xlfn._xlws.SORT(_xlfn.VSTACK(U35:U39,U25:U29),1,-1), 1)</f>
        <v>2</v>
      </c>
    </row>
    <row r="45" spans="1:53" x14ac:dyDescent="0.25">
      <c r="U45">
        <f>LARGE(_xlfn._xlws.SORT(_xlfn.VSTACK(U35:U39,U25:U29),1,-1), 2)</f>
        <v>2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AC61">
        <v>0</v>
      </c>
      <c r="AF61">
        <v>0</v>
      </c>
      <c r="AG61">
        <v>0</v>
      </c>
    </row>
    <row r="62" spans="19:33" x14ac:dyDescent="0.25">
      <c r="S62" s="119" t="s">
        <v>15</v>
      </c>
      <c r="U62">
        <v>2</v>
      </c>
      <c r="V62">
        <v>2</v>
      </c>
      <c r="AG62">
        <v>2</v>
      </c>
    </row>
    <row r="63" spans="19:33" x14ac:dyDescent="0.25">
      <c r="S63" s="119" t="s">
        <v>28</v>
      </c>
      <c r="T63">
        <v>0</v>
      </c>
      <c r="V63">
        <v>0</v>
      </c>
      <c r="AG63">
        <v>0</v>
      </c>
    </row>
    <row r="64" spans="19:33" x14ac:dyDescent="0.25">
      <c r="S64" s="119" t="s">
        <v>41</v>
      </c>
      <c r="Z64">
        <v>0</v>
      </c>
      <c r="AB64">
        <v>0</v>
      </c>
      <c r="AG64">
        <v>0</v>
      </c>
    </row>
    <row r="65" spans="19:33" x14ac:dyDescent="0.25">
      <c r="S65" s="119" t="s">
        <v>35</v>
      </c>
      <c r="Z65">
        <v>0</v>
      </c>
      <c r="AB65">
        <v>0</v>
      </c>
      <c r="AG65">
        <v>0</v>
      </c>
    </row>
    <row r="66" spans="19:33" x14ac:dyDescent="0.25">
      <c r="S66" s="119" t="s">
        <v>23</v>
      </c>
      <c r="AD66">
        <v>2</v>
      </c>
      <c r="AF66">
        <v>2</v>
      </c>
      <c r="AG66">
        <v>2</v>
      </c>
    </row>
    <row r="67" spans="19:33" x14ac:dyDescent="0.25">
      <c r="S67" s="119" t="s">
        <v>16</v>
      </c>
      <c r="W67">
        <v>0</v>
      </c>
      <c r="Y67">
        <v>0</v>
      </c>
      <c r="AG67">
        <v>0</v>
      </c>
    </row>
    <row r="68" spans="19:33" x14ac:dyDescent="0.25">
      <c r="S68" s="119" t="s">
        <v>25</v>
      </c>
      <c r="X68">
        <v>2</v>
      </c>
      <c r="Y68">
        <v>2</v>
      </c>
      <c r="AG68">
        <v>2</v>
      </c>
    </row>
    <row r="69" spans="19:33" x14ac:dyDescent="0.25">
      <c r="S69" s="119" t="s">
        <v>33</v>
      </c>
      <c r="W69">
        <v>0</v>
      </c>
      <c r="Y69">
        <v>0</v>
      </c>
      <c r="AG69">
        <v>0</v>
      </c>
    </row>
    <row r="70" spans="19:33" x14ac:dyDescent="0.25">
      <c r="S70" s="119" t="s">
        <v>30</v>
      </c>
      <c r="T70">
        <v>0</v>
      </c>
      <c r="V70">
        <v>0</v>
      </c>
      <c r="AG70">
        <v>0</v>
      </c>
    </row>
    <row r="71" spans="19:33" x14ac:dyDescent="0.25">
      <c r="S71" s="119" t="s">
        <v>22</v>
      </c>
      <c r="AE71">
        <v>1</v>
      </c>
      <c r="AF71">
        <v>1</v>
      </c>
      <c r="AG71">
        <v>1</v>
      </c>
    </row>
    <row r="72" spans="19:33" x14ac:dyDescent="0.25">
      <c r="S72" s="119" t="s">
        <v>13</v>
      </c>
      <c r="U72">
        <v>2</v>
      </c>
      <c r="V72">
        <v>2</v>
      </c>
      <c r="AG72">
        <v>2</v>
      </c>
    </row>
    <row r="73" spans="19:33" x14ac:dyDescent="0.25">
      <c r="S73" s="119" t="s">
        <v>27</v>
      </c>
      <c r="AD73">
        <v>2</v>
      </c>
      <c r="AF73">
        <v>2</v>
      </c>
      <c r="AG73">
        <v>2</v>
      </c>
    </row>
    <row r="74" spans="19:33" x14ac:dyDescent="0.25">
      <c r="S74" s="119" t="s">
        <v>36</v>
      </c>
      <c r="W74">
        <v>0</v>
      </c>
      <c r="Y74">
        <v>0</v>
      </c>
      <c r="AG74">
        <v>0</v>
      </c>
    </row>
    <row r="75" spans="19:33" x14ac:dyDescent="0.25">
      <c r="S75" s="119" t="s">
        <v>18</v>
      </c>
      <c r="T75">
        <v>0</v>
      </c>
      <c r="V75">
        <v>0</v>
      </c>
      <c r="AG75">
        <v>0</v>
      </c>
    </row>
    <row r="76" spans="19:33" x14ac:dyDescent="0.25">
      <c r="S76" s="119" t="s">
        <v>31</v>
      </c>
      <c r="Z76">
        <v>0</v>
      </c>
      <c r="AB76">
        <v>0</v>
      </c>
      <c r="AG76">
        <v>0</v>
      </c>
    </row>
    <row r="77" spans="19:33" x14ac:dyDescent="0.25">
      <c r="S77" s="119" t="s">
        <v>34</v>
      </c>
      <c r="W77">
        <v>0</v>
      </c>
      <c r="Y77">
        <v>0</v>
      </c>
      <c r="AG77">
        <v>0</v>
      </c>
    </row>
    <row r="78" spans="19:33" x14ac:dyDescent="0.25">
      <c r="S78" s="119" t="s">
        <v>32</v>
      </c>
      <c r="Z78">
        <v>0</v>
      </c>
      <c r="AB78">
        <v>0</v>
      </c>
      <c r="AG78">
        <v>0</v>
      </c>
    </row>
    <row r="79" spans="19:33" x14ac:dyDescent="0.25">
      <c r="S79" s="119" t="s">
        <v>19</v>
      </c>
      <c r="Z79">
        <v>0</v>
      </c>
      <c r="AB79">
        <v>0</v>
      </c>
      <c r="AG79">
        <v>0</v>
      </c>
    </row>
    <row r="80" spans="19:33" x14ac:dyDescent="0.25">
      <c r="S80" s="119" t="s">
        <v>29</v>
      </c>
      <c r="T80">
        <v>0</v>
      </c>
      <c r="V80">
        <v>0</v>
      </c>
      <c r="AG80">
        <v>0</v>
      </c>
    </row>
    <row r="81" spans="19:33" x14ac:dyDescent="0.25">
      <c r="S81" s="119" t="s">
        <v>42</v>
      </c>
      <c r="Z81">
        <v>0</v>
      </c>
      <c r="AB81">
        <v>0</v>
      </c>
      <c r="AG81">
        <v>0</v>
      </c>
    </row>
    <row r="82" spans="19:33" x14ac:dyDescent="0.25">
      <c r="S82" s="119" t="s">
        <v>20</v>
      </c>
      <c r="AA82">
        <v>2</v>
      </c>
      <c r="AB82">
        <v>2</v>
      </c>
      <c r="AG82">
        <v>2</v>
      </c>
    </row>
    <row r="83" spans="19:33" x14ac:dyDescent="0.25">
      <c r="S83" s="119" t="s">
        <v>11</v>
      </c>
      <c r="AC83">
        <v>0</v>
      </c>
      <c r="AF83">
        <v>0</v>
      </c>
      <c r="AG83">
        <v>0</v>
      </c>
    </row>
    <row r="84" spans="19:33" x14ac:dyDescent="0.25">
      <c r="S84" s="119" t="s">
        <v>37</v>
      </c>
      <c r="AC84">
        <v>0</v>
      </c>
      <c r="AF84">
        <v>0</v>
      </c>
      <c r="AG84">
        <v>0</v>
      </c>
    </row>
    <row r="85" spans="19:33" x14ac:dyDescent="0.25">
      <c r="S85" s="119" t="s">
        <v>12</v>
      </c>
      <c r="W85">
        <v>0</v>
      </c>
      <c r="Y85">
        <v>0</v>
      </c>
      <c r="AG85">
        <v>0</v>
      </c>
    </row>
    <row r="86" spans="19:33" x14ac:dyDescent="0.25">
      <c r="S86" s="119" t="s">
        <v>40</v>
      </c>
      <c r="T86">
        <v>0</v>
      </c>
      <c r="V86">
        <v>0</v>
      </c>
      <c r="AG86">
        <v>0</v>
      </c>
    </row>
    <row r="87" spans="19:33" x14ac:dyDescent="0.25">
      <c r="S87" s="119" t="s">
        <v>17</v>
      </c>
      <c r="U87">
        <v>2</v>
      </c>
      <c r="V87">
        <v>2</v>
      </c>
      <c r="AG87">
        <v>2</v>
      </c>
    </row>
    <row r="88" spans="19:33" x14ac:dyDescent="0.25">
      <c r="S88" s="119" t="s">
        <v>14</v>
      </c>
      <c r="W88">
        <v>0</v>
      </c>
      <c r="Y88">
        <v>0</v>
      </c>
      <c r="AG88">
        <v>0</v>
      </c>
    </row>
    <row r="89" spans="19:33" x14ac:dyDescent="0.25">
      <c r="S89" s="119" t="s">
        <v>24</v>
      </c>
      <c r="AC89">
        <v>0</v>
      </c>
      <c r="AF89">
        <v>0</v>
      </c>
      <c r="AG89">
        <v>0</v>
      </c>
    </row>
    <row r="90" spans="19:33" x14ac:dyDescent="0.25">
      <c r="S90" s="119" t="s">
        <v>26</v>
      </c>
      <c r="AE90">
        <v>1</v>
      </c>
      <c r="AF90">
        <v>1</v>
      </c>
      <c r="AG90">
        <v>1</v>
      </c>
    </row>
    <row r="91" spans="19:33" x14ac:dyDescent="0.25">
      <c r="S91" s="119" t="s">
        <v>21</v>
      </c>
      <c r="W91">
        <v>0</v>
      </c>
      <c r="Y91">
        <v>0</v>
      </c>
      <c r="AG91">
        <v>0</v>
      </c>
    </row>
    <row r="92" spans="19:33" x14ac:dyDescent="0.25">
      <c r="S92" s="119" t="s">
        <v>43</v>
      </c>
      <c r="Z92">
        <v>0</v>
      </c>
      <c r="AB92">
        <v>0</v>
      </c>
      <c r="AG92">
        <v>0</v>
      </c>
    </row>
    <row r="93" spans="19:33" x14ac:dyDescent="0.25">
      <c r="S93" s="119" t="s">
        <v>515</v>
      </c>
      <c r="T93">
        <v>0</v>
      </c>
      <c r="U93">
        <v>6</v>
      </c>
      <c r="V93">
        <v>6</v>
      </c>
      <c r="W93">
        <v>0</v>
      </c>
      <c r="X93">
        <v>2</v>
      </c>
      <c r="Y93">
        <v>2</v>
      </c>
      <c r="Z93">
        <v>0</v>
      </c>
      <c r="AA93">
        <v>2</v>
      </c>
      <c r="AB93">
        <v>2</v>
      </c>
      <c r="AC93">
        <v>0</v>
      </c>
      <c r="AD93">
        <v>4</v>
      </c>
      <c r="AE93">
        <v>2</v>
      </c>
      <c r="AF93">
        <v>6</v>
      </c>
      <c r="AG93">
        <v>16</v>
      </c>
    </row>
  </sheetData>
  <phoneticPr fontId="1" type="noConversion"/>
  <conditionalFormatting sqref="U2:U9">
    <cfRule type="top10" dxfId="140" priority="4" rank="3"/>
  </conditionalFormatting>
  <conditionalFormatting sqref="U12:U19">
    <cfRule type="top10" dxfId="139" priority="3" rank="3"/>
  </conditionalFormatting>
  <conditionalFormatting sqref="U22:U29">
    <cfRule type="top10" dxfId="138" priority="2" rank="3"/>
  </conditionalFormatting>
  <conditionalFormatting sqref="U32:U39">
    <cfRule type="top10" dxfId="137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63" t="s">
        <v>44</v>
      </c>
      <c r="D1" s="164"/>
      <c r="E1" s="163" t="s">
        <v>23</v>
      </c>
      <c r="F1" s="164"/>
      <c r="G1" s="163" t="s">
        <v>22</v>
      </c>
      <c r="H1" s="164"/>
      <c r="I1" s="163" t="s">
        <v>27</v>
      </c>
      <c r="J1" s="164"/>
      <c r="K1" s="163" t="s">
        <v>11</v>
      </c>
      <c r="L1" s="164"/>
      <c r="M1" s="163" t="s">
        <v>37</v>
      </c>
      <c r="N1" s="164"/>
      <c r="O1" s="163" t="s">
        <v>24</v>
      </c>
      <c r="P1" s="164"/>
      <c r="Q1" s="163" t="s">
        <v>26</v>
      </c>
      <c r="R1" s="171"/>
      <c r="S1" s="163" t="s">
        <v>16</v>
      </c>
      <c r="T1" s="164"/>
      <c r="U1" s="163" t="s">
        <v>25</v>
      </c>
      <c r="V1" s="164"/>
      <c r="W1" s="163" t="s">
        <v>33</v>
      </c>
      <c r="X1" s="164"/>
      <c r="Y1" s="163" t="s">
        <v>36</v>
      </c>
      <c r="Z1" s="164"/>
      <c r="AA1" s="163" t="s">
        <v>34</v>
      </c>
      <c r="AB1" s="164"/>
      <c r="AC1" s="163" t="s">
        <v>12</v>
      </c>
      <c r="AD1" s="164"/>
      <c r="AE1" s="163" t="s">
        <v>14</v>
      </c>
      <c r="AF1" s="164"/>
      <c r="AG1" s="172" t="s">
        <v>21</v>
      </c>
      <c r="AH1" s="171"/>
      <c r="AI1" s="163" t="s">
        <v>41</v>
      </c>
      <c r="AJ1" s="164"/>
      <c r="AK1" s="163" t="s">
        <v>35</v>
      </c>
      <c r="AL1" s="164"/>
      <c r="AM1" s="163" t="s">
        <v>31</v>
      </c>
      <c r="AN1" s="164"/>
      <c r="AO1" s="163" t="s">
        <v>32</v>
      </c>
      <c r="AP1" s="164"/>
      <c r="AQ1" s="163" t="s">
        <v>19</v>
      </c>
      <c r="AR1" s="164"/>
      <c r="AS1" s="163" t="s">
        <v>42</v>
      </c>
      <c r="AT1" s="164"/>
      <c r="AU1" s="163" t="s">
        <v>20</v>
      </c>
      <c r="AV1" s="164"/>
      <c r="AW1" s="163" t="s">
        <v>43</v>
      </c>
      <c r="AX1" s="171"/>
      <c r="AY1" s="163" t="s">
        <v>15</v>
      </c>
      <c r="AZ1" s="164"/>
      <c r="BA1" s="163" t="s">
        <v>28</v>
      </c>
      <c r="BB1" s="164"/>
      <c r="BC1" s="163" t="s">
        <v>30</v>
      </c>
      <c r="BD1" s="164"/>
      <c r="BE1" s="163" t="s">
        <v>13</v>
      </c>
      <c r="BF1" s="163"/>
      <c r="BG1" s="165" t="s">
        <v>18</v>
      </c>
      <c r="BH1" s="166"/>
      <c r="BI1" s="163" t="s">
        <v>29</v>
      </c>
      <c r="BJ1" s="164"/>
      <c r="BK1" s="163" t="s">
        <v>40</v>
      </c>
      <c r="BL1" s="164"/>
      <c r="BM1" s="163" t="s">
        <v>17</v>
      </c>
      <c r="BN1" s="164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67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0</v>
      </c>
      <c r="M3" s="35"/>
      <c r="N3" s="28">
        <f>COUNTIFS(DataRegularSeason20242025!$E$2:$E$1315,M$1,DataRegularSeason20242025!$D$2:$D$1315,$A3,DataRegularSeason20242025!$N$2:$N$1315,1)</f>
        <v>0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0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0</v>
      </c>
      <c r="BP3" s="160">
        <f>BO3+BO4</f>
        <v>0</v>
      </c>
      <c r="BQ3" s="161">
        <f>82-BP3</f>
        <v>82</v>
      </c>
    </row>
    <row r="4" spans="1:69" ht="12" customHeight="1" x14ac:dyDescent="0.25">
      <c r="A4" s="162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0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0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0</v>
      </c>
      <c r="BP4" s="160"/>
      <c r="BQ4" s="161"/>
    </row>
    <row r="5" spans="1:69" ht="12" customHeight="1" x14ac:dyDescent="0.25">
      <c r="A5" s="167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0</v>
      </c>
      <c r="Q5" s="35"/>
      <c r="R5" s="46">
        <f>COUNTIFS(DataRegularSeason20242025!$E$2:$E$1315,Q$1,DataRegularSeason20242025!$D$2:$D$1315,$A5,DataRegularSeason20242025!$N$2:$N$1315,1)</f>
        <v>0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0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0">SUM(C5:BN5)</f>
        <v>1</v>
      </c>
      <c r="BP5" s="160">
        <f t="shared" ref="BP5" si="1">BO5+BO6</f>
        <v>1</v>
      </c>
      <c r="BQ5" s="161">
        <f t="shared" ref="BQ5" si="2">82-BP5</f>
        <v>81</v>
      </c>
    </row>
    <row r="6" spans="1:69" ht="12" customHeight="1" x14ac:dyDescent="0.25">
      <c r="A6" s="162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0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0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0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0</v>
      </c>
      <c r="BP6" s="160"/>
      <c r="BQ6" s="161"/>
    </row>
    <row r="7" spans="1:69" ht="12" customHeight="1" x14ac:dyDescent="0.25">
      <c r="A7" s="167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0</v>
      </c>
      <c r="AO7" s="35"/>
      <c r="AP7" s="28">
        <f>COUNTIFS(DataRegularSeason20242025!$E$2:$E$1315,AO$1,DataRegularSeason20242025!$D$2:$D$1315,$A7,DataRegularSeason20242025!$N$2:$N$1315,1)</f>
        <v>0</v>
      </c>
      <c r="AQ7" s="35"/>
      <c r="AR7" s="28">
        <f>COUNTIFS(DataRegularSeason20242025!$E$2:$E$1315,AQ$1,DataRegularSeason20242025!$D$2:$D$1315,$A7,DataRegularSeason20242025!$N$2:$N$1315,1)</f>
        <v>0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0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0</v>
      </c>
      <c r="BP7" s="160">
        <f t="shared" ref="BP7" si="3">BO7+BO8</f>
        <v>1</v>
      </c>
      <c r="BQ7" s="161">
        <f t="shared" ref="BQ7" si="4">82-BP7</f>
        <v>81</v>
      </c>
    </row>
    <row r="8" spans="1:69" ht="12" customHeight="1" x14ac:dyDescent="0.25">
      <c r="A8" s="162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0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1</v>
      </c>
      <c r="BP8" s="160"/>
      <c r="BQ8" s="161"/>
    </row>
    <row r="9" spans="1:69" ht="12" customHeight="1" x14ac:dyDescent="0.25">
      <c r="A9" s="167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0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0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1</v>
      </c>
      <c r="BP9" s="160">
        <f t="shared" ref="BP9" si="5">BO9+BO10</f>
        <v>2</v>
      </c>
      <c r="BQ9" s="161">
        <f t="shared" ref="BQ9" si="6">82-BP9</f>
        <v>80</v>
      </c>
    </row>
    <row r="10" spans="1:69" ht="12" customHeight="1" x14ac:dyDescent="0.25">
      <c r="A10" s="162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0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0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1</v>
      </c>
      <c r="BP10" s="160"/>
      <c r="BQ10" s="161"/>
    </row>
    <row r="11" spans="1:69" ht="12" customHeight="1" x14ac:dyDescent="0.25">
      <c r="A11" s="167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0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0</v>
      </c>
      <c r="BI11" s="35"/>
      <c r="BJ11" s="28">
        <f>COUNTIFS(DataRegularSeason20242025!$E$2:$E$1315,BI$1,DataRegularSeason20242025!$D$2:$D$1315,$A11,DataRegularSeason20242025!$N$2:$N$1315,1)</f>
        <v>0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0</v>
      </c>
      <c r="BO11" s="30">
        <f t="shared" si="0"/>
        <v>0</v>
      </c>
      <c r="BP11" s="160">
        <f t="shared" ref="BP11" si="7">BO11+BO12</f>
        <v>0</v>
      </c>
      <c r="BQ11" s="161">
        <f t="shared" ref="BQ11" si="8">82-BP11</f>
        <v>82</v>
      </c>
    </row>
    <row r="12" spans="1:69" ht="12" customHeight="1" x14ac:dyDescent="0.25">
      <c r="A12" s="162"/>
      <c r="B12" s="32" t="s">
        <v>73</v>
      </c>
      <c r="C12" s="38">
        <f>COUNTIFS(DataRegularSeason20242025!$D$2:$D$1315,C$1,DataRegularSeason20242025!$E$2:$E$1315,$A11,DataRegularSeason20242025!$N$2:$N$1315,1)</f>
        <v>0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0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0</v>
      </c>
      <c r="BP12" s="160"/>
      <c r="BQ12" s="161"/>
    </row>
    <row r="13" spans="1:69" ht="12" customHeight="1" x14ac:dyDescent="0.25">
      <c r="A13" s="167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0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0</v>
      </c>
      <c r="BP13" s="160">
        <f t="shared" ref="BP13" si="9">BO13+BO14</f>
        <v>0</v>
      </c>
      <c r="BQ13" s="161">
        <f t="shared" ref="BQ13" si="10">82-BP13</f>
        <v>82</v>
      </c>
    </row>
    <row r="14" spans="1:69" ht="12" customHeight="1" x14ac:dyDescent="0.25">
      <c r="A14" s="162"/>
      <c r="B14" s="32" t="s">
        <v>73</v>
      </c>
      <c r="C14" s="38">
        <f>COUNTIFS(DataRegularSeason20242025!$D$2:$D$1315,C$1,DataRegularSeason20242025!$E$2:$E$1315,$A13,DataRegularSeason20242025!$N$2:$N$1315,1)</f>
        <v>0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0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0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0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0</v>
      </c>
      <c r="BP14" s="160"/>
      <c r="BQ14" s="161"/>
    </row>
    <row r="15" spans="1:69" ht="12" customHeight="1" x14ac:dyDescent="0.25">
      <c r="A15" s="167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0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0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0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0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0</v>
      </c>
      <c r="BP15" s="160">
        <f t="shared" ref="BP15" si="11">BO15+BO16</f>
        <v>0</v>
      </c>
      <c r="BQ15" s="161">
        <f t="shared" ref="BQ15" si="12">82-BP15</f>
        <v>82</v>
      </c>
    </row>
    <row r="16" spans="1:69" ht="12" customHeight="1" x14ac:dyDescent="0.25">
      <c r="A16" s="162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0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0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0</v>
      </c>
      <c r="BP16" s="160"/>
      <c r="BQ16" s="161"/>
    </row>
    <row r="17" spans="1:69" ht="12" customHeight="1" x14ac:dyDescent="0.25">
      <c r="A17" s="167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0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0</v>
      </c>
      <c r="M17" s="35"/>
      <c r="N17" s="28">
        <f>COUNTIFS(DataRegularSeason20242025!$E$2:$E$1315,M$1,DataRegularSeason20242025!$D$2:$D$1315,$A17,DataRegularSeason20242025!$N$2:$N$1315,1)</f>
        <v>0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0</v>
      </c>
      <c r="BP17" s="160">
        <f t="shared" ref="BP17" si="13">BO17+BO18</f>
        <v>1</v>
      </c>
      <c r="BQ17" s="161">
        <f t="shared" ref="BQ17" si="14">82-BP17</f>
        <v>81</v>
      </c>
    </row>
    <row r="18" spans="1:69" ht="12" customHeight="1" thickBot="1" x14ac:dyDescent="0.3">
      <c r="A18" s="161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0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0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0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1</v>
      </c>
      <c r="BP18" s="160"/>
      <c r="BQ18" s="161"/>
    </row>
    <row r="19" spans="1:69" ht="12" customHeight="1" thickTop="1" x14ac:dyDescent="0.25">
      <c r="A19" s="170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0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0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1</v>
      </c>
      <c r="BP19" s="160">
        <f t="shared" ref="BP19" si="15">BO19+BO20</f>
        <v>1</v>
      </c>
      <c r="BQ19" s="161">
        <f t="shared" ref="BQ19" si="16">82-BP19</f>
        <v>81</v>
      </c>
    </row>
    <row r="20" spans="1:69" ht="12" customHeight="1" x14ac:dyDescent="0.25">
      <c r="A20" s="162"/>
      <c r="B20" s="32" t="s">
        <v>73</v>
      </c>
      <c r="C20" s="38">
        <f>COUNTIFS(DataRegularSeason20242025!$D$2:$D$1315,C$1,DataRegularSeason20242025!$E$2:$E$1315,$A19,DataRegularSeason20242025!$N$2:$N$1315,1)</f>
        <v>0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0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0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0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0</v>
      </c>
      <c r="BP20" s="160"/>
      <c r="BQ20" s="161"/>
    </row>
    <row r="21" spans="1:69" ht="12" customHeight="1" x14ac:dyDescent="0.25">
      <c r="A21" s="167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0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0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1</v>
      </c>
      <c r="BP21" s="160">
        <f t="shared" ref="BP21" si="17">BO21+BO22</f>
        <v>1</v>
      </c>
      <c r="BQ21" s="161">
        <f t="shared" ref="BQ21" si="18">82-BP21</f>
        <v>81</v>
      </c>
    </row>
    <row r="22" spans="1:69" ht="12" customHeight="1" x14ac:dyDescent="0.25">
      <c r="A22" s="162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0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0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0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0</v>
      </c>
      <c r="BP22" s="160"/>
      <c r="BQ22" s="161"/>
    </row>
    <row r="23" spans="1:69" ht="12" customHeight="1" x14ac:dyDescent="0.25">
      <c r="A23" s="167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0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0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0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0</v>
      </c>
      <c r="BP23" s="160">
        <f t="shared" ref="BP23" si="19">BO23+BO24</f>
        <v>0</v>
      </c>
      <c r="BQ23" s="161">
        <f t="shared" ref="BQ23" si="20">82-BP23</f>
        <v>82</v>
      </c>
    </row>
    <row r="24" spans="1:69" ht="12" customHeight="1" x14ac:dyDescent="0.25">
      <c r="A24" s="162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0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0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0</v>
      </c>
      <c r="BP24" s="160"/>
      <c r="BQ24" s="161"/>
    </row>
    <row r="25" spans="1:69" ht="12" customHeight="1" x14ac:dyDescent="0.25">
      <c r="A25" s="167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0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0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0</v>
      </c>
      <c r="AS25" s="35"/>
      <c r="AT25" s="28">
        <f>COUNTIFS(DataRegularSeason20242025!$E$2:$E$1315,AS$1,DataRegularSeason20242025!$D$2:$D$1315,$A25,DataRegularSeason20242025!$N$2:$N$1315,1)</f>
        <v>0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0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0</v>
      </c>
      <c r="BP25" s="160">
        <f t="shared" ref="BP25" si="21">BO25+BO26</f>
        <v>0</v>
      </c>
      <c r="BQ25" s="161">
        <f t="shared" ref="BQ25" si="22">82-BP25</f>
        <v>82</v>
      </c>
    </row>
    <row r="26" spans="1:69" ht="12" customHeight="1" x14ac:dyDescent="0.25">
      <c r="A26" s="162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0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0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0</v>
      </c>
      <c r="BP26" s="160"/>
      <c r="BQ26" s="161"/>
    </row>
    <row r="27" spans="1:69" ht="12" customHeight="1" x14ac:dyDescent="0.25">
      <c r="A27" s="167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0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0</v>
      </c>
      <c r="BI27" s="35"/>
      <c r="BJ27" s="28">
        <f>COUNTIFS(DataRegularSeason20242025!$E$2:$E$1315,BI$1,DataRegularSeason20242025!$D$2:$D$1315,$A27,DataRegularSeason20242025!$N$2:$N$1315,1)</f>
        <v>0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0</v>
      </c>
      <c r="BO27" s="30">
        <f t="shared" si="0"/>
        <v>0</v>
      </c>
      <c r="BP27" s="160">
        <f t="shared" ref="BP27" si="23">BO27+BO28</f>
        <v>0</v>
      </c>
      <c r="BQ27" s="161">
        <f t="shared" ref="BQ27" si="24">82-BP27</f>
        <v>82</v>
      </c>
    </row>
    <row r="28" spans="1:69" ht="12" customHeight="1" x14ac:dyDescent="0.25">
      <c r="A28" s="162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0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0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0</v>
      </c>
      <c r="BP28" s="160"/>
      <c r="BQ28" s="161"/>
    </row>
    <row r="29" spans="1:69" ht="12" customHeight="1" x14ac:dyDescent="0.25">
      <c r="A29" s="167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0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0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0</v>
      </c>
      <c r="BP29" s="160">
        <f t="shared" ref="BP29" si="25">BO29+BO30</f>
        <v>0</v>
      </c>
      <c r="BQ29" s="161">
        <f t="shared" ref="BQ29" si="26">82-BP29</f>
        <v>82</v>
      </c>
    </row>
    <row r="30" spans="1:69" ht="12" customHeight="1" x14ac:dyDescent="0.25">
      <c r="A30" s="162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0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0</v>
      </c>
      <c r="X30" s="39"/>
      <c r="Y30" s="38">
        <f>COUNTIFS(DataRegularSeason20242025!$D$2:$D$1315,Y$1,DataRegularSeason20242025!$E$2:$E$1315,$A29,DataRegularSeason20242025!$N$2:$N$1315,1)</f>
        <v>0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0</v>
      </c>
      <c r="BP30" s="160"/>
      <c r="BQ30" s="161"/>
    </row>
    <row r="31" spans="1:69" ht="12" customHeight="1" x14ac:dyDescent="0.25">
      <c r="A31" s="167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0</v>
      </c>
      <c r="U31" s="35"/>
      <c r="V31" s="28">
        <f>COUNTIFS(DataRegularSeason20242025!$E$2:$E$1315,U$1,DataRegularSeason20242025!$D$2:$D$1315,$A31,DataRegularSeason20242025!$N$2:$N$1315,1)</f>
        <v>0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0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0</v>
      </c>
      <c r="BP31" s="160">
        <f t="shared" ref="BP31" si="27">BO31+BO32</f>
        <v>0</v>
      </c>
      <c r="BQ31" s="161">
        <f t="shared" ref="BQ31" si="28">82-BP31</f>
        <v>82</v>
      </c>
    </row>
    <row r="32" spans="1:69" ht="12" customHeight="1" x14ac:dyDescent="0.25">
      <c r="A32" s="162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0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0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0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0</v>
      </c>
      <c r="BP32" s="160"/>
      <c r="BQ32" s="161"/>
    </row>
    <row r="33" spans="1:69" ht="12" customHeight="1" x14ac:dyDescent="0.25">
      <c r="A33" s="167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0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0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0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0</v>
      </c>
      <c r="BP33" s="160">
        <f t="shared" ref="BP33" si="29">BO33+BO34</f>
        <v>0</v>
      </c>
      <c r="BQ33" s="161">
        <f t="shared" ref="BQ33" si="30">82-BP33</f>
        <v>82</v>
      </c>
    </row>
    <row r="34" spans="1:69" ht="12" customHeight="1" thickBot="1" x14ac:dyDescent="0.3">
      <c r="A34" s="161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0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0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0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0</v>
      </c>
      <c r="BP34" s="160"/>
      <c r="BQ34" s="161"/>
    </row>
    <row r="35" spans="1:69" ht="12" customHeight="1" thickTop="1" x14ac:dyDescent="0.25">
      <c r="A35" s="170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0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0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0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0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0</v>
      </c>
      <c r="BP35" s="160">
        <f t="shared" ref="BP35" si="31">BO35+BO36</f>
        <v>0</v>
      </c>
      <c r="BQ35" s="161">
        <f t="shared" ref="BQ35" si="32">82-BP35</f>
        <v>82</v>
      </c>
    </row>
    <row r="36" spans="1:69" ht="12" customHeight="1" x14ac:dyDescent="0.25">
      <c r="A36" s="162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0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0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0</v>
      </c>
      <c r="BP36" s="160"/>
      <c r="BQ36" s="161"/>
    </row>
    <row r="37" spans="1:69" ht="12" customHeight="1" x14ac:dyDescent="0.25">
      <c r="A37" s="167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0</v>
      </c>
      <c r="AA37" s="35"/>
      <c r="AB37" s="28">
        <f>COUNTIFS(DataRegularSeason20242025!$E$2:$E$1315,AA$1,DataRegularSeason20242025!$D$2:$D$1315,$A37,DataRegularSeason20242025!$N$2:$N$1315,1)</f>
        <v>0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0</v>
      </c>
      <c r="BP37" s="160">
        <f t="shared" ref="BP37" si="33">BO37+BO38</f>
        <v>0</v>
      </c>
      <c r="BQ37" s="161">
        <f t="shared" ref="BQ37" si="34">82-BP37</f>
        <v>82</v>
      </c>
    </row>
    <row r="38" spans="1:69" ht="12" customHeight="1" x14ac:dyDescent="0.25">
      <c r="A38" s="162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0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0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0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0</v>
      </c>
      <c r="BP38" s="160"/>
      <c r="BQ38" s="161"/>
    </row>
    <row r="39" spans="1:69" ht="12" customHeight="1" x14ac:dyDescent="0.25">
      <c r="A39" s="167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0</v>
      </c>
      <c r="AK39" s="35"/>
      <c r="AL39" s="28">
        <f>COUNTIFS(DataRegularSeason20242025!$E$2:$E$1315,AK$1,DataRegularSeason20242025!$D$2:$D$1315,$A39,DataRegularSeason20242025!$N$2:$N$1315,1)</f>
        <v>0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0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0"/>
        <v>0</v>
      </c>
      <c r="BP39" s="160">
        <f t="shared" ref="BP39" si="35">BO39+BO40</f>
        <v>0</v>
      </c>
      <c r="BQ39" s="161">
        <f t="shared" ref="BQ39" si="36">82-BP39</f>
        <v>82</v>
      </c>
    </row>
    <row r="40" spans="1:69" ht="12" customHeight="1" x14ac:dyDescent="0.25">
      <c r="A40" s="162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0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0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0</v>
      </c>
      <c r="BP40" s="160"/>
      <c r="BQ40" s="161"/>
    </row>
    <row r="41" spans="1:69" ht="12" customHeight="1" x14ac:dyDescent="0.25">
      <c r="A41" s="167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0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0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0</v>
      </c>
      <c r="BP41" s="160">
        <f t="shared" ref="BP41" si="37">BO41+BO42</f>
        <v>0</v>
      </c>
      <c r="BQ41" s="161">
        <f t="shared" ref="BQ41" si="38">82-BP41</f>
        <v>82</v>
      </c>
    </row>
    <row r="42" spans="1:69" ht="12" customHeight="1" x14ac:dyDescent="0.25">
      <c r="A42" s="162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0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0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0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0</v>
      </c>
      <c r="BP42" s="160"/>
      <c r="BQ42" s="161"/>
    </row>
    <row r="43" spans="1:69" ht="12" customHeight="1" x14ac:dyDescent="0.25">
      <c r="A43" s="167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0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0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0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0</v>
      </c>
      <c r="BO43" s="30">
        <f t="shared" si="0"/>
        <v>0</v>
      </c>
      <c r="BP43" s="160">
        <f t="shared" ref="BP43" si="39">BO43+BO44</f>
        <v>1</v>
      </c>
      <c r="BQ43" s="161">
        <f t="shared" ref="BQ43" si="40">82-BP43</f>
        <v>81</v>
      </c>
    </row>
    <row r="44" spans="1:69" ht="12" customHeight="1" x14ac:dyDescent="0.25">
      <c r="A44" s="162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0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0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0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1</v>
      </c>
      <c r="BP44" s="160"/>
      <c r="BQ44" s="161"/>
    </row>
    <row r="45" spans="1:69" ht="12" customHeight="1" x14ac:dyDescent="0.25">
      <c r="A45" s="167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0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0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0</v>
      </c>
      <c r="BP45" s="160">
        <f t="shared" ref="BP45" si="41">BO45+BO46</f>
        <v>0</v>
      </c>
      <c r="BQ45" s="161">
        <f t="shared" ref="BQ45" si="42">82-BP45</f>
        <v>82</v>
      </c>
    </row>
    <row r="46" spans="1:69" ht="12" customHeight="1" x14ac:dyDescent="0.25">
      <c r="A46" s="162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0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0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0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0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0</v>
      </c>
      <c r="BP46" s="160"/>
      <c r="BQ46" s="161"/>
    </row>
    <row r="47" spans="1:69" ht="12" customHeight="1" x14ac:dyDescent="0.25">
      <c r="A47" s="167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0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0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0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1</v>
      </c>
      <c r="BP47" s="160">
        <f t="shared" ref="BP47" si="43">BO47+BO48</f>
        <v>1</v>
      </c>
      <c r="BQ47" s="161">
        <f t="shared" ref="BQ47" si="44">82-BP47</f>
        <v>81</v>
      </c>
    </row>
    <row r="48" spans="1:69" ht="12" customHeight="1" x14ac:dyDescent="0.25">
      <c r="A48" s="162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0</v>
      </c>
      <c r="AP48" s="39"/>
      <c r="AQ48" s="38">
        <f>COUNTIFS(DataRegularSeason20242025!$D$2:$D$1315,AQ$1,DataRegularSeason20242025!$E$2:$E$1315,$A47,DataRegularSeason20242025!$N$2:$N$1315,1)</f>
        <v>0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0</v>
      </c>
      <c r="BP48" s="160"/>
      <c r="BQ48" s="161"/>
    </row>
    <row r="49" spans="1:69" ht="12" customHeight="1" x14ac:dyDescent="0.25">
      <c r="A49" s="167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0</v>
      </c>
      <c r="AQ49" s="35"/>
      <c r="AR49" s="28">
        <f>COUNTIFS(DataRegularSeason20242025!$E$2:$E$1315,AQ$1,DataRegularSeason20242025!$D$2:$D$1315,$A49,DataRegularSeason20242025!$N$2:$N$1315,1)</f>
        <v>0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0</v>
      </c>
      <c r="BP49" s="160">
        <f t="shared" ref="BP49" si="45">BO49+BO50</f>
        <v>1</v>
      </c>
      <c r="BQ49" s="161">
        <f t="shared" ref="BQ49" si="46">82-BP49</f>
        <v>81</v>
      </c>
    </row>
    <row r="50" spans="1:69" ht="12" customHeight="1" thickBot="1" x14ac:dyDescent="0.3">
      <c r="A50" s="169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0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0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0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1</v>
      </c>
      <c r="BP50" s="160"/>
      <c r="BQ50" s="161"/>
    </row>
    <row r="51" spans="1:69" ht="12" customHeight="1" thickTop="1" x14ac:dyDescent="0.25">
      <c r="A51" s="161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0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0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0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1</v>
      </c>
      <c r="BP51" s="160">
        <f t="shared" ref="BP51" si="47">BO51+BO52</f>
        <v>1</v>
      </c>
      <c r="BQ51" s="161">
        <f t="shared" ref="BQ51" si="48">82-BP51</f>
        <v>81</v>
      </c>
    </row>
    <row r="52" spans="1:69" ht="12" customHeight="1" x14ac:dyDescent="0.25">
      <c r="A52" s="162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0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0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0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0</v>
      </c>
      <c r="BP52" s="160"/>
      <c r="BQ52" s="161"/>
    </row>
    <row r="53" spans="1:69" ht="12" customHeight="1" x14ac:dyDescent="0.25">
      <c r="A53" s="167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0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0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0"/>
        <v>0</v>
      </c>
      <c r="BP53" s="160">
        <f t="shared" ref="BP53" si="49">BO53+BO54</f>
        <v>0</v>
      </c>
      <c r="BQ53" s="161">
        <f t="shared" ref="BQ53" si="50">82-BP53</f>
        <v>82</v>
      </c>
    </row>
    <row r="54" spans="1:69" ht="12" customHeight="1" x14ac:dyDescent="0.25">
      <c r="A54" s="162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0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0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0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0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0"/>
        <v>0</v>
      </c>
      <c r="BP54" s="160"/>
      <c r="BQ54" s="161"/>
    </row>
    <row r="55" spans="1:69" ht="12" customHeight="1" x14ac:dyDescent="0.25">
      <c r="A55" s="167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0</v>
      </c>
      <c r="BO55" s="30">
        <f t="shared" si="0"/>
        <v>0</v>
      </c>
      <c r="BP55" s="160">
        <f t="shared" ref="BP55" si="51">BO55+BO56</f>
        <v>0</v>
      </c>
      <c r="BQ55" s="161">
        <f t="shared" ref="BQ55" si="52">82-BP55</f>
        <v>82</v>
      </c>
    </row>
    <row r="56" spans="1:69" ht="12" customHeight="1" x14ac:dyDescent="0.25">
      <c r="A56" s="162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0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0</v>
      </c>
      <c r="BF56" s="39"/>
      <c r="BG56" s="38">
        <f>COUNTIFS(DataRegularSeason20242025!$D$2:$D$1315,BG$1,DataRegularSeason20242025!$E$2:$E$1315,$A55,DataRegularSeason20242025!$N$2:$N$1315,1)</f>
        <v>0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0</v>
      </c>
      <c r="BL56" s="39"/>
      <c r="BM56" s="38">
        <f>COUNTIFS(DataRegularSeason20242025!$D$2:$D$1315,BM$1,DataRegularSeason20242025!$E$2:$E$1315,$A55,DataRegularSeason20242025!$N$2:$N$1315,1)</f>
        <v>0</v>
      </c>
      <c r="BN56" s="39"/>
      <c r="BO56" s="34">
        <f t="shared" si="0"/>
        <v>0</v>
      </c>
      <c r="BP56" s="160"/>
      <c r="BQ56" s="161"/>
    </row>
    <row r="57" spans="1:69" ht="12" customHeight="1" x14ac:dyDescent="0.25">
      <c r="A57" s="167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0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0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0</v>
      </c>
      <c r="BC57" s="35"/>
      <c r="BD57" s="28">
        <f>COUNTIFS(DataRegularSeason20242025!$E$2:$E$1315,BC$1,DataRegularSeason20242025!$D$2:$D$1315,$A57,DataRegularSeason20242025!$N$2:$N$1315,1)</f>
        <v>0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0</v>
      </c>
      <c r="BP57" s="160">
        <f t="shared" ref="BP57" si="53">BO57+BO58</f>
        <v>1</v>
      </c>
      <c r="BQ57" s="161">
        <f t="shared" ref="BQ57" si="54">82-BP57</f>
        <v>81</v>
      </c>
    </row>
    <row r="58" spans="1:69" ht="12" customHeight="1" x14ac:dyDescent="0.25">
      <c r="A58" s="162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0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0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1</v>
      </c>
      <c r="BP58" s="160"/>
      <c r="BQ58" s="161"/>
    </row>
    <row r="59" spans="1:69" ht="12" customHeight="1" x14ac:dyDescent="0.25">
      <c r="A59" s="167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0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0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1</v>
      </c>
      <c r="BP59" s="160">
        <f t="shared" ref="BP59" si="55">BO59+BO60</f>
        <v>1</v>
      </c>
      <c r="BQ59" s="161">
        <f t="shared" ref="BQ59" si="56">82-BP59</f>
        <v>81</v>
      </c>
    </row>
    <row r="60" spans="1:69" ht="12" customHeight="1" x14ac:dyDescent="0.25">
      <c r="A60" s="162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0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0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0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0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0</v>
      </c>
      <c r="BP60" s="160"/>
      <c r="BQ60" s="161"/>
    </row>
    <row r="61" spans="1:69" ht="12" customHeight="1" x14ac:dyDescent="0.25">
      <c r="A61" s="167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0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0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0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0</v>
      </c>
      <c r="BP61" s="160">
        <f t="shared" ref="BP61" si="57">BO61+BO62</f>
        <v>0</v>
      </c>
      <c r="BQ61" s="161">
        <f t="shared" ref="BQ61" si="58">82-BP61</f>
        <v>82</v>
      </c>
    </row>
    <row r="62" spans="1:69" ht="12" customHeight="1" x14ac:dyDescent="0.25">
      <c r="A62" s="162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0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0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0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0</v>
      </c>
      <c r="BP62" s="160"/>
      <c r="BQ62" s="161"/>
    </row>
    <row r="63" spans="1:69" ht="12" customHeight="1" x14ac:dyDescent="0.25">
      <c r="A63" s="167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0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0</v>
      </c>
      <c r="AY63" s="35"/>
      <c r="AZ63" s="28">
        <f>COUNTIFS(DataRegularSeason20242025!$E$2:$E$1315,AY$1,DataRegularSeason20242025!$D$2:$D$1315,$A63,DataRegularSeason20242025!$N$2:$N$1315,1)</f>
        <v>0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0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0</v>
      </c>
      <c r="BP63" s="160">
        <f t="shared" ref="BP63" si="59">BO63+BO64</f>
        <v>0</v>
      </c>
      <c r="BQ63" s="161">
        <f t="shared" ref="BQ63" si="60">82-BP63</f>
        <v>82</v>
      </c>
    </row>
    <row r="64" spans="1:69" ht="12" customHeight="1" x14ac:dyDescent="0.25">
      <c r="A64" s="162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0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0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0</v>
      </c>
      <c r="BP64" s="160"/>
      <c r="BQ64" s="161"/>
    </row>
    <row r="65" spans="1:69" ht="12" customHeight="1" x14ac:dyDescent="0.25">
      <c r="A65" s="167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0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0</v>
      </c>
      <c r="BP65" s="160">
        <f t="shared" ref="BP65" si="61">BO65+BO66</f>
        <v>1</v>
      </c>
      <c r="BQ65" s="161">
        <f t="shared" ref="BQ65" si="62">82-BP65</f>
        <v>81</v>
      </c>
    </row>
    <row r="66" spans="1:69" ht="12" customHeight="1" x14ac:dyDescent="0.25">
      <c r="A66" s="162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0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0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0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0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1</v>
      </c>
      <c r="BP66" s="160"/>
      <c r="BQ66" s="161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7</v>
      </c>
      <c r="BQ67" s="27">
        <f>SUM(BQ3:BQ66)/2</f>
        <v>1305</v>
      </c>
    </row>
    <row r="68" spans="1:69" x14ac:dyDescent="0.25">
      <c r="BP68" s="43">
        <f>2*BP67/SUM(BP3:BQ66)</f>
        <v>5.335365853658537E-3</v>
      </c>
      <c r="BQ68" s="43">
        <f>2*BQ67/SUM(BP3:BQ66)</f>
        <v>0.99466463414634143</v>
      </c>
    </row>
  </sheetData>
  <mergeCells count="128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topLeftCell="A30" workbookViewId="0">
      <selection activeCell="B5" sqref="B5:K5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0-0-0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0-0-0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0-0-0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0-0-0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0-0-0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0-0-0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0-0-0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0-0-0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0-0-0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0-0-0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0-0-0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0-0-0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0-0-0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0-0-0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0-0-0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0-0-0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0-0-0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0-0-0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0-0-0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0-0-0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0-0-0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0-0-0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0-0-0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0-0-0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0-0-0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0-0-0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0-0-0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0-0-0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0-0-0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0-0-0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0-0-0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0-0-0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0-0-0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0-0-0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0-0-0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0-0-0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0-0-0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0-0-0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0-0-0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0-0-0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0-0-0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0-0-0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0-0-0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0-0-0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0-0-0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0-0-0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0-0-0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0-0-0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0-0-0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0-0-0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0-0-0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0-0-0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0-0-0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0-0-0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0-0-0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0-0-0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0-0-0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0-0-0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0-0-0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0-0-0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0-0-0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0-0-0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0-0-0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0-0-0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0-0-0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0-0-0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0-0-0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0-0-0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0-0-0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0-0-0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0-0-0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0-0-0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0-0-0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0-0-0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0-0-0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0-0-0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0-0-0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0-0-0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0-0-0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0-0-0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0-0-0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0-0-0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0-0-0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0-0-0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0-0-0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0-0-0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0-0-0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0-0-0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0-0-0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0-0-0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0-0-0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0-0-0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0-0-0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0-0-0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0-0-0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0-0-0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0-0-0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0-0-0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0-0-0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0-0-0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0-0-0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0-0-0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0-0-0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0-0-0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0-0-0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0-0-0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0-0-0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0-0-0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0-0-0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0-0-0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0-0-0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0-0-0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0-0-0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0-0-0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0-0-0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0-0-0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0-0-0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0-0-0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0-0-0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0-0-0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0-0-0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0-0-0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0-0-0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0-0-0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0-0-0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0-0-0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0-0-0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0-0-0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0-0-0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0-0-0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0-0-0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0-0-0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0-0-0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0-0-0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0-0-0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0-0-0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0-0-0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0-0-0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0-0-0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0-0-0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0-0-0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0-0-0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0-0-0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0-0-0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0-0-0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0-0-0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0-0-0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0-0-0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0-0-0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0-0-0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0-0-0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0-0-0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0-0-0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0-0-0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0-0-0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0-0-0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0-0-0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0-0-0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0-0-0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0-0-0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0-0-0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0-0-0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0-0-0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0-0-0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0-0-0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0-0-0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0-0-0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0-0-0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0-0-0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0-0-0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0-0-0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0-0-0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0-0-0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0-0-0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0-0-0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0-0-0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0-0-0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0-0-0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0-0-0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0-0-0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0-0-0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0-0-0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0-0-0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0-0-0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0-0-0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0-0-0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0-0-0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0-1-0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0-0-0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0-0-0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0-0-0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0-0-0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0-0-0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0-0-0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0-0-0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0-0-0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0-0-0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0-0-0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0-0-0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0-0-0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0-0-0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0-0-0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0-0-0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0-0-0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0-0-0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0-0-0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0-0-0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1-0-0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0-0-0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0-0-0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0-0-0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0-0-0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0-0-0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0-0-0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0-0-0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0-0-0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0-0-0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0-0-0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0-0-0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0-0-0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0-0-0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0-0-0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0-0-0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0-0-0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0-0-0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0-0-0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0-0-0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0-0-0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0-0-0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0-0-0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0-0-0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0-0-0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0-0-0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0-0-0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0-0-0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0-0-0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0-0-0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0-0-0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0-0-0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0-0-0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0-0-0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0-0-0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0-0-0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0-0-0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0-0-0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0-0-0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0-0-0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0-0-0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0-0-0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0-0-0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0-0-0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0-0-0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0-0-0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0-0-0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0-0-0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0-0-0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0-0-0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0-0-0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0-0-0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0-0-0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0-0-0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0-0-0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0-0-0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0-0-0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0-0-0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0-0-0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0-0-0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0-0-0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0-0-0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0-0-0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0-0-0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0-0-0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0-0-0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0-0-0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0-0-0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0-0-0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0-0-0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0-0-0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0-0-0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0-0-0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0-0-0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0-0-0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0-0-0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0-0-0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0-0-0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0-0-0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0-0-0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0-0-0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0-0-0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0-0-0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0-0-0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0-0-0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 t="str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/>
      </c>
      <c r="G37" t="str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/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 t="str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/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 t="str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/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 t="str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/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 t="str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/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 t="str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/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 t="str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/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 t="str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/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 t="e">
        <f>AVERAGE($R37:$AG37)</f>
        <v>#DIV/0!</v>
      </c>
      <c r="AI37" s="101" t="e">
        <f>AVERAGE($B37:$Q37)</f>
        <v>#DIV/0!</v>
      </c>
      <c r="AJ37" s="103" t="e">
        <f>AVERAGE($Z37:$AG37)</f>
        <v>#DIV/0!</v>
      </c>
      <c r="AK37" s="103" t="e">
        <f>AVERAGE($R37:$Y37)</f>
        <v>#DIV/0!</v>
      </c>
      <c r="AL37" s="103" t="e">
        <f>AVERAGE($J37:$Q37)</f>
        <v>#DIV/0!</v>
      </c>
      <c r="AM37" s="103" t="e">
        <f>AVERAGE($B37:$I37)</f>
        <v>#DIV/0!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 t="str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/>
      </c>
      <c r="I38" s="57" t="str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/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 t="str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/>
      </c>
      <c r="P38" t="str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/>
      </c>
      <c r="Q38" s="57" t="str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/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 t="str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/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 t="str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/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 t="str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/>
      </c>
      <c r="AH38" s="101" t="e">
        <f t="shared" ref="AH38:AH68" si="0">AVERAGE($R38:$AG38)</f>
        <v>#DIV/0!</v>
      </c>
      <c r="AI38" s="101">
        <f t="shared" ref="AI38:AI68" si="1">AVERAGE($B38:$Q38)</f>
        <v>1</v>
      </c>
      <c r="AJ38" s="103" t="e">
        <f t="shared" ref="AJ38:AJ68" si="2">AVERAGE($Z38:$AG38)</f>
        <v>#DIV/0!</v>
      </c>
      <c r="AK38" s="103" t="e">
        <f t="shared" ref="AK38:AK68" si="3">AVERAGE($R38:$Y38)</f>
        <v>#DIV/0!</v>
      </c>
      <c r="AL38" s="103" t="e">
        <f t="shared" ref="AL38:AL68" si="4">AVERAGE($J38:$Q38)</f>
        <v>#DIV/0!</v>
      </c>
      <c r="AM38" s="103">
        <f t="shared" ref="AM38:AM68" si="5">AVERAGE($B38:$I38)</f>
        <v>1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 t="str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/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 t="str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/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 t="str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/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 t="str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/>
      </c>
      <c r="U39" t="str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/>
      </c>
      <c r="V39" t="str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/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 t="str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/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 t="str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/>
      </c>
      <c r="AE39" t="str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/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 t="e">
        <f t="shared" si="0"/>
        <v>#DIV/0!</v>
      </c>
      <c r="AI39" s="101">
        <f t="shared" si="1"/>
        <v>0.5</v>
      </c>
      <c r="AJ39" s="103" t="e">
        <f t="shared" si="2"/>
        <v>#DIV/0!</v>
      </c>
      <c r="AK39" s="103" t="e">
        <f t="shared" si="3"/>
        <v>#DIV/0!</v>
      </c>
      <c r="AL39" s="103" t="e">
        <f t="shared" si="4"/>
        <v>#DIV/0!</v>
      </c>
      <c r="AM39" s="103">
        <f t="shared" si="5"/>
        <v>0.5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 t="str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/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 t="str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/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 t="str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/>
      </c>
      <c r="M40" t="str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/>
      </c>
      <c r="N40" t="str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/>
      </c>
      <c r="O40" t="str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/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 t="str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/>
      </c>
      <c r="R40" t="str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/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 t="str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/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 t="e">
        <f t="shared" si="0"/>
        <v>#DIV/0!</v>
      </c>
      <c r="AI40" s="101">
        <f t="shared" si="1"/>
        <v>0.75</v>
      </c>
      <c r="AJ40" s="103" t="e">
        <f t="shared" si="2"/>
        <v>#DIV/0!</v>
      </c>
      <c r="AK40" s="103" t="e">
        <f t="shared" si="3"/>
        <v>#DIV/0!</v>
      </c>
      <c r="AL40" s="103">
        <f t="shared" si="4"/>
        <v>0.5</v>
      </c>
      <c r="AM40" s="103">
        <f t="shared" si="5"/>
        <v>1</v>
      </c>
    </row>
    <row r="41" spans="1:39" x14ac:dyDescent="0.25">
      <c r="A41" s="57" t="s">
        <v>11</v>
      </c>
      <c r="B41" s="24" t="str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/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 t="str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/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 t="str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/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 t="str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/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 t="str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/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 t="str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/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 t="str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/>
      </c>
      <c r="AE41" t="str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/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 t="str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/>
      </c>
      <c r="AH41" s="101" t="e">
        <f t="shared" si="0"/>
        <v>#DIV/0!</v>
      </c>
      <c r="AI41" s="101" t="e">
        <f t="shared" si="1"/>
        <v>#DIV/0!</v>
      </c>
      <c r="AJ41" s="103" t="e">
        <f t="shared" si="2"/>
        <v>#DIV/0!</v>
      </c>
      <c r="AK41" s="103" t="e">
        <f t="shared" si="3"/>
        <v>#DIV/0!</v>
      </c>
      <c r="AL41" s="103" t="e">
        <f t="shared" si="4"/>
        <v>#DIV/0!</v>
      </c>
      <c r="AM41" s="103" t="e">
        <f t="shared" si="5"/>
        <v>#DIV/0!</v>
      </c>
    </row>
    <row r="42" spans="1:39" x14ac:dyDescent="0.25">
      <c r="A42" s="57" t="s">
        <v>37</v>
      </c>
      <c r="B42" s="24" t="str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/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 t="str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/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 t="str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/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 t="str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/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 t="str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/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 t="str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/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 t="str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/>
      </c>
      <c r="U42" t="str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/>
      </c>
      <c r="V42" t="str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/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 t="str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/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 t="e">
        <f t="shared" si="0"/>
        <v>#DIV/0!</v>
      </c>
      <c r="AI42" s="101" t="e">
        <f t="shared" si="1"/>
        <v>#DIV/0!</v>
      </c>
      <c r="AJ42" s="103" t="e">
        <f t="shared" si="2"/>
        <v>#DIV/0!</v>
      </c>
      <c r="AK42" s="103" t="e">
        <f t="shared" si="3"/>
        <v>#DIV/0!</v>
      </c>
      <c r="AL42" s="103" t="e">
        <f t="shared" si="4"/>
        <v>#DIV/0!</v>
      </c>
      <c r="AM42" s="103" t="e">
        <f t="shared" si="5"/>
        <v>#DIV/0!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 t="str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/>
      </c>
      <c r="D43" t="str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/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 t="str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/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 t="str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/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 t="str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/>
      </c>
      <c r="O43" t="str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/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 t="str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/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 t="str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/>
      </c>
      <c r="Y43" s="57" t="str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/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 t="str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/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 t="e">
        <f t="shared" si="0"/>
        <v>#DIV/0!</v>
      </c>
      <c r="AI43" s="101" t="e">
        <f t="shared" si="1"/>
        <v>#DIV/0!</v>
      </c>
      <c r="AJ43" s="103" t="e">
        <f t="shared" si="2"/>
        <v>#DIV/0!</v>
      </c>
      <c r="AK43" s="103" t="e">
        <f t="shared" si="3"/>
        <v>#DIV/0!</v>
      </c>
      <c r="AL43" s="103" t="e">
        <f t="shared" si="4"/>
        <v>#DIV/0!</v>
      </c>
      <c r="AM43" s="103" t="e">
        <f t="shared" si="5"/>
        <v>#DIV/0!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 t="str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/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 t="str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/>
      </c>
      <c r="G44" s="58" t="str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/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 t="str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/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 t="str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/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 t="str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/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 t="str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/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 t="e">
        <f t="shared" si="0"/>
        <v>#DIV/0!</v>
      </c>
      <c r="AI44" s="102">
        <f t="shared" si="1"/>
        <v>0.5</v>
      </c>
      <c r="AJ44" s="104" t="e">
        <f t="shared" si="2"/>
        <v>#DIV/0!</v>
      </c>
      <c r="AK44" s="104" t="e">
        <f t="shared" si="3"/>
        <v>#DIV/0!</v>
      </c>
      <c r="AL44" s="104" t="e">
        <f t="shared" si="4"/>
        <v>#DIV/0!</v>
      </c>
      <c r="AM44" s="104">
        <f t="shared" si="5"/>
        <v>0.5</v>
      </c>
    </row>
    <row r="45" spans="1:39" ht="15.75" thickTop="1" x14ac:dyDescent="0.25">
      <c r="A45" s="57" t="s">
        <v>16</v>
      </c>
      <c r="B45" s="24" t="str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/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 t="str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/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 t="str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/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 t="str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/>
      </c>
      <c r="P45" t="str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/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 t="str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/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 t="str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/>
      </c>
      <c r="AE45" t="str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/>
      </c>
      <c r="AF45" t="str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/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</v>
      </c>
      <c r="AI45" s="101" t="e">
        <f t="shared" si="1"/>
        <v>#DIV/0!</v>
      </c>
      <c r="AJ45" s="103">
        <f t="shared" si="2"/>
        <v>0</v>
      </c>
      <c r="AK45" s="103" t="e">
        <f t="shared" si="3"/>
        <v>#DIV/0!</v>
      </c>
      <c r="AL45" s="103" t="e">
        <f t="shared" si="4"/>
        <v>#DIV/0!</v>
      </c>
      <c r="AM45" s="103" t="e">
        <f t="shared" si="5"/>
        <v>#DIV/0!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 t="str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/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 t="str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/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 t="str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/>
      </c>
      <c r="S46" t="str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/>
      </c>
      <c r="T46" t="str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/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 t="str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/>
      </c>
      <c r="AA46" t="str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/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 t="e">
        <f t="shared" si="0"/>
        <v>#DIV/0!</v>
      </c>
      <c r="AI46" s="101">
        <f t="shared" si="1"/>
        <v>1</v>
      </c>
      <c r="AJ46" s="103" t="e">
        <f t="shared" si="2"/>
        <v>#DIV/0!</v>
      </c>
      <c r="AK46" s="103" t="e">
        <f t="shared" si="3"/>
        <v>#DIV/0!</v>
      </c>
      <c r="AL46" s="103" t="e">
        <f t="shared" si="4"/>
        <v>#DIV/0!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 t="str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/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 t="str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/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 t="str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/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 t="str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/>
      </c>
      <c r="N47" t="str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/>
      </c>
      <c r="O47" t="str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/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 t="str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/>
      </c>
      <c r="R47" t="str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/>
      </c>
      <c r="S47" t="str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/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 t="str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/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 t="e">
        <f t="shared" si="0"/>
        <v>#DIV/0!</v>
      </c>
      <c r="AI47" s="101" t="e">
        <f t="shared" si="1"/>
        <v>#DIV/0!</v>
      </c>
      <c r="AJ47" s="103" t="e">
        <f t="shared" si="2"/>
        <v>#DIV/0!</v>
      </c>
      <c r="AK47" s="103" t="e">
        <f t="shared" si="3"/>
        <v>#DIV/0!</v>
      </c>
      <c r="AL47" s="103" t="e">
        <f t="shared" si="4"/>
        <v>#DIV/0!</v>
      </c>
      <c r="AM47" s="103" t="e">
        <f t="shared" si="5"/>
        <v>#DIV/0!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 t="str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/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 t="str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/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 t="str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/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 t="str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/>
      </c>
      <c r="P48" t="str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/>
      </c>
      <c r="Q48" s="57" t="str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/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 t="str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/>
      </c>
      <c r="T48" t="str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/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 t="str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/>
      </c>
      <c r="W48" t="str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/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 t="str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/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 t="e">
        <f t="shared" si="0"/>
        <v>#DIV/0!</v>
      </c>
      <c r="AI48" s="101" t="e">
        <f t="shared" si="1"/>
        <v>#DIV/0!</v>
      </c>
      <c r="AJ48" s="103" t="e">
        <f t="shared" si="2"/>
        <v>#DIV/0!</v>
      </c>
      <c r="AK48" s="103" t="e">
        <f t="shared" si="3"/>
        <v>#DIV/0!</v>
      </c>
      <c r="AL48" s="103" t="e">
        <f t="shared" si="4"/>
        <v>#DIV/0!</v>
      </c>
      <c r="AM48" s="103" t="e">
        <f t="shared" si="5"/>
        <v>#DIV/0!</v>
      </c>
    </row>
    <row r="49" spans="1:39" x14ac:dyDescent="0.25">
      <c r="A49" s="57" t="s">
        <v>34</v>
      </c>
      <c r="B49" s="24" t="str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/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 t="str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/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 t="str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/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 t="str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/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 t="str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/>
      </c>
      <c r="Q49" s="57" t="str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/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 t="str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/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 t="str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/>
      </c>
      <c r="AE49" t="str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/>
      </c>
      <c r="AF49" t="str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/>
      </c>
      <c r="AG49" s="57" t="str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/>
      </c>
      <c r="AH49" s="101" t="e">
        <f t="shared" si="0"/>
        <v>#DIV/0!</v>
      </c>
      <c r="AI49" s="101" t="e">
        <f t="shared" si="1"/>
        <v>#DIV/0!</v>
      </c>
      <c r="AJ49" s="103" t="e">
        <f t="shared" si="2"/>
        <v>#DIV/0!</v>
      </c>
      <c r="AK49" s="103" t="e">
        <f t="shared" si="3"/>
        <v>#DIV/0!</v>
      </c>
      <c r="AL49" s="103" t="e">
        <f t="shared" si="4"/>
        <v>#DIV/0!</v>
      </c>
      <c r="AM49" s="103" t="e">
        <f t="shared" si="5"/>
        <v>#DIV/0!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 t="str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/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 t="str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/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 t="str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/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 t="str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/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 t="str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/>
      </c>
      <c r="M50" t="str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/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 t="str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/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 t="str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/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 t="str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/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 t="e">
        <f t="shared" si="0"/>
        <v>#DIV/0!</v>
      </c>
      <c r="AI50" s="101" t="e">
        <f t="shared" si="1"/>
        <v>#DIV/0!</v>
      </c>
      <c r="AJ50" s="103" t="e">
        <f t="shared" si="2"/>
        <v>#DIV/0!</v>
      </c>
      <c r="AK50" s="103" t="e">
        <f t="shared" si="3"/>
        <v>#DIV/0!</v>
      </c>
      <c r="AL50" s="103" t="e">
        <f t="shared" si="4"/>
        <v>#DIV/0!</v>
      </c>
      <c r="AM50" s="103" t="e">
        <f t="shared" si="5"/>
        <v>#DIV/0!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 t="str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/>
      </c>
      <c r="D51" t="str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/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 t="str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/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 t="str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/>
      </c>
      <c r="K51" t="str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/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 t="str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/>
      </c>
      <c r="N51" t="str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/>
      </c>
      <c r="O51" t="str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/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 t="str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/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 t="str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/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 t="e">
        <f t="shared" si="0"/>
        <v>#DIV/0!</v>
      </c>
      <c r="AI51" s="101" t="e">
        <f t="shared" si="1"/>
        <v>#DIV/0!</v>
      </c>
      <c r="AJ51" s="103" t="e">
        <f t="shared" si="2"/>
        <v>#DIV/0!</v>
      </c>
      <c r="AK51" s="103" t="e">
        <f t="shared" si="3"/>
        <v>#DIV/0!</v>
      </c>
      <c r="AL51" s="103" t="e">
        <f t="shared" si="4"/>
        <v>#DIV/0!</v>
      </c>
      <c r="AM51" s="103" t="e">
        <f t="shared" si="5"/>
        <v>#DIV/0!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 t="str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/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 t="str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/>
      </c>
      <c r="F52" s="58" t="str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/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 t="str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/>
      </c>
      <c r="M52" s="58" t="str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/>
      </c>
      <c r="N52" s="58" t="str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/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 t="str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/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 t="str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/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 t="str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/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 t="e">
        <f t="shared" si="0"/>
        <v>#DIV/0!</v>
      </c>
      <c r="AI52" s="102" t="e">
        <f t="shared" si="1"/>
        <v>#DIV/0!</v>
      </c>
      <c r="AJ52" s="104" t="e">
        <f t="shared" si="2"/>
        <v>#DIV/0!</v>
      </c>
      <c r="AK52" s="104" t="e">
        <f t="shared" si="3"/>
        <v>#DIV/0!</v>
      </c>
      <c r="AL52" s="104" t="e">
        <f t="shared" si="4"/>
        <v>#DIV/0!</v>
      </c>
      <c r="AM52" s="104" t="e">
        <f t="shared" si="5"/>
        <v>#DIV/0!</v>
      </c>
    </row>
    <row r="53" spans="1:39" ht="15.75" thickTop="1" x14ac:dyDescent="0.25">
      <c r="A53" s="57" t="s">
        <v>41</v>
      </c>
      <c r="B53" s="24" t="str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/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 t="str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/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 t="str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/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 t="str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/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 t="str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/>
      </c>
      <c r="L53" t="str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/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 t="str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/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 t="str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/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 t="e">
        <f t="shared" si="0"/>
        <v>#DIV/0!</v>
      </c>
      <c r="AI53" s="101" t="e">
        <f>AVERAGE($B53:$Q53)</f>
        <v>#DIV/0!</v>
      </c>
      <c r="AJ53" s="103" t="e">
        <f t="shared" si="2"/>
        <v>#DIV/0!</v>
      </c>
      <c r="AK53" s="103" t="e">
        <f t="shared" si="3"/>
        <v>#DIV/0!</v>
      </c>
      <c r="AL53" s="103" t="e">
        <f t="shared" si="4"/>
        <v>#DIV/0!</v>
      </c>
      <c r="AM53" s="103" t="e">
        <f t="shared" si="5"/>
        <v>#DIV/0!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 t="str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/>
      </c>
      <c r="L54" t="str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/>
      </c>
      <c r="M54" t="str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/>
      </c>
      <c r="N54" t="str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/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 t="str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/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 t="str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/>
      </c>
      <c r="Y54" s="57" t="str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/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 t="str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/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 t="str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/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 t="e">
        <f t="shared" si="0"/>
        <v>#DIV/0!</v>
      </c>
      <c r="AI54" s="101" t="e">
        <f t="shared" si="1"/>
        <v>#DIV/0!</v>
      </c>
      <c r="AJ54" s="103" t="e">
        <f t="shared" si="2"/>
        <v>#DIV/0!</v>
      </c>
      <c r="AK54" s="103" t="e">
        <f t="shared" si="3"/>
        <v>#DIV/0!</v>
      </c>
      <c r="AL54" s="103" t="e">
        <f t="shared" si="4"/>
        <v>#DIV/0!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 t="str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/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 t="str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/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 t="str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/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 t="str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/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 t="str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/>
      </c>
      <c r="S55" t="str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/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 t="str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/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 t="str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/>
      </c>
      <c r="AG55" s="57" t="str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/>
      </c>
      <c r="AH55" s="101" t="e">
        <f t="shared" si="0"/>
        <v>#DIV/0!</v>
      </c>
      <c r="AI55" s="101" t="e">
        <f t="shared" si="1"/>
        <v>#DIV/0!</v>
      </c>
      <c r="AJ55" s="103" t="e">
        <f t="shared" si="2"/>
        <v>#DIV/0!</v>
      </c>
      <c r="AK55" s="103" t="e">
        <f t="shared" si="3"/>
        <v>#DIV/0!</v>
      </c>
      <c r="AL55" s="103" t="e">
        <f t="shared" si="4"/>
        <v>#DIV/0!</v>
      </c>
      <c r="AM55" s="103" t="e">
        <f t="shared" si="5"/>
        <v>#DIV/0!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 t="str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/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 t="str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/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 t="str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/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 t="str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/>
      </c>
      <c r="X56" t="str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/>
      </c>
      <c r="Y56" s="57" t="str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/>
      </c>
      <c r="Z56" t="str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/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 t="str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/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 t="str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/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 t="e">
        <f t="shared" si="0"/>
        <v>#DIV/0!</v>
      </c>
      <c r="AI56" s="101" t="e">
        <f t="shared" si="1"/>
        <v>#DIV/0!</v>
      </c>
      <c r="AJ56" s="103" t="e">
        <f t="shared" si="2"/>
        <v>#DIV/0!</v>
      </c>
      <c r="AK56" s="103" t="e">
        <f t="shared" si="3"/>
        <v>#DIV/0!</v>
      </c>
      <c r="AL56" s="103" t="e">
        <f t="shared" si="4"/>
        <v>#DIV/0!</v>
      </c>
      <c r="AM56" s="103" t="e">
        <f t="shared" si="5"/>
        <v>#DIV/0!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 t="str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/>
      </c>
      <c r="D57" t="str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/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 t="str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/>
      </c>
      <c r="H57" t="str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/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 t="str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/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0.5</v>
      </c>
      <c r="Y57" s="57" t="str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/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 t="str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/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 t="str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/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 t="str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/>
      </c>
      <c r="AH57" s="101">
        <f t="shared" si="0"/>
        <v>0.5</v>
      </c>
      <c r="AI57" s="101" t="e">
        <f t="shared" si="1"/>
        <v>#DIV/0!</v>
      </c>
      <c r="AJ57" s="103" t="e">
        <f t="shared" si="2"/>
        <v>#DIV/0!</v>
      </c>
      <c r="AK57" s="103">
        <f t="shared" si="3"/>
        <v>0.5</v>
      </c>
      <c r="AL57" s="103" t="e">
        <f t="shared" si="4"/>
        <v>#DIV/0!</v>
      </c>
      <c r="AM57" s="103" t="e">
        <f t="shared" si="5"/>
        <v>#DIV/0!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 t="str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/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 t="str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/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 t="str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/>
      </c>
      <c r="R58" t="str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/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 t="str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/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 t="str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/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 t="str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/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 t="str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/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 t="e">
        <f t="shared" si="0"/>
        <v>#DIV/0!</v>
      </c>
      <c r="AI58" s="101" t="e">
        <f t="shared" si="1"/>
        <v>#DIV/0!</v>
      </c>
      <c r="AJ58" s="103" t="e">
        <f t="shared" si="2"/>
        <v>#DIV/0!</v>
      </c>
      <c r="AK58" s="103" t="e">
        <f t="shared" si="3"/>
        <v>#DIV/0!</v>
      </c>
      <c r="AL58" s="103" t="e">
        <f t="shared" si="4"/>
        <v>#DIV/0!</v>
      </c>
      <c r="AM58" s="103" t="e">
        <f t="shared" si="5"/>
        <v>#DIV/0!</v>
      </c>
    </row>
    <row r="59" spans="1:39" x14ac:dyDescent="0.25">
      <c r="A59" s="57" t="s">
        <v>20</v>
      </c>
      <c r="B59" s="24" t="str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/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 t="str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/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 t="str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/>
      </c>
      <c r="H59" t="str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/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 t="str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/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 t="str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/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 t="str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/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1</v>
      </c>
      <c r="W59" t="str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/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 t="str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/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1</v>
      </c>
      <c r="AI59" s="101" t="e">
        <f t="shared" si="1"/>
        <v>#DIV/0!</v>
      </c>
      <c r="AJ59" s="103" t="e">
        <f t="shared" si="2"/>
        <v>#DIV/0!</v>
      </c>
      <c r="AK59" s="103">
        <f t="shared" si="3"/>
        <v>1</v>
      </c>
      <c r="AL59" s="103" t="e">
        <f t="shared" si="4"/>
        <v>#DIV/0!</v>
      </c>
      <c r="AM59" s="103" t="e">
        <f t="shared" si="5"/>
        <v>#DIV/0!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 t="str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/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 t="str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/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 t="str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/>
      </c>
      <c r="M60" s="58" t="str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/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 t="str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/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 t="str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/>
      </c>
      <c r="V60" s="58" t="str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/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 t="str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/>
      </c>
      <c r="AF60" s="58" t="str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/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0.5</v>
      </c>
      <c r="AI60" s="102" t="e">
        <f t="shared" si="1"/>
        <v>#DIV/0!</v>
      </c>
      <c r="AJ60" s="104">
        <f t="shared" si="2"/>
        <v>0.5</v>
      </c>
      <c r="AK60" s="104" t="e">
        <f t="shared" si="3"/>
        <v>#DIV/0!</v>
      </c>
      <c r="AL60" s="104" t="e">
        <f t="shared" si="4"/>
        <v>#DIV/0!</v>
      </c>
      <c r="AM60" s="104" t="e">
        <f t="shared" si="5"/>
        <v>#DIV/0!</v>
      </c>
    </row>
    <row r="61" spans="1:39" ht="15.75" thickTop="1" x14ac:dyDescent="0.25">
      <c r="A61" s="57" t="s">
        <v>15</v>
      </c>
      <c r="B61" s="24" t="str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/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 t="str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/>
      </c>
      <c r="J61" t="str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/>
      </c>
      <c r="K61" t="str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/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 t="str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/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 t="str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/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 t="str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/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 t="str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/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 t="str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/>
      </c>
      <c r="AF61" t="str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/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1</v>
      </c>
      <c r="AI61" s="101" t="e">
        <f t="shared" si="1"/>
        <v>#DIV/0!</v>
      </c>
      <c r="AJ61" s="103" t="e">
        <f t="shared" si="2"/>
        <v>#DIV/0!</v>
      </c>
      <c r="AK61" s="103">
        <f t="shared" si="3"/>
        <v>1</v>
      </c>
      <c r="AL61" s="103" t="e">
        <f t="shared" si="4"/>
        <v>#DIV/0!</v>
      </c>
      <c r="AM61" s="103" t="e">
        <f t="shared" si="5"/>
        <v>#DIV/0!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 t="str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/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 t="str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/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 t="str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/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 t="str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/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 t="str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/>
      </c>
      <c r="AC62" t="str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/>
      </c>
      <c r="AD62" t="str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/>
      </c>
      <c r="AE62" t="str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/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 t="str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/>
      </c>
      <c r="AH62" s="101" t="e">
        <f t="shared" si="0"/>
        <v>#DIV/0!</v>
      </c>
      <c r="AI62" s="101" t="e">
        <f t="shared" si="1"/>
        <v>#DIV/0!</v>
      </c>
      <c r="AJ62" s="103" t="e">
        <f t="shared" si="2"/>
        <v>#DIV/0!</v>
      </c>
      <c r="AK62" s="103" t="e">
        <f t="shared" si="3"/>
        <v>#DIV/0!</v>
      </c>
      <c r="AL62" s="103" t="e">
        <f t="shared" si="4"/>
        <v>#DIV/0!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 t="str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/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 t="str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/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 t="str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/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 t="str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/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 t="str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/>
      </c>
      <c r="AD63" t="str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/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 t="str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/>
      </c>
      <c r="AG63" s="57" t="str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/>
      </c>
      <c r="AH63" s="101" t="e">
        <f t="shared" si="0"/>
        <v>#DIV/0!</v>
      </c>
      <c r="AI63" s="101" t="e">
        <f t="shared" si="1"/>
        <v>#DIV/0!</v>
      </c>
      <c r="AJ63" s="103" t="e">
        <f t="shared" si="2"/>
        <v>#DIV/0!</v>
      </c>
      <c r="AK63" s="103" t="e">
        <f t="shared" si="3"/>
        <v>#DIV/0!</v>
      </c>
      <c r="AL63" s="103" t="e">
        <f t="shared" si="4"/>
        <v>#DIV/0!</v>
      </c>
      <c r="AM63" s="103" t="e">
        <f t="shared" si="5"/>
        <v>#DIV/0!</v>
      </c>
    </row>
    <row r="64" spans="1:39" x14ac:dyDescent="0.25">
      <c r="A64" s="57" t="s">
        <v>13</v>
      </c>
      <c r="B64" s="24" t="str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/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 t="str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/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 t="str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/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 t="str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/>
      </c>
      <c r="X64" t="str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/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 t="str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/>
      </c>
      <c r="AA64" t="str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/>
      </c>
      <c r="AB64" t="str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/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 t="str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/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 t="e">
        <f t="shared" si="0"/>
        <v>#DIV/0!</v>
      </c>
      <c r="AI64" s="101">
        <f t="shared" si="1"/>
        <v>0.5</v>
      </c>
      <c r="AJ64" s="103" t="e">
        <f t="shared" si="2"/>
        <v>#DIV/0!</v>
      </c>
      <c r="AK64" s="103" t="e">
        <f t="shared" si="3"/>
        <v>#DIV/0!</v>
      </c>
      <c r="AL64" s="103">
        <f t="shared" si="4"/>
        <v>0.5</v>
      </c>
      <c r="AM64" s="103" t="e">
        <f t="shared" si="5"/>
        <v>#DIV/0!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 t="str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/>
      </c>
      <c r="D65" t="str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/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 t="str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/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 t="str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/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 t="str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/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 t="str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/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 t="str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/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 t="str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/>
      </c>
      <c r="AB65" t="str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/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</v>
      </c>
      <c r="AI65" s="101" t="e">
        <f t="shared" si="1"/>
        <v>#DIV/0!</v>
      </c>
      <c r="AJ65" s="103">
        <f t="shared" si="2"/>
        <v>0</v>
      </c>
      <c r="AK65" s="103" t="e">
        <f t="shared" si="3"/>
        <v>#DIV/0!</v>
      </c>
      <c r="AL65" s="103" t="e">
        <f t="shared" si="4"/>
        <v>#DIV/0!</v>
      </c>
      <c r="AM65" s="103" t="e">
        <f t="shared" si="5"/>
        <v>#DIV/0!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 t="str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/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 t="str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/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 t="str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/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 t="str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/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 t="str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/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 t="str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/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 t="str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/>
      </c>
      <c r="Z66" t="str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/>
      </c>
      <c r="AA66" t="str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/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 t="str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/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 t="str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/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 t="e">
        <f t="shared" si="0"/>
        <v>#DIV/0!</v>
      </c>
      <c r="AI66" s="101" t="e">
        <f t="shared" si="1"/>
        <v>#DIV/0!</v>
      </c>
      <c r="AJ66" s="103" t="e">
        <f t="shared" si="2"/>
        <v>#DIV/0!</v>
      </c>
      <c r="AK66" s="103" t="e">
        <f t="shared" si="3"/>
        <v>#DIV/0!</v>
      </c>
      <c r="AL66" s="103" t="e">
        <f t="shared" si="4"/>
        <v>#DIV/0!</v>
      </c>
      <c r="AM66" s="103" t="e">
        <f t="shared" si="5"/>
        <v>#DIV/0!</v>
      </c>
    </row>
    <row r="67" spans="1:39" x14ac:dyDescent="0.25">
      <c r="A67" s="57" t="s">
        <v>40</v>
      </c>
      <c r="B67" s="24" t="str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/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 t="str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/>
      </c>
      <c r="J67" t="str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/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 t="str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/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 t="str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/>
      </c>
      <c r="T67" t="str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/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 t="str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/>
      </c>
      <c r="Z67" t="str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/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 t="str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/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 t="str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/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 t="e">
        <f t="shared" si="0"/>
        <v>#DIV/0!</v>
      </c>
      <c r="AI67" s="101" t="e">
        <f t="shared" si="1"/>
        <v>#DIV/0!</v>
      </c>
      <c r="AJ67" s="103" t="e">
        <f t="shared" si="2"/>
        <v>#DIV/0!</v>
      </c>
      <c r="AK67" s="103" t="e">
        <f t="shared" si="3"/>
        <v>#DIV/0!</v>
      </c>
      <c r="AL67" s="103" t="e">
        <f t="shared" si="4"/>
        <v>#DIV/0!</v>
      </c>
      <c r="AM67" s="103" t="e">
        <f t="shared" si="5"/>
        <v>#DIV/0!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 t="str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/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 t="str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/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 t="str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/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 t="str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/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 t="str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/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 t="str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/>
      </c>
      <c r="AB68" s="58" t="str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/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0.5</v>
      </c>
      <c r="AI68" s="102" t="e">
        <f t="shared" si="1"/>
        <v>#DIV/0!</v>
      </c>
      <c r="AJ68" s="104">
        <f t="shared" si="2"/>
        <v>0.5</v>
      </c>
      <c r="AK68" s="104" t="e">
        <f t="shared" si="3"/>
        <v>#DIV/0!</v>
      </c>
      <c r="AL68" s="104" t="e">
        <f t="shared" si="4"/>
        <v>#DIV/0!</v>
      </c>
      <c r="AM68" s="104" t="e">
        <f t="shared" si="5"/>
        <v>#DIV/0!</v>
      </c>
    </row>
    <row r="69" spans="1:39" ht="15.75" thickTop="1" x14ac:dyDescent="0.25"/>
  </sheetData>
  <conditionalFormatting sqref="B2:AG33">
    <cfRule type="cellIs" dxfId="136" priority="1" operator="equal">
      <formula>"2-2-0"</formula>
    </cfRule>
    <cfRule type="cellIs" dxfId="135" priority="2" operator="equal">
      <formula>"1-1-0"</formula>
    </cfRule>
    <cfRule type="containsText" dxfId="134" priority="23" operator="containsText" text="0-1-0">
      <formula>NOT(ISERROR(SEARCH("0-1-0",B2)))</formula>
    </cfRule>
    <cfRule type="containsText" dxfId="133" priority="24" operator="containsText" text="0-2-0">
      <formula>NOT(ISERROR(SEARCH("0-2-0",B2)))</formula>
    </cfRule>
    <cfRule type="containsText" dxfId="132" priority="25" operator="containsText" text="0-3-0">
      <formula>NOT(ISERROR(SEARCH("0-3-0",B2)))</formula>
    </cfRule>
    <cfRule type="containsText" dxfId="131" priority="26" operator="containsText" text="0-4-0">
      <formula>NOT(ISERROR(SEARCH("0-4-0",B2)))</formula>
    </cfRule>
    <cfRule type="containsText" dxfId="130" priority="27" operator="containsText" text="1-0-0">
      <formula>NOT(ISERROR(SEARCH("1-0-0",B2)))</formula>
    </cfRule>
    <cfRule type="containsText" dxfId="129" priority="28" operator="containsText" text="2-0-0">
      <formula>NOT(ISERROR(SEARCH("2-0-0",B2)))</formula>
    </cfRule>
    <cfRule type="containsText" dxfId="128" priority="29" operator="containsText" text="3-0-0">
      <formula>NOT(ISERROR(SEARCH("3-0-0",B2)))</formula>
    </cfRule>
    <cfRule type="containsText" dxfId="127" priority="30" operator="containsText" text="4-0-0">
      <formula>NOT(ISERROR(SEARCH("4-0-0",B2)))</formula>
    </cfRule>
    <cfRule type="containsText" dxfId="126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Briggs</cp:lastModifiedBy>
  <dcterms:created xsi:type="dcterms:W3CDTF">2024-10-08T19:22:30Z</dcterms:created>
  <dcterms:modified xsi:type="dcterms:W3CDTF">2025-10-09T21:42:11Z</dcterms:modified>
</cp:coreProperties>
</file>