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" sheetId="1" state="visible" r:id="rId2"/>
    <sheet name="Service" sheetId="2" state="visible" r:id="rId3"/>
    <sheet name="Лист1" sheetId="3" state="visible" r:id="rId4"/>
    <sheet name="2-4U Riser|CPU|RBay" sheetId="4" state="visible" r:id="rId5"/>
    <sheet name="RearBay" sheetId="5" state="visible" r:id="rId6"/>
    <sheet name="ДанныеСервиса" sheetId="6" state="visible" r:id="rId7"/>
  </sheets>
  <definedNames>
    <definedName function="false" hidden="false" name="Срез_Срок" vbProcedure="false"/>
    <definedName function="false" hidden="false" name="Срез_Уровень_сервиса" vbProcedure="false"/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<sst xmlns="http://schemas.openxmlformats.org/spreadsheetml/2006/main" count="3992" uniqueCount="975">
  <si>
    <t xml:space="preserve">G2R</t>
  </si>
  <si>
    <t xml:space="preserve">G2</t>
  </si>
  <si>
    <t xml:space="preserve">G3</t>
  </si>
  <si>
    <t xml:space="preserve">AMD</t>
  </si>
  <si>
    <t xml:space="preserve">JBOD</t>
  </si>
  <si>
    <t xml:space="preserve">Adisk</t>
  </si>
  <si>
    <t xml:space="preserve">G3R</t>
  </si>
  <si>
    <t xml:space="preserve">G4</t>
  </si>
  <si>
    <t xml:space="preserve">Disabled</t>
  </si>
  <si>
    <t xml:space="preserve">Family</t>
  </si>
  <si>
    <t xml:space="preserve">Type</t>
  </si>
  <si>
    <t xml:space="preserve">Description</t>
  </si>
  <si>
    <t xml:space="preserve">PN</t>
  </si>
  <si>
    <t xml:space="preserve">цена GPL</t>
  </si>
  <si>
    <t xml:space="preserve">DescFull</t>
  </si>
  <si>
    <t xml:space="preserve">Name</t>
  </si>
  <si>
    <t xml:space="preserve">Power</t>
  </si>
  <si>
    <t xml:space="preserve">Комментарии</t>
  </si>
  <si>
    <t xml:space="preserve">Изменено</t>
  </si>
  <si>
    <t xml:space="preserve">UnitFixed</t>
  </si>
  <si>
    <t xml:space="preserve">UnitMin</t>
  </si>
  <si>
    <t xml:space="preserve">цена, р.</t>
  </si>
  <si>
    <t xml:space="preserve">курс</t>
  </si>
  <si>
    <t xml:space="preserve">цена GPL, $</t>
  </si>
  <si>
    <t xml:space="preserve">цена DDP, $</t>
  </si>
  <si>
    <t xml:space="preserve">цена DDP, руб</t>
  </si>
  <si>
    <t xml:space="preserve">цена FOB, $</t>
  </si>
  <si>
    <t xml:space="preserve">Столбец1</t>
  </si>
  <si>
    <t xml:space="preserve">Столбец2</t>
  </si>
  <si>
    <t xml:space="preserve">Cables</t>
  </si>
  <si>
    <t xml:space="preserve">Кабель SAS внешний 1m SFF-8644 - SFF-8644</t>
  </si>
  <si>
    <t xml:space="preserve">CBL-8644-8644</t>
  </si>
  <si>
    <t xml:space="preserve">Chassis</t>
  </si>
  <si>
    <t xml:space="preserve">24*LFF/SFF</t>
  </si>
  <si>
    <t xml:space="preserve">QSRV-463602</t>
  </si>
  <si>
    <t xml:space="preserve">Серверная платформа 4U QSRV-463602 36*LFF Active BP HDD; 2*Intel SL (LGA 3647 max 205W tdp); 24*DDR4 ; PCI-E x2 2*M.2; RPSU (1+1); 2*1GbE LAN;  IPMI; Rails; Техническая поддержка Base 8х5, 36 месяцев</t>
  </si>
  <si>
    <t xml:space="preserve">Сервер 4U QSRV-463602 24*LFF/SFF</t>
  </si>
  <si>
    <t xml:space="preserve">QSRV-462402</t>
  </si>
  <si>
    <t xml:space="preserve">Серверная платформа 4U QSRV-462402 24*LFF Active BP HDD; 2*Intel SL (LGA 3647 max 205W tdp); 24*DDR4 ; PCI-E x2 2*M.2; RPSU (1+1); 2*1GbE LAN;  IPMI; Rails; Техническая поддержка Base 8х5, 36 месяцев</t>
  </si>
  <si>
    <t xml:space="preserve">Сервер 4U QSRV-462402 24*LFF/SFF</t>
  </si>
  <si>
    <t xml:space="preserve">12*LFF/SFF</t>
  </si>
  <si>
    <t xml:space="preserve">QSRV-261202</t>
  </si>
  <si>
    <t xml:space="preserve">Серверная платформа 2U QSRV-261202 8*LFF Active BP HDD; 2*Intel SL (LGA 3647 max 205W tdp); 24*DDR4 ; PCI-E x2 2*M.2; RPSU (1+1); 2*1GbE LAN;  IPMI; Rails; Техническая поддержка Base 8х5, 36 месяцев</t>
  </si>
  <si>
    <t xml:space="preserve">Сервер 2U QSRV-261202 12*LFF/SFF</t>
  </si>
  <si>
    <t xml:space="preserve">8*LFF/SFF</t>
  </si>
  <si>
    <t xml:space="preserve">QSRV-260802</t>
  </si>
  <si>
    <t xml:space="preserve">Серверная платформа 2U QSRV-260802 8*LFF HDD; 2*Intel SL (LGA 3647 max 205W tdp); 24*DDR4 ; Software Raid 0,1,10; PCI-E x2 2*M.2; RPSU (1+1); 2*1GbE LAN;  IPMI; Rails; Техническая поддержка Base 8х5, 36 месяцев</t>
  </si>
  <si>
    <t xml:space="preserve">Сервер 2U QSRV-260802 8*LFF/SFF</t>
  </si>
  <si>
    <t xml:space="preserve">4*LFF/SFF</t>
  </si>
  <si>
    <t xml:space="preserve">QSRV-160402</t>
  </si>
  <si>
    <t xml:space="preserve">Серверная платформа 1U QSRV-160402 4*LFF HDD; 2*Intel SL (LGA 3647 max 205W tdp); 24*DDR4 ; Software Raid 0,1,10; PCI-E x2 2*M.2; RPSU (1+1); 2*1GbE LAN; 1*X16 PCI-E; IPMI; Rails; Техническая поддержка Base 8х5, 36 месяцев</t>
  </si>
  <si>
    <t xml:space="preserve">Сервер 1U QSRV-160402 4*LFF/SFF</t>
  </si>
  <si>
    <t xml:space="preserve">36*LFF/SFF</t>
  </si>
  <si>
    <t xml:space="preserve">QSRV-473602</t>
  </si>
  <si>
    <t xml:space="preserve">Серверная платформа 4U QSRV-473602 36*LFF Active BP HDD; 2*Intel SL (FCLGA4189 max 270W tdp); 32*DDR4 ; PCI-E x4 2*M.2; RPSU (1+1); 2*1GbE LAN; OCP 3.0;  IPMI; Rails; Техническая поддержка Base 8х5, 36 месяцев</t>
  </si>
  <si>
    <t xml:space="preserve">Сервер 4U QSRV-473602 36*LFF/SFF</t>
  </si>
  <si>
    <t xml:space="preserve">QSRV-472402</t>
  </si>
  <si>
    <t xml:space="preserve">Серверная платформа 4U QSRV-472402 24*LFF Active BP HDD; 2*Intel SL (FCLGA4189 max 270W tdp); 32*DDR4 ; PCI-E x4 2*M.2; RPSU (1+1); 2*1GbE LAN; OCP 3.0;  IPMI; Rails; Техническая поддержка Base 8х5, 36 месяцев</t>
  </si>
  <si>
    <t xml:space="preserve">Сервер 4U QSRV-472402 24*LFF/SFF</t>
  </si>
  <si>
    <t xml:space="preserve">QSRV-271202</t>
  </si>
  <si>
    <t xml:space="preserve">Серверная платформа 2U QSRV-271202 12*LFF Active BP HDD; 2*Intel SL (FCLGA4189 max 270W tdp); 32*DDR4 ; PCI-E x4 2*M.2; RPSU (1+1); 2*1GbE LAN; OCP 3.0;  IPMI; Rails; Техническая поддержка Base 8х5, 36 месяцев</t>
  </si>
  <si>
    <t xml:space="preserve">Сервер 2U QSRV-271202 12*LFF/SFF</t>
  </si>
  <si>
    <t xml:space="preserve">QSRV-270802</t>
  </si>
  <si>
    <t xml:space="preserve">Серверная платформа 2U QSRV-270802 8*LFF HDD; 2*Intel SL (FCLGA4189 max 270W tdp); 32*DDR4 ; SATA Software Raid 0,1,10; PCI-E x4 2*M.2; RPSU (1+1); 2*1GbE LAN; OCP 3.0;  IPMI; Rails; Техническая поддержка Base 8х5, 36 месяцев</t>
  </si>
  <si>
    <t xml:space="preserve">Сервер 2U QSRV-270802 8*LFF/SFF</t>
  </si>
  <si>
    <t xml:space="preserve">QSRV-170402</t>
  </si>
  <si>
    <t xml:space="preserve">Серверная платформа 1U QSRV-170402 4*LFF HDD; 2*Intel SL (FCLGA4189 max 270W tdp); 32*DDR4 ; SATA Software Raid 0,1,10; PCI-E x4 2*M.2; RPSU (1+1); 2*1GbE LAN; OCP 3.0; 1*X16 PCI-E; IPMI; Rails; Техническая поддержка Base 8х5, 36 месяцев</t>
  </si>
  <si>
    <t xml:space="preserve">Сервер 1U QSRV-170402 4*LFF/SFF</t>
  </si>
  <si>
    <t xml:space="preserve">QSRV-424</t>
  </si>
  <si>
    <t xml:space="preserve">Дисковая полка 4U Dual Controller SAS 3.0 JBOD; 24*LFF/SFF; 6* SAS 8644 port; 2* 1m SAS ext Cable; 2* 550W PSU, Rails; Техническая поддержка Base 8х5, 36 месяцев</t>
  </si>
  <si>
    <t xml:space="preserve">Дисковая полка 4U Dual Controller SAS 3.0 JBOD</t>
  </si>
  <si>
    <t xml:space="preserve">24*SFF</t>
  </si>
  <si>
    <t xml:space="preserve">QSRV-224</t>
  </si>
  <si>
    <t xml:space="preserve">Дисковая полка 2U Dual Controller SAS 3.0 JBOD; 24*SFF; 6* SAS 8644 port; 2* 1m SAS ext Cable; 2* 550W PSU, Rails; Техническая поддержка Base 8х5, 36 месяцев</t>
  </si>
  <si>
    <t xml:space="preserve">Дисковая полка 2U Dual Controller SAS 3.0 JBOD</t>
  </si>
  <si>
    <t xml:space="preserve">SFF</t>
  </si>
  <si>
    <t xml:space="preserve">25*SFF</t>
  </si>
  <si>
    <t xml:space="preserve">QSRV-262502</t>
  </si>
  <si>
    <t xml:space="preserve">Серверная платформа 2U QSRV-262502 25*SFF Active BP HDD; 2*Intel SL (LGA 3647 max 205W tdp); 24*DDR4 ; Software Raid 0,1,10; PCI-E x2 2*M.2; RPSU (1+1); 2*1GbE LAN;  IPMI; Rails; Техническая поддержка Base 8х5, 36 месяцев</t>
  </si>
  <si>
    <t xml:space="preserve">Сервер 2U QSRV-262502 25*SFF</t>
  </si>
  <si>
    <t xml:space="preserve">10*SFF</t>
  </si>
  <si>
    <t xml:space="preserve">QSRV-161002</t>
  </si>
  <si>
    <t xml:space="preserve">Серверная платформа 1U QSRV-161002 10*SFF HDD; 2*Intel SL (LGA 3647 max 205W tdp); 24*DDR4 ; Software Raid 0,1,10; PCI-E x2 2*M.2; RPSU (1+1); 2*1GbE LAN; 1*X16 PCI-E; IPMI; Rails; Техническая поддержка Base 8х5, 36 месяцев</t>
  </si>
  <si>
    <t xml:space="preserve">Сервер 1U QSRV-161002 10*SFF</t>
  </si>
  <si>
    <t xml:space="preserve">QSRV-262502A</t>
  </si>
  <si>
    <t xml:space="preserve">Серверная платформа 2U QSRV-262502A 25*SFF Active BP HDD; 2*AMD Epyc 7002/7003 (SP3 max 225W tdp); 32*DDR4; SATA Controller; PCI-E x2 2*M.2; RPSU (1+1); 2*1GbE LAN;  IPMI; Rails; Техническая поддержка Base 8х5, 36 месяцев</t>
  </si>
  <si>
    <t xml:space="preserve">QSRV-161002A</t>
  </si>
  <si>
    <t xml:space="preserve">Серверная платформа 1U QSRV-161002A 10*SFF HDD; 2*AMD Epyc 7002/7003 (SP3 max 225W tdp); 32*DDR4 ; SATA Controller; PCI-E x2 2*M.2; RPSU (1+1); 2*1GbE LAN; 1*X16 PCI-E; IPMI; Rails; Техническая поддержка Base 8х5, 36 месяцев</t>
  </si>
  <si>
    <t xml:space="preserve">QSRV-272502</t>
  </si>
  <si>
    <t xml:space="preserve">Серверная платформа 2U QSRV-272502 25*SFF Active BP HDD; 2*Intel SL (FCLGA4189 max 270W tdp); 32*DDR4 ; PCI-E x4 2*M.2; RPSU (1+1); 2*1GbE LAN; OCP 3.0;  IPMI; Rails; Техническая поддержка Base 8х5, 36 месяцев</t>
  </si>
  <si>
    <t xml:space="preserve">Сервер 2U QSRV-272502 25*SFF</t>
  </si>
  <si>
    <t xml:space="preserve">QSRV-171002</t>
  </si>
  <si>
    <t xml:space="preserve">Серверная платформа 1U QSRV-171002 10*SFF HDD; 2*Intel SL (FCLGA4189 max 270W tdp); 32*DDR4 ; SATA Software Raid 0,1,10; PCI-E x4 2*M.2; RPSU (1+1); 2*1GbE LAN; OCP 3.0; 1*X16 PCI-E; IPMI; Rails; Техническая поддержка Base 8х5, 36 месяцев</t>
  </si>
  <si>
    <t xml:space="preserve">Сервер 1U QSRV-171002 10*SFF</t>
  </si>
  <si>
    <t xml:space="preserve">CPU </t>
  </si>
  <si>
    <t xml:space="preserve">AMD EPYC 7252 8C 3.1 GHz</t>
  </si>
  <si>
    <t xml:space="preserve">EP7252</t>
  </si>
  <si>
    <t xml:space="preserve">AMD EPYC 7262 8C 3.2 GHz</t>
  </si>
  <si>
    <t xml:space="preserve">EP7262</t>
  </si>
  <si>
    <t xml:space="preserve">AMD EPYC 7272 12C 2.9 GHz</t>
  </si>
  <si>
    <t xml:space="preserve">EP7272</t>
  </si>
  <si>
    <t xml:space="preserve">AMD EPYC 7282 16C 2.8 GHz</t>
  </si>
  <si>
    <t xml:space="preserve">EP7282</t>
  </si>
  <si>
    <t xml:space="preserve">AMD EPYC 72F3 8C 3.7 GHz</t>
  </si>
  <si>
    <t xml:space="preserve">EP72F3</t>
  </si>
  <si>
    <t xml:space="preserve">AMD EPYC 7302 16C 3.0 GHz</t>
  </si>
  <si>
    <t xml:space="preserve">EP7302</t>
  </si>
  <si>
    <t xml:space="preserve">AMD EPYC 7313 16C 3.0 GHz</t>
  </si>
  <si>
    <t xml:space="preserve">EP7313</t>
  </si>
  <si>
    <t xml:space="preserve">AMD EPYC 7343 16C 3.2 GHz</t>
  </si>
  <si>
    <t xml:space="preserve">EP7343</t>
  </si>
  <si>
    <t xml:space="preserve">AMD EPYC 7352 24C 2.3 GHz</t>
  </si>
  <si>
    <t xml:space="preserve">EP7352</t>
  </si>
  <si>
    <t xml:space="preserve">AMD EPYC 73F3 16C 3.5 GHz</t>
  </si>
  <si>
    <t xml:space="preserve">EP73F3</t>
  </si>
  <si>
    <t xml:space="preserve">AMD EPYC 7402 24C 2.8 GHz</t>
  </si>
  <si>
    <t xml:space="preserve">EP7402</t>
  </si>
  <si>
    <t xml:space="preserve">AMD EPYC 7413 24C 2.65 GHz</t>
  </si>
  <si>
    <t xml:space="preserve">EP7413</t>
  </si>
  <si>
    <t xml:space="preserve">AMD EPYC 7443 24C 2.85 GHz</t>
  </si>
  <si>
    <t xml:space="preserve">EP7443</t>
  </si>
  <si>
    <t xml:space="preserve">AMD EPYC 7452 32C 2.35 GHz</t>
  </si>
  <si>
    <t xml:space="preserve">EP7452</t>
  </si>
  <si>
    <t xml:space="preserve">AMD EPYC 7453 28C 2.75 GHz</t>
  </si>
  <si>
    <t xml:space="preserve">EP7453</t>
  </si>
  <si>
    <t xml:space="preserve">AMD EPYC 74F3 24C 3.2 GHz</t>
  </si>
  <si>
    <t xml:space="preserve">EP74F3</t>
  </si>
  <si>
    <t xml:space="preserve">AMD EPYC 7502 32C 2.5 GHz</t>
  </si>
  <si>
    <t xml:space="preserve">EP7502</t>
  </si>
  <si>
    <t xml:space="preserve">AMD EPYC 7513 32C 2.6 GHz</t>
  </si>
  <si>
    <t xml:space="preserve">EP7513</t>
  </si>
  <si>
    <t xml:space="preserve">AMD EPYC 7532 32C 2.4 GHz</t>
  </si>
  <si>
    <t xml:space="preserve">EP7532</t>
  </si>
  <si>
    <t xml:space="preserve">AMD EPYC 7542 32C 2.9 GHz</t>
  </si>
  <si>
    <t xml:space="preserve">EP7533</t>
  </si>
  <si>
    <t xml:space="preserve">AMD EPYC 7543 32C 2.8 GHz</t>
  </si>
  <si>
    <t xml:space="preserve">EP7543</t>
  </si>
  <si>
    <t xml:space="preserve">AMD EPYC 7552 48C 2.2 GHz</t>
  </si>
  <si>
    <t xml:space="preserve">EP7552</t>
  </si>
  <si>
    <t xml:space="preserve">AMD EPYC 75F3 32C 2.95 GHz</t>
  </si>
  <si>
    <t xml:space="preserve">EP75F3</t>
  </si>
  <si>
    <t xml:space="preserve">AMD EPYC 7642 48C 2.3 GHz</t>
  </si>
  <si>
    <t xml:space="preserve">EP7642</t>
  </si>
  <si>
    <t xml:space="preserve">AMD EPYC 7643 48C 2.3 GHz</t>
  </si>
  <si>
    <t xml:space="preserve">EP7643</t>
  </si>
  <si>
    <t xml:space="preserve">AMD EPYC 7662 64C 2.0 GHz</t>
  </si>
  <si>
    <t xml:space="preserve">EP7662</t>
  </si>
  <si>
    <t xml:space="preserve">AMD EPYC 7663 56C 2.0 GHz</t>
  </si>
  <si>
    <t xml:space="preserve">EP7663</t>
  </si>
  <si>
    <t xml:space="preserve">AMD EPYC 7702 64C 2.0 GHz</t>
  </si>
  <si>
    <t xml:space="preserve">EP7702</t>
  </si>
  <si>
    <t xml:space="preserve">AMD EPYC 7713 64C 2.0 GHz</t>
  </si>
  <si>
    <t xml:space="preserve">EP7713</t>
  </si>
  <si>
    <t xml:space="preserve">AMD EPYC 7742 64C 2.25 GHz</t>
  </si>
  <si>
    <t xml:space="preserve">EP7742</t>
  </si>
  <si>
    <t xml:space="preserve">AMD EPYC 7763 64C 2.45 GHz</t>
  </si>
  <si>
    <t xml:space="preserve">EP7763</t>
  </si>
  <si>
    <t xml:space="preserve">AMD EPYC 7F32 8C 3.7 GHz</t>
  </si>
  <si>
    <t xml:space="preserve">EP7H32</t>
  </si>
  <si>
    <t xml:space="preserve">AMD EPYC 7F52 16C 3.5 GHz</t>
  </si>
  <si>
    <t xml:space="preserve">EP7F52</t>
  </si>
  <si>
    <t xml:space="preserve">AMD EPYC 7F72 24C 3.2 GHz</t>
  </si>
  <si>
    <t xml:space="preserve">EP7F72</t>
  </si>
  <si>
    <t xml:space="preserve">AMD EPYC 7H12 64C 2.6 GHz</t>
  </si>
  <si>
    <t xml:space="preserve">EP7H12</t>
  </si>
  <si>
    <t xml:space="preserve">Heatsink</t>
  </si>
  <si>
    <t xml:space="preserve">Heatsink 1U, up to 205W TDP</t>
  </si>
  <si>
    <t xml:space="preserve">1UHTS205</t>
  </si>
  <si>
    <t xml:space="preserve">Heatsink 2U/3U/4U, up to 205W TDP</t>
  </si>
  <si>
    <t xml:space="preserve">2UHTS205</t>
  </si>
  <si>
    <t xml:space="preserve">Intel</t>
  </si>
  <si>
    <t xml:space="preserve">Intel Xeon Bronze 3204 6C 1.9 GHz</t>
  </si>
  <si>
    <t xml:space="preserve">B3204</t>
  </si>
  <si>
    <t xml:space="preserve">Intel Xeon Bronze 3206R 8C 1.9 GHz</t>
  </si>
  <si>
    <t xml:space="preserve">B3206R</t>
  </si>
  <si>
    <t xml:space="preserve">Intel Xeon Gold 5217 8C 3.0 GHz</t>
  </si>
  <si>
    <t xml:space="preserve">G5217</t>
  </si>
  <si>
    <t xml:space="preserve">Intel Xeon Gold 5218 16C 2.3 GHz</t>
  </si>
  <si>
    <t xml:space="preserve">G5218</t>
  </si>
  <si>
    <t xml:space="preserve">Intel Xeon Gold 5218R 20C 2.1 GHz</t>
  </si>
  <si>
    <t xml:space="preserve">G5218R</t>
  </si>
  <si>
    <t xml:space="preserve">Intel Xeon Gold 5220R 24C 2.2 GHz</t>
  </si>
  <si>
    <t xml:space="preserve">G5220R</t>
  </si>
  <si>
    <t xml:space="preserve">Intel Xeon Gold 5222 4C 3.8 GHz</t>
  </si>
  <si>
    <t xml:space="preserve">G5222</t>
  </si>
  <si>
    <t xml:space="preserve">Intel Xeon Gold 5317 12C 3.0 GHz</t>
  </si>
  <si>
    <t xml:space="preserve">G5317</t>
  </si>
  <si>
    <t xml:space="preserve">Intel Xeon Gold 5318Y 24C 2.1 GHz</t>
  </si>
  <si>
    <t xml:space="preserve">G5318Y</t>
  </si>
  <si>
    <t xml:space="preserve">Intel Xeon Gold 5320 26C 2.2 GHz</t>
  </si>
  <si>
    <t xml:space="preserve">G5320</t>
  </si>
  <si>
    <t xml:space="preserve">Intel Xeon Gold 6226 12C 2.7 GHz</t>
  </si>
  <si>
    <t xml:space="preserve">G6226</t>
  </si>
  <si>
    <t xml:space="preserve">Intel Xeon Gold 6226R 16C 2.9 GHz</t>
  </si>
  <si>
    <t xml:space="preserve">G6226R</t>
  </si>
  <si>
    <t xml:space="preserve">Intel Xeon Gold 6230 20C 2.1 GHz</t>
  </si>
  <si>
    <t xml:space="preserve">G6230</t>
  </si>
  <si>
    <t xml:space="preserve">Intel Xeon Gold 6230R 26C 2.1 GHz</t>
  </si>
  <si>
    <t xml:space="preserve">G6230R</t>
  </si>
  <si>
    <t xml:space="preserve">Intel Xeon Gold 6238R 28C 2.2 GHz</t>
  </si>
  <si>
    <t xml:space="preserve">G6238R</t>
  </si>
  <si>
    <t xml:space="preserve">Intel Xeon Gold 6240 18C 2.6 GHz</t>
  </si>
  <si>
    <t xml:space="preserve">G6240</t>
  </si>
  <si>
    <t xml:space="preserve">Intel Xeon Gold 6240R 24C 2.4 GHz</t>
  </si>
  <si>
    <t xml:space="preserve">G6240R</t>
  </si>
  <si>
    <t xml:space="preserve">Intel Xeon Gold 6242R 20C 3.1 GHz</t>
  </si>
  <si>
    <t xml:space="preserve">G6242R</t>
  </si>
  <si>
    <t xml:space="preserve">Intel Xeon Gold 6246R 16C 3.4 GHz</t>
  </si>
  <si>
    <t xml:space="preserve">G6246R</t>
  </si>
  <si>
    <t xml:space="preserve">Intel Xeon Gold 6326 16C 2.9 GHz</t>
  </si>
  <si>
    <t xml:space="preserve">G6326</t>
  </si>
  <si>
    <t xml:space="preserve">Intel Xeon Gold 6330 28C 2.0 GHz</t>
  </si>
  <si>
    <t xml:space="preserve">G6330</t>
  </si>
  <si>
    <t xml:space="preserve">Intel Xeon Gold 6334 8C 3.6 GHz</t>
  </si>
  <si>
    <t xml:space="preserve">G6334</t>
  </si>
  <si>
    <t xml:space="preserve">Intel Xeon Gold 6338 32C 2.0 GHz</t>
  </si>
  <si>
    <t xml:space="preserve">G6338</t>
  </si>
  <si>
    <t xml:space="preserve">Intel Xeon Gold 6342 24C 2.8 GHz</t>
  </si>
  <si>
    <t xml:space="preserve">G6342</t>
  </si>
  <si>
    <t xml:space="preserve">Intel Xeon Gold 6348 28C 2.6 GHz</t>
  </si>
  <si>
    <t xml:space="preserve">G6348</t>
  </si>
  <si>
    <t xml:space="preserve">Intel Xeon Gold 6354 18C 3.0 GHz</t>
  </si>
  <si>
    <t xml:space="preserve">G6354</t>
  </si>
  <si>
    <t xml:space="preserve">Intel Xeon Silver 4208 8C 2.1 GHz</t>
  </si>
  <si>
    <t xml:space="preserve">S4208</t>
  </si>
  <si>
    <t xml:space="preserve">Intel Xeon Silver 4210 10C 2.2 GHz</t>
  </si>
  <si>
    <t xml:space="preserve">S4210</t>
  </si>
  <si>
    <t xml:space="preserve">Intel Xeon Silver 4210R 10C 2.4 GHz</t>
  </si>
  <si>
    <t xml:space="preserve">S4210R</t>
  </si>
  <si>
    <t xml:space="preserve">Intel Xeon Silver 4214 12C 2.2 GHz</t>
  </si>
  <si>
    <t xml:space="preserve">S4214</t>
  </si>
  <si>
    <t xml:space="preserve">Intel Xeon Silver 4214R 12C 2.4 GHz</t>
  </si>
  <si>
    <t xml:space="preserve">S4214R</t>
  </si>
  <si>
    <t xml:space="preserve">Intel Xeon Silver 4215 8C 2.5 GHz</t>
  </si>
  <si>
    <t xml:space="preserve">S4215</t>
  </si>
  <si>
    <t xml:space="preserve">Intel Xeon Silver 4215R 8C 3.2 GHz</t>
  </si>
  <si>
    <t xml:space="preserve">S4215R</t>
  </si>
  <si>
    <t xml:space="preserve">Intel Xeon Silver 4216 16C 2.1 GHz</t>
  </si>
  <si>
    <t xml:space="preserve">S4216</t>
  </si>
  <si>
    <t xml:space="preserve">Intel Xeon Silver 4310 12C 2.1 GHz</t>
  </si>
  <si>
    <t xml:space="preserve">S4310</t>
  </si>
  <si>
    <t xml:space="preserve">Intel Xeon Silver 4314 16C 2.4 GHz</t>
  </si>
  <si>
    <t xml:space="preserve">S4314</t>
  </si>
  <si>
    <t xml:space="preserve">Intel Xeon Silver 4316 20C 2.3 GHz</t>
  </si>
  <si>
    <t xml:space="preserve">S4316</t>
  </si>
  <si>
    <t xml:space="preserve">Memory</t>
  </si>
  <si>
    <t xml:space="preserve">128GB DDR4 RDIMM ECC 3200MHz</t>
  </si>
  <si>
    <t xml:space="preserve">128RD32</t>
  </si>
  <si>
    <t xml:space="preserve">16GB DDR4 RDIMM ECC 3200MHz</t>
  </si>
  <si>
    <t xml:space="preserve">16RD32</t>
  </si>
  <si>
    <t xml:space="preserve">32GB DDR4 RDIMM ECC 3200MHz</t>
  </si>
  <si>
    <t xml:space="preserve">32RD32</t>
  </si>
  <si>
    <t xml:space="preserve">64GB DDR4 RDIMM ECC 3200MHz</t>
  </si>
  <si>
    <t xml:space="preserve">64RD32</t>
  </si>
  <si>
    <t xml:space="preserve">8GB DDR4 RDIMM ECC 3200MHz</t>
  </si>
  <si>
    <t xml:space="preserve">8RD32</t>
  </si>
  <si>
    <t xml:space="preserve">PCI-E</t>
  </si>
  <si>
    <t xml:space="preserve">FC</t>
  </si>
  <si>
    <t xml:space="preserve">FC 16G 2-port HBA</t>
  </si>
  <si>
    <t xml:space="preserve">216GFC</t>
  </si>
  <si>
    <t xml:space="preserve">FC 32G 2-port HBA</t>
  </si>
  <si>
    <t xml:space="preserve">232GFC</t>
  </si>
  <si>
    <t xml:space="preserve">GPU</t>
  </si>
  <si>
    <t xml:space="preserve">GPU GEFORCE GT730 2GB</t>
  </si>
  <si>
    <t xml:space="preserve">GFGT730</t>
  </si>
  <si>
    <t xml:space="preserve">GPU T400 4GB ; </t>
  </si>
  <si>
    <t xml:space="preserve">T4004</t>
  </si>
  <si>
    <t xml:space="preserve">GPU T1000 8GB ; </t>
  </si>
  <si>
    <t xml:space="preserve">T10008</t>
  </si>
  <si>
    <t xml:space="preserve">GPU Nvidia RTX A2000 6GB; </t>
  </si>
  <si>
    <t xml:space="preserve">RTXA20006</t>
  </si>
  <si>
    <t xml:space="preserve">GPU Nvidia RTX A4000 16GB; </t>
  </si>
  <si>
    <t xml:space="preserve">RTXA400016</t>
  </si>
  <si>
    <t xml:space="preserve">GPU TESLA T4 16GB; </t>
  </si>
  <si>
    <t xml:space="preserve">TESLAT416</t>
  </si>
  <si>
    <t xml:space="preserve">GPU TESLA A2 16GB; </t>
  </si>
  <si>
    <t xml:space="preserve">TESLAA216</t>
  </si>
  <si>
    <t xml:space="preserve">GPU TESLA L4 24GB; </t>
  </si>
  <si>
    <t xml:space="preserve">TESLAL424</t>
  </si>
  <si>
    <t xml:space="preserve">LAN</t>
  </si>
  <si>
    <t xml:space="preserve">LAN 100GbE 2-port QSFP28</t>
  </si>
  <si>
    <t xml:space="preserve">2100GQSFP28</t>
  </si>
  <si>
    <t xml:space="preserve">LAN 10GbE 2-port RJ45</t>
  </si>
  <si>
    <t xml:space="preserve">210GBT</t>
  </si>
  <si>
    <t xml:space="preserve">LAN 10GbE 2-port SFP+</t>
  </si>
  <si>
    <t xml:space="preserve">210GSFP+</t>
  </si>
  <si>
    <t xml:space="preserve">LAN 1GbE 2-port RJ45</t>
  </si>
  <si>
    <t xml:space="preserve">21GBT</t>
  </si>
  <si>
    <t xml:space="preserve">LAN 25GbE 2-port SFP28</t>
  </si>
  <si>
    <t xml:space="preserve">225GSFP28</t>
  </si>
  <si>
    <t xml:space="preserve">LAN 40GbE 2-port QSFP+</t>
  </si>
  <si>
    <t xml:space="preserve">240GQSFP+</t>
  </si>
  <si>
    <t xml:space="preserve">LAN 10GbE 4-port SFP+</t>
  </si>
  <si>
    <t xml:space="preserve">410GSFP+</t>
  </si>
  <si>
    <t xml:space="preserve">LAN 1GbE 4-port RJ45</t>
  </si>
  <si>
    <t xml:space="preserve">41GBT</t>
  </si>
  <si>
    <t xml:space="preserve">Transceiver</t>
  </si>
  <si>
    <t xml:space="preserve">Кабель AOC 25G SFP28 1m</t>
  </si>
  <si>
    <t xml:space="preserve">QSC-25G-CAB-A1</t>
  </si>
  <si>
    <t xml:space="preserve">Кабель AOC 25G SFP28 10m</t>
  </si>
  <si>
    <t xml:space="preserve">QSC-25G-CAB-A10</t>
  </si>
  <si>
    <t xml:space="preserve">Кабель AOC 25G SFP28 15m</t>
  </si>
  <si>
    <t xml:space="preserve">QSC-25G-CAB-A15</t>
  </si>
  <si>
    <t xml:space="preserve">Кабель AOC 25G SFP28 3m</t>
  </si>
  <si>
    <t xml:space="preserve">QSC-25G-CAB-A3</t>
  </si>
  <si>
    <t xml:space="preserve">Кабель AOC 25G SFP28 5m</t>
  </si>
  <si>
    <t xml:space="preserve">QSC-25G-CAB-A5</t>
  </si>
  <si>
    <t xml:space="preserve">Кабель DAC 25G SFP28 1м</t>
  </si>
  <si>
    <t xml:space="preserve">QSC-25G-CAB-P1</t>
  </si>
  <si>
    <t xml:space="preserve">Кабель DAC 25G SFP28 2м</t>
  </si>
  <si>
    <t xml:space="preserve">QSC-25G-CAB-P2</t>
  </si>
  <si>
    <t xml:space="preserve">Кабель DAC 25G SFP28 3м</t>
  </si>
  <si>
    <t xml:space="preserve">QSC-25G-CAB-P3</t>
  </si>
  <si>
    <t xml:space="preserve">Кабель DAC 25G SFP28 5м</t>
  </si>
  <si>
    <t xml:space="preserve">QSC-25G-CAB-P5</t>
  </si>
  <si>
    <t xml:space="preserve">Кабель AOC 10G SFP+ 1m</t>
  </si>
  <si>
    <t xml:space="preserve">QSC-SFP+-CAB-A1</t>
  </si>
  <si>
    <t xml:space="preserve">Кабель AOC 10G SFP+ 10m</t>
  </si>
  <si>
    <t xml:space="preserve">QSC-SFP+-CAB-A10</t>
  </si>
  <si>
    <t xml:space="preserve">Кабель AOC 10G SFP+ 2m</t>
  </si>
  <si>
    <t xml:space="preserve">QSC-SFP+-CAB-A2</t>
  </si>
  <si>
    <t xml:space="preserve">Кабель AOC 10G SFP+ 3m</t>
  </si>
  <si>
    <t xml:space="preserve">QSC-SFP+-CAB-A3</t>
  </si>
  <si>
    <t xml:space="preserve">Кабель AOC 10G SFP+ 5m</t>
  </si>
  <si>
    <t xml:space="preserve">QSC-SFP+-CAB-A5</t>
  </si>
  <si>
    <t xml:space="preserve">Кабель AOC 10G SFP+ 7m</t>
  </si>
  <si>
    <t xml:space="preserve">QSC-SFP+-CAB-A7</t>
  </si>
  <si>
    <t xml:space="preserve">Кабель DAC 10G SFP+ 1m</t>
  </si>
  <si>
    <t xml:space="preserve">QSC-SFP+-CAB-P1</t>
  </si>
  <si>
    <t xml:space="preserve">Кабель DAC 10G SFP+ 2m</t>
  </si>
  <si>
    <t xml:space="preserve">QSC-SFP+-CAB-P2</t>
  </si>
  <si>
    <t xml:space="preserve">Кабель DAC 10G SFP+ 3m</t>
  </si>
  <si>
    <t xml:space="preserve">QSC-SFP+-CAB-P3</t>
  </si>
  <si>
    <t xml:space="preserve">Кабель DAC 10G SFP+ 5m</t>
  </si>
  <si>
    <t xml:space="preserve">QSC-SFP+-CAB-P5</t>
  </si>
  <si>
    <t xml:space="preserve">Модуль SFP28 SR LC MM 25G 300м</t>
  </si>
  <si>
    <t xml:space="preserve">QSC-SFP28-0.3G25E-850</t>
  </si>
  <si>
    <t xml:space="preserve">Модуль QSFP28 100Гбит/с, 100м, SR4, 850nm, MPO</t>
  </si>
  <si>
    <t xml:space="preserve">QSC-QSFP0.1G100E-850</t>
  </si>
  <si>
    <t xml:space="preserve">Модуль QSFP28 100Гбит/с, 10км, LR4</t>
  </si>
  <si>
    <t xml:space="preserve">QSC-QSFP10G100E-LR4</t>
  </si>
  <si>
    <t xml:space="preserve">Модуль QSFP+ 40Гбит/c, 150м, Tx=850нм, LC, VCSEL, MM</t>
  </si>
  <si>
    <t xml:space="preserve">QSC-QSFP0.1G40E-850-MM</t>
  </si>
  <si>
    <t xml:space="preserve">Модуль QSFP+ 40Гбит/c, 300м, MPO, DDM</t>
  </si>
  <si>
    <t xml:space="preserve">QSC-QSFP0.3G40E-850-MM-MPO</t>
  </si>
  <si>
    <t xml:space="preserve">Модуль QSFP+ 40Гбит/c, 10км, LC, DFB, SM, LR4, DDM</t>
  </si>
  <si>
    <t xml:space="preserve">QSC-QSFP10G40E-LR4</t>
  </si>
  <si>
    <t xml:space="preserve">Модуль SFP 1,25Гбит/c, 550м, Tx=850nm, LC, VCSEL, MM, DDM</t>
  </si>
  <si>
    <t xml:space="preserve">QSC-SFP0.5GE-850-MM-DDM</t>
  </si>
  <si>
    <t xml:space="preserve">Модуль SFP 1,25Гбит/c, 2км,Tx=1310nm, LC, FP, MM, DDM</t>
  </si>
  <si>
    <t xml:space="preserve">QSC-SFP2GE-1310-MM-DDM</t>
  </si>
  <si>
    <t xml:space="preserve">Модуль SFP 1,25Гбит/c, 20км, Tx=1310nm, LC, FP, SM, DDM</t>
  </si>
  <si>
    <t xml:space="preserve">QSC-SFP20GE-1310-DDM</t>
  </si>
  <si>
    <t xml:space="preserve">Модуль SFP28 25G, 300м, 850нм, LC</t>
  </si>
  <si>
    <t xml:space="preserve">Модуль SFP28 25G, 10км, 1310нм, LC</t>
  </si>
  <si>
    <t xml:space="preserve">QSC-SFP28-10G25E-1310</t>
  </si>
  <si>
    <t xml:space="preserve">Модуль SFP+ 10Гбит/c, 300м, Tx=850нм, LC, FP, MM, DDM</t>
  </si>
  <si>
    <t xml:space="preserve">QSC-SFP+0.3G10E-850-MM</t>
  </si>
  <si>
    <t xml:space="preserve">Модуль SFP+ 10Гбит/c, 2км, Tx=1310нм, LC, FP, MM, DDM</t>
  </si>
  <si>
    <t xml:space="preserve">QSC-SFP+2G10E-1310-MM</t>
  </si>
  <si>
    <t xml:space="preserve">Модуль SFP+ 10Гбит/c, 20км, Tx=1310нм, LC, DFB, SM, DDM</t>
  </si>
  <si>
    <t xml:space="preserve">QSC-SFP+20G10E-1310</t>
  </si>
  <si>
    <t xml:space="preserve">PSU</t>
  </si>
  <si>
    <t xml:space="preserve">PSU 2*800W DC 48V</t>
  </si>
  <si>
    <t xml:space="preserve">PSU08RDC</t>
  </si>
  <si>
    <t xml:space="preserve">PSU 2*800W</t>
  </si>
  <si>
    <t xml:space="preserve">PSU08R</t>
  </si>
  <si>
    <t xml:space="preserve">PSU 2*1200W</t>
  </si>
  <si>
    <t xml:space="preserve">PSU12R</t>
  </si>
  <si>
    <t xml:space="preserve">PSU 2*1300W</t>
  </si>
  <si>
    <t xml:space="preserve">PSU13R</t>
  </si>
  <si>
    <t xml:space="preserve">PSU 2*1600W</t>
  </si>
  <si>
    <t xml:space="preserve">PSU16R</t>
  </si>
  <si>
    <t xml:space="preserve">PSU 2*2000W</t>
  </si>
  <si>
    <t xml:space="preserve">PSU20R</t>
  </si>
  <si>
    <t xml:space="preserve">PSU 2*650W</t>
  </si>
  <si>
    <t xml:space="preserve">PSU065R</t>
  </si>
  <si>
    <t xml:space="preserve">PSU 2*550W</t>
  </si>
  <si>
    <t xml:space="preserve">PSU05R</t>
  </si>
  <si>
    <t xml:space="preserve">Riser</t>
  </si>
  <si>
    <t xml:space="preserve">Riser 2/4U 2*x8 PCI-E 3.0 LP port 3</t>
  </si>
  <si>
    <t xml:space="preserve">2x8riser2U3.0</t>
  </si>
  <si>
    <t xml:space="preserve">Riser 2/4U 2*x8 PCI-E 3.0 LP cabled port 4</t>
  </si>
  <si>
    <t xml:space="preserve">2x8riser2Ucab3.0</t>
  </si>
  <si>
    <t xml:space="preserve">Riser 2/4U 3*x8 PCI-E 3.0 FH port 1/2</t>
  </si>
  <si>
    <t xml:space="preserve">3x8riser2U3.0</t>
  </si>
  <si>
    <t xml:space="preserve">Riser 1U x16 PCI-E 3.0 FH port 1/2</t>
  </si>
  <si>
    <t xml:space="preserve">x16riser1U3.0</t>
  </si>
  <si>
    <t xml:space="preserve">Riser 2/4U x16 + x8 PCI-E 3.0 FH port 1/2</t>
  </si>
  <si>
    <t xml:space="preserve">x16x8riser2U3.0</t>
  </si>
  <si>
    <t xml:space="preserve">Riser 2/4U 1*x16 + 2*x8 PCI-E 4.0 FH port 1/2</t>
  </si>
  <si>
    <t xml:space="preserve">x162x8riser2U4.0</t>
  </si>
  <si>
    <t xml:space="preserve">Riser 1U x16 PCI-E 4.0 port 1/2</t>
  </si>
  <si>
    <t xml:space="preserve">x16riser1U4.0</t>
  </si>
  <si>
    <t xml:space="preserve">Riser 2/4U 2*x16 PCI-E 4.0 FH port 1/2</t>
  </si>
  <si>
    <t xml:space="preserve">2x16riser2U4.0</t>
  </si>
  <si>
    <t xml:space="preserve">Soft</t>
  </si>
  <si>
    <t xml:space="preserve">Microsoft</t>
  </si>
  <si>
    <t xml:space="preserve">Windows Svr Std 2022 64Bit English  1pk DSP OEI DVD 16 Core</t>
  </si>
  <si>
    <t xml:space="preserve">P73-08328</t>
  </si>
  <si>
    <t xml:space="preserve">Storage</t>
  </si>
  <si>
    <t xml:space="preserve">Backplane</t>
  </si>
  <si>
    <t xml:space="preserve">SAS/SATA Backplane</t>
  </si>
  <si>
    <t xml:space="preserve">bplnss</t>
  </si>
  <si>
    <t xml:space="preserve">1U 10SFF AnyBay Backplane</t>
  </si>
  <si>
    <t xml:space="preserve">bplnab1u</t>
  </si>
  <si>
    <t xml:space="preserve">2U 8LFF AnyBay Backplane</t>
  </si>
  <si>
    <t xml:space="preserve">bplnab2u</t>
  </si>
  <si>
    <t xml:space="preserve">Cable for backplane</t>
  </si>
  <si>
    <t xml:space="preserve">Кабель 1*SFF-8643 - 1*SFF-8643</t>
  </si>
  <si>
    <t xml:space="preserve">CBL-8643-8643</t>
  </si>
  <si>
    <t xml:space="preserve">Кабель 4 SATA - 1*SFF-8643</t>
  </si>
  <si>
    <t xml:space="preserve">CBL-4SATA-8643</t>
  </si>
  <si>
    <t xml:space="preserve">Кабель SATA-SATA</t>
  </si>
  <si>
    <t xml:space="preserve">CBL-SATA-SATA</t>
  </si>
  <si>
    <t xml:space="preserve">HDD</t>
  </si>
  <si>
    <t xml:space="preserve">HDD 10TB 7.2k SAS LFF</t>
  </si>
  <si>
    <t xml:space="preserve">10HD7SAS3.5</t>
  </si>
  <si>
    <t xml:space="preserve">HDD 1200GB 10K SAS SFF</t>
  </si>
  <si>
    <t xml:space="preserve">1200HD10SAS2.5</t>
  </si>
  <si>
    <t xml:space="preserve">HDD 12TB 7.2k SAS LFF</t>
  </si>
  <si>
    <t xml:space="preserve">12HD7SAS3.5</t>
  </si>
  <si>
    <t xml:space="preserve">HDD 16TB 7.2k SAS LFF</t>
  </si>
  <si>
    <t xml:space="preserve">16HD7SAS3.5</t>
  </si>
  <si>
    <t xml:space="preserve">HDD 10TB 7.2k SATA LFF</t>
  </si>
  <si>
    <t xml:space="preserve">10HD7SATA3.5</t>
  </si>
  <si>
    <t xml:space="preserve">HDD 1800GB 10K SAS SFF</t>
  </si>
  <si>
    <t xml:space="preserve">1800HD10SAS2.5</t>
  </si>
  <si>
    <t xml:space="preserve">HDD 18TB 7.2k SAS LFF</t>
  </si>
  <si>
    <t xml:space="preserve">18HD7SAS3.5</t>
  </si>
  <si>
    <t xml:space="preserve">HDD 12TB 7.2k SATA LFF</t>
  </si>
  <si>
    <t xml:space="preserve">12HD7SATA3.5</t>
  </si>
  <si>
    <t xml:space="preserve">HDD 1TB 7.2k SAS SFF</t>
  </si>
  <si>
    <t xml:space="preserve">1HD7SAS2.5</t>
  </si>
  <si>
    <t xml:space="preserve">HDD 16TB 7.2k SATA LFF</t>
  </si>
  <si>
    <t xml:space="preserve">16HD7SATA3.5</t>
  </si>
  <si>
    <t xml:space="preserve">HDD 2400GB 10K SAS SFF</t>
  </si>
  <si>
    <t xml:space="preserve">2400HD10SAS2.5</t>
  </si>
  <si>
    <t xml:space="preserve">HDD 300GB 10K SAS SFF</t>
  </si>
  <si>
    <t xml:space="preserve">300HD10SAS2.5</t>
  </si>
  <si>
    <t xml:space="preserve">HDD 18TB 7.2k SATA LFF</t>
  </si>
  <si>
    <t xml:space="preserve">18HD7SATA3.5</t>
  </si>
  <si>
    <t xml:space="preserve">HDD 4TB 7.2k SAS LFF</t>
  </si>
  <si>
    <t xml:space="preserve">4HD7SAS3.5</t>
  </si>
  <si>
    <t xml:space="preserve">HDD 1TB 7.2k SATA LFF</t>
  </si>
  <si>
    <t xml:space="preserve">1HD7SATA3.5</t>
  </si>
  <si>
    <t xml:space="preserve">HDD 600GB 10K SAS SFF</t>
  </si>
  <si>
    <t xml:space="preserve">600HD10SAS2.5</t>
  </si>
  <si>
    <t xml:space="preserve">HDD 2TB 7.2k SATA LFF</t>
  </si>
  <si>
    <t xml:space="preserve">2HD7SATA3.5</t>
  </si>
  <si>
    <t xml:space="preserve">HDD 600GB 15K SAS SFF</t>
  </si>
  <si>
    <t xml:space="preserve">600HD15SAS2.5</t>
  </si>
  <si>
    <t xml:space="preserve">HDD 6TB 7.2k SAS LFF</t>
  </si>
  <si>
    <t xml:space="preserve">6HD7SAS3.5</t>
  </si>
  <si>
    <t xml:space="preserve">HDD 4TB 7.2k SATA LFF</t>
  </si>
  <si>
    <t xml:space="preserve">4HD7SATA3.5</t>
  </si>
  <si>
    <t xml:space="preserve">HDD 8TB 7.2k SAS LFF</t>
  </si>
  <si>
    <t xml:space="preserve">8HD7SAS3.5</t>
  </si>
  <si>
    <t xml:space="preserve">HDD 6TB 7.2k SATA LFF</t>
  </si>
  <si>
    <t xml:space="preserve">6HD7SATA3.5</t>
  </si>
  <si>
    <t xml:space="preserve">HDD 8TB 7.2k SATA LFF</t>
  </si>
  <si>
    <t xml:space="preserve">8HD7SATA3.5</t>
  </si>
  <si>
    <t xml:space="preserve">RAID, HBA</t>
  </si>
  <si>
    <t xml:space="preserve">HBA SAS 9300-8i</t>
  </si>
  <si>
    <t xml:space="preserve">93008IHBA</t>
  </si>
  <si>
    <t xml:space="preserve">HBA SAS 9300-8e</t>
  </si>
  <si>
    <t xml:space="preserve">93008EHBA</t>
  </si>
  <si>
    <t xml:space="preserve">PCI-E Card for 2*M.2 NVMe RAID 0, 1</t>
  </si>
  <si>
    <t xml:space="preserve">M2Raid</t>
  </si>
  <si>
    <t xml:space="preserve">PCI-E Card for 2*M.2 NVMe SSD</t>
  </si>
  <si>
    <t xml:space="preserve">M2expnvme</t>
  </si>
  <si>
    <t xml:space="preserve">HBA Trimode 9400-16i</t>
  </si>
  <si>
    <t xml:space="preserve">940016IHBA</t>
  </si>
  <si>
    <t xml:space="preserve">HBA Trimode 9400-8i</t>
  </si>
  <si>
    <t xml:space="preserve">94008IHBA</t>
  </si>
  <si>
    <t xml:space="preserve">RAID SAS 936x-8i 1GB (0,1,10,5,6,50,60)</t>
  </si>
  <si>
    <t xml:space="preserve">936X8I1GR</t>
  </si>
  <si>
    <t xml:space="preserve">RAID SAS 936x-8i 2GB (0,1,10,5,6,50,60)</t>
  </si>
  <si>
    <t xml:space="preserve">936X8I2GR</t>
  </si>
  <si>
    <t xml:space="preserve">RAID Trimode 9440-8i (0,1,5,10)</t>
  </si>
  <si>
    <t xml:space="preserve">94408IR</t>
  </si>
  <si>
    <t xml:space="preserve">RAID Trimode 9460-16i 4GB (0,1,10,5,6,50,60)</t>
  </si>
  <si>
    <t xml:space="preserve">946016I4GR</t>
  </si>
  <si>
    <t xml:space="preserve">RAID Trimode 9460-8i 2GB (0,1,10,5,6,50,60)</t>
  </si>
  <si>
    <t xml:space="preserve">94608I2GR</t>
  </si>
  <si>
    <t xml:space="preserve">RAID Trimode 9480-8i8e 4GB (0,1,10,5,6,50,60)</t>
  </si>
  <si>
    <t xml:space="preserve">94908I8E4GR</t>
  </si>
  <si>
    <t xml:space="preserve">RAID Trimode 9560-8i 4GB (0,1,10,5,6,50,60)</t>
  </si>
  <si>
    <t xml:space="preserve">95608I4GR</t>
  </si>
  <si>
    <t xml:space="preserve">Модуль защиты кэша для RAID 93xx</t>
  </si>
  <si>
    <t xml:space="preserve">CVM02</t>
  </si>
  <si>
    <t xml:space="preserve">Модуль защиты кэша для RAID 94xx-95xx</t>
  </si>
  <si>
    <t xml:space="preserve">CVPM05</t>
  </si>
  <si>
    <t xml:space="preserve">RAID Trimode 9560-16i 8GB (0,1,10,5,6,50,60)</t>
  </si>
  <si>
    <t xml:space="preserve">956016I8GR</t>
  </si>
  <si>
    <t xml:space="preserve">Модуль Intel VROC Standard RAID 0/1/10</t>
  </si>
  <si>
    <t xml:space="preserve">VROCSTNMOD</t>
  </si>
  <si>
    <t xml:space="preserve">RAID SAS 936x-24i 2GB (0,1,10,5,6,50,60)</t>
  </si>
  <si>
    <t xml:space="preserve">936124I2GR</t>
  </si>
  <si>
    <t xml:space="preserve">Rear bay</t>
  </si>
  <si>
    <t xml:space="preserve">Rear Bay 2*SFF SAS\SATA</t>
  </si>
  <si>
    <t xml:space="preserve">rbaySFFSAS</t>
  </si>
  <si>
    <t xml:space="preserve">Rear Bay 2*SFF NVMe</t>
  </si>
  <si>
    <t xml:space="preserve">rbaySFFU2</t>
  </si>
  <si>
    <t xml:space="preserve">Rear Bay 2*LFF SAS\SATA</t>
  </si>
  <si>
    <t xml:space="preserve">rbayLFFSAS</t>
  </si>
  <si>
    <t xml:space="preserve">SSD</t>
  </si>
  <si>
    <t xml:space="preserve">SSD 15340GB SAS DWPD 1</t>
  </si>
  <si>
    <t xml:space="preserve">15340SSASd1</t>
  </si>
  <si>
    <t xml:space="preserve">SSD 1600GB SAS DWPD 3</t>
  </si>
  <si>
    <t xml:space="preserve">1600SSASd3</t>
  </si>
  <si>
    <t xml:space="preserve">SSD 1920GB SAS DWPD 1</t>
  </si>
  <si>
    <t xml:space="preserve">1920SSASd1</t>
  </si>
  <si>
    <t xml:space="preserve">SSD 240GB M.2 SATA</t>
  </si>
  <si>
    <t xml:space="preserve">240SM2sata</t>
  </si>
  <si>
    <t xml:space="preserve">SSD 960GB M.2 SATA</t>
  </si>
  <si>
    <t xml:space="preserve">960SM2sata</t>
  </si>
  <si>
    <t xml:space="preserve">SSD 3200GB SAS DWPD 3</t>
  </si>
  <si>
    <t xml:space="preserve">3200SSASd3</t>
  </si>
  <si>
    <t xml:space="preserve">SSD 3840GB SAS DWPD 1</t>
  </si>
  <si>
    <t xml:space="preserve">3840SSASd1</t>
  </si>
  <si>
    <t xml:space="preserve">SSD 6400GB SAS DWPD 3</t>
  </si>
  <si>
    <t xml:space="preserve">6400SSASd3</t>
  </si>
  <si>
    <t xml:space="preserve">SSD 1920GB SATA DWPD 1</t>
  </si>
  <si>
    <t xml:space="preserve">1920SSATAd1</t>
  </si>
  <si>
    <t xml:space="preserve">SSD 1920GB SATA DWPD 3</t>
  </si>
  <si>
    <t xml:space="preserve">1920SSATAd3</t>
  </si>
  <si>
    <t xml:space="preserve">SSD 1920GB U.2 DWPD 1</t>
  </si>
  <si>
    <t xml:space="preserve">1920SU2d1</t>
  </si>
  <si>
    <t xml:space="preserve">SSD 240GB SATA DWPD 1</t>
  </si>
  <si>
    <t xml:space="preserve">240SSATAd1</t>
  </si>
  <si>
    <t xml:space="preserve">SSD 240GB SATA DWPD 3</t>
  </si>
  <si>
    <t xml:space="preserve">240SSATAd3</t>
  </si>
  <si>
    <t xml:space="preserve">SSD 7680GB SAS DWPD 1</t>
  </si>
  <si>
    <t xml:space="preserve">7680SSASd1</t>
  </si>
  <si>
    <t xml:space="preserve">SSD 3840GB SATA DWPD 1</t>
  </si>
  <si>
    <t xml:space="preserve">3840SSATAd1</t>
  </si>
  <si>
    <t xml:space="preserve">SSD 3840GB SATA DWPD 3</t>
  </si>
  <si>
    <t xml:space="preserve">3840SSATAd3</t>
  </si>
  <si>
    <t xml:space="preserve">SSD 3840GB U.2 DWPD 1</t>
  </si>
  <si>
    <t xml:space="preserve">3840SU2d1</t>
  </si>
  <si>
    <t xml:space="preserve">SSD 480GB SATA DWPD 1</t>
  </si>
  <si>
    <t xml:space="preserve">480SSATAd1</t>
  </si>
  <si>
    <t xml:space="preserve">SSD 480GB SATA DWPD 3</t>
  </si>
  <si>
    <t xml:space="preserve">480SSATAd3</t>
  </si>
  <si>
    <t xml:space="preserve">SSD 960GB SAS DWPD 1</t>
  </si>
  <si>
    <t xml:space="preserve">960SSASd1</t>
  </si>
  <si>
    <t xml:space="preserve">SSD 7680GB SATA DWPD 1</t>
  </si>
  <si>
    <t xml:space="preserve">7680SSATAd1</t>
  </si>
  <si>
    <t xml:space="preserve">SSD 7680GB U.2 DWPD 1</t>
  </si>
  <si>
    <t xml:space="preserve">7680SU2d1</t>
  </si>
  <si>
    <t xml:space="preserve">SSD 960GB SATA DWPD 1</t>
  </si>
  <si>
    <t xml:space="preserve">960SSATAd1</t>
  </si>
  <si>
    <t xml:space="preserve">SSD 960GB SATA DWPD 3</t>
  </si>
  <si>
    <t xml:space="preserve">960SSATAd3</t>
  </si>
  <si>
    <t xml:space="preserve">SSD 960GB U.2 DWPD 1</t>
  </si>
  <si>
    <t xml:space="preserve">960SU2d1</t>
  </si>
  <si>
    <t xml:space="preserve">SSD 240GB M.2 NVMe PCIe</t>
  </si>
  <si>
    <t xml:space="preserve">240SM2nvme</t>
  </si>
  <si>
    <t xml:space="preserve">SSD 480GB M.2 NVMe PCIe</t>
  </si>
  <si>
    <t xml:space="preserve">480SM2nvme</t>
  </si>
  <si>
    <t xml:space="preserve">SSD 960GB M.2 NVMe PCIe</t>
  </si>
  <si>
    <t xml:space="preserve">960SM2nvme</t>
  </si>
  <si>
    <t xml:space="preserve">RAID SAS 9361-16i 2GB (0,1,10,5,6,50,60)</t>
  </si>
  <si>
    <t xml:space="preserve">936116I2GR</t>
  </si>
  <si>
    <t xml:space="preserve">Кабель питания C13-SCHUKO 1.8м</t>
  </si>
  <si>
    <t xml:space="preserve">C13-SCH</t>
  </si>
  <si>
    <t xml:space="preserve">Кабель питания C13-C14 1.8м</t>
  </si>
  <si>
    <t xml:space="preserve">C13-C14</t>
  </si>
  <si>
    <t xml:space="preserve">PCI-E Card for 2*U.2 NVMe SSD</t>
  </si>
  <si>
    <t xml:space="preserve">U2expnvme</t>
  </si>
  <si>
    <t xml:space="preserve">Intel Xeon Platinum 8358 32С 2.6 GHz;    </t>
  </si>
  <si>
    <t xml:space="preserve">P8358</t>
  </si>
  <si>
    <t xml:space="preserve">Intel Xeon Platinum 8368 38С 2.4 GHz;    </t>
  </si>
  <si>
    <t xml:space="preserve">P8368</t>
  </si>
  <si>
    <t xml:space="preserve">Intel Xeon Platinum 8380 40С 2.3 GHz;    </t>
  </si>
  <si>
    <t xml:space="preserve">P8380</t>
  </si>
  <si>
    <t xml:space="preserve">Модуль Intel VROC Premium RAID 0/1/10/5</t>
  </si>
  <si>
    <t xml:space="preserve">VROCPREMOD</t>
  </si>
  <si>
    <t xml:space="preserve">Intel Xeon Silver 4309Y 8С 2.8 GHz;    </t>
  </si>
  <si>
    <t xml:space="preserve">S4309Y</t>
  </si>
  <si>
    <t xml:space="preserve">GPU TESLA A100 80GB; </t>
  </si>
  <si>
    <t xml:space="preserve">TESLAA10080</t>
  </si>
  <si>
    <t xml:space="preserve">HDD 20TB 7.2k SATA 3.5; </t>
  </si>
  <si>
    <t xml:space="preserve">20HD7SATA3.5</t>
  </si>
  <si>
    <t xml:space="preserve">HDD 22TB 7.2k SATA 3.5; </t>
  </si>
  <si>
    <t xml:space="preserve">22HD7SATA3.5</t>
  </si>
  <si>
    <t xml:space="preserve">HDD 20TB 7.2k SAS 3.5; </t>
  </si>
  <si>
    <t xml:space="preserve">20HD7SAS3.5</t>
  </si>
  <si>
    <t xml:space="preserve">HDD 22TB 7.2k SAS 3.5; </t>
  </si>
  <si>
    <t xml:space="preserve">22HD7SAS3.5</t>
  </si>
  <si>
    <t xml:space="preserve">Intel Xeon Gold 6248R 24C 3.0 GHz</t>
  </si>
  <si>
    <t xml:space="preserve">G6248R</t>
  </si>
  <si>
    <t xml:space="preserve">Intel Xeon Gold 6258R 28C 2.7 GHz</t>
  </si>
  <si>
    <t xml:space="preserve">G6258R</t>
  </si>
  <si>
    <t xml:space="preserve">SSD 30720GB SAS DWPD 1</t>
  </si>
  <si>
    <t xml:space="preserve">30720SSASd1</t>
  </si>
  <si>
    <t xml:space="preserve">8*SFF</t>
  </si>
  <si>
    <t xml:space="preserve">QSRV-160812-E-R</t>
  </si>
  <si>
    <t xml:space="preserve">Серверная платформа 1U QSRV-160812-E-R 8*SFF HDD 12Gbps(Passive BP); 2*Intel SL (LGA 3647 max TDP 205W); 16*DDR4; Software RAID (only PCH) 0,1,5 &amp; 10; 1*600W single PSU(optional 2*650W RPSU); 1*M.2 PCIe x4; 1*M.2 SATA; 1*x16 PCI-E FHFL; 4*1GbE LAN; IPMI; Rails; Техническая поддержка Base 8х5, 36 месяцев</t>
  </si>
  <si>
    <t xml:space="preserve">Сервер 1U QSRV-160812-E-R 8*SFF</t>
  </si>
  <si>
    <t xml:space="preserve">QSRV-160412-E-R</t>
  </si>
  <si>
    <t xml:space="preserve">Серверная платформа 1U QSRV-160412-E-R 4*LFF HDD 12Gbps(Passive BP); 2*Intel SL (LGA 3647 max TDP 205W); 16*DDR4; Software RAID (only PCH) 0,1,5 &amp; 10; 1*600W single PSU(optional 2*650W RPSU); 1*M.2 PCIe x4; 1*M.2 SATA; 1*x16 PCI-E FHFL; 4*1GbE LAN; IPMI; Rails; Техническая поддержка Base 8х5, 36 месяцев</t>
  </si>
  <si>
    <t xml:space="preserve">Сервер 1U QSRV-160412-E-R 4*LFF/SFF</t>
  </si>
  <si>
    <t xml:space="preserve">QSRV-160812-P-R</t>
  </si>
  <si>
    <t xml:space="preserve">Серверная платформа 1U QSRV-160812-P-R; 8*SFF HDD 12Gbps (Passive BP); 2*Intel SL (LGA 3647 max TDP 205W); 24*DDR4; Software RAID (only PCH) 0,1,5 &amp; 10; 2*800W RPSU; 1*M.2 PCIe x4; 1*M.2 SATA; 2*x16 PCI-E FHFL; 2*1GbE LAN; IPMI; Rails</t>
  </si>
  <si>
    <t xml:space="preserve">Сервер 1U QSRV-160812-P-R 8*SFF 24*DIMMs</t>
  </si>
  <si>
    <t xml:space="preserve">QSRV-160412-P-R</t>
  </si>
  <si>
    <t xml:space="preserve">Серверная платформа 1U QSRV-160412-P-R; 4*LFF HDD 12Gbps (Passive BP); 2*Intel SL (LGA 3647 max TDP 205W); 24*DDR4; Software RAID (only PCH) 0,1,5 &amp; 10; 2*800W RPSU; 1*M.2 PCIe x4; 1*M.2 SATA; 2*x16 PCI-E FHFL; 4*1GbE LAN; IPMI; Rails</t>
  </si>
  <si>
    <t xml:space="preserve">Сервер 1U QSRV-160412-P-R 4*LFF/SFF 24*DIMMs</t>
  </si>
  <si>
    <t xml:space="preserve">QSRV-260812-E-R</t>
  </si>
  <si>
    <t xml:space="preserve">Серверная платформа 2U QSRV-260812-E-R 8*LFF HDD 12Gbps(Passive BP) + 2SFF" rear bay's; 2*Intel SL (LGA 3647 max TDP 205W); 16*DDR4; Software RAID (only PCH) 0,1,5 &amp; 10; 2*800W RPSU; 1*M.2 PCIe x4; 1*M.2 SATA; 5*x16 PCI-E HHFL; 1*x8 PCI-E HHFL;  4*1GbE LAN; IPMI; Rails; Техническая поддержка Base 8х5, 36 месяцев</t>
  </si>
  <si>
    <t xml:space="preserve">Сервер 2U QSRV-260812-E-R 8*LFF/SFF</t>
  </si>
  <si>
    <t xml:space="preserve">QSRV-260812-P-R</t>
  </si>
  <si>
    <t xml:space="preserve">Серверная платформа 2U QSRV-260812-P-R; 8*LFF HDD 12Gbps (Passive BP) + 2*2.5" rear bay's; 2*Intel SL (LGA 3647 max TDP 205W); 24*DDR4; Software RAID (only PCH) 0,1,5 &amp; 10; 2*800W RPSU; 1*M.2 PCIe x4; 1*M.2 SATA; 6*x8 PCI-E FHFL; 2*x8 PCI-E HHFL;  2*1GbE LAN; IPMI; Rails</t>
  </si>
  <si>
    <t xml:space="preserve">Сервер 2U QSRV-260812-P-R 8*LFF/SFF 24*DIMMs</t>
  </si>
  <si>
    <t xml:space="preserve">QSRV-261212-E-R</t>
  </si>
  <si>
    <t xml:space="preserve">Серверная платформа 2U QSRV-261212-E-R 12*LFF HDD 12Gbps (Passive BP) + 2*SFF rear bay's; 2*Intel SL (LGA 3647 max TDP 205W); 16*DDR4; Software RAID (only PCH) 0,1,5 &amp; 10; 2*800W RPSU; 1*M.2 PCIe x4; 1*M.2 SATA; 5*x16 PCI-E HHFL; 1*x8 PCI-E HHFL;  4*1GbE LAN; IPMI; Rails; Техническая поддержка Base 8х5, 36 месяцев</t>
  </si>
  <si>
    <t xml:space="preserve">Сервер 2U QSRV-261212-E-R 12*LFF/SFF</t>
  </si>
  <si>
    <t xml:space="preserve">QSRV-261212-P-R</t>
  </si>
  <si>
    <t xml:space="preserve">Серверная платформа 2U QSRV-261212-P-R; 12*LFF HDD 12Gbps (Passive BP) + 2*2.5" rear bay's; 2*Intel SL (LGA 3647 max TDP 205W); 24*DDR4; Software RAID (only PCH) 0,1,5 &amp; 10; 2*800W RPSU; 1*M.2 PCIe x4; 1*M.2 SATA; 6*x8 PCI-E FHFL; 2*x8 PCI-E HHFL(optional 2*x16 PCI-E);  2*1GbE LAN; IPMI; Rails</t>
  </si>
  <si>
    <t xml:space="preserve">Сервер 2U QSRV-261212-P-R 12*LFF/SFF 24*DIMMs</t>
  </si>
  <si>
    <t xml:space="preserve">16*LFF/SFF</t>
  </si>
  <si>
    <t xml:space="preserve">QSRV-361612-E-R</t>
  </si>
  <si>
    <t xml:space="preserve">Серверная платформа 3U QSRV-361612-E-R 16*LFF HDD 12Gbps (Passive BP) + 2*SFF rear bay's; 2*Intel SL (LGA 3647 max TDP 205W); 16*DDR4; Software RAID (only PCH) 0,1,5 &amp; 10; 2*1200W RPSU; 1*M.2 PCIe x4; 1*M.2 SATA; 5*x16 PCI-E FHFL; 1*x8 PCI-E FHFL;  4*1GbE LAN; IPMI; Rails; Техническая поддержка Base 8х5, 36 месяцев</t>
  </si>
  <si>
    <t xml:space="preserve">Сервер 3U QSRV-361612-E-R 16*LFF/SFF</t>
  </si>
  <si>
    <t xml:space="preserve">QSRV-463612-E-R</t>
  </si>
  <si>
    <t xml:space="preserve">Серверная платформа 4U QSRV-463612-E-R 36*LFF HDD 12Gbps (Passive BP) + 2SFF rear bay's; 2*Intel SL (LGA 3647 max TDP 205W); 16*DDR4; Software RAID (only PCH) 0,1,5 &amp; 10; SAS Expander card; 2*800W RPSU; 1*M.2 PCIe x4; 1*M.2 SATA; 5*x16 PCI-E HHFL; 1*x8 PCI-E HHFL;  4*1GbE LAN; IPMI; Rails; Техническая поддержка Base 8х5, 36 месяцев</t>
  </si>
  <si>
    <t xml:space="preserve">Сервер 4U QSRV-463612-E-R 24*LFF/SFF</t>
  </si>
  <si>
    <t xml:space="preserve">QSRV-262412-E-R</t>
  </si>
  <si>
    <t xml:space="preserve">Серверная платформа 2U QSRV-262412-E-R 24*SFF HDD 12Gbps (Passive BP) + 2SFF" rear bay's; 2*Intel SL (LGA 3647 max TDP 205W); 16*DDR4; Software RAID (only PCH) 0,1,5 &amp; 10; 2*800W RPSU; 1*M.2 PCIe x4; 1*M.2 SATA; 5*x16 PCI-E HHFL; 1*x8 PCI-E HHFL;  4*1GbE LAN; IPMI; Rails; Техническая поддержка Base 8х5, 36 месяцев</t>
  </si>
  <si>
    <t xml:space="preserve">Сервер 2U QSRV-262412-E-R 24*SFF 24*DIMMs</t>
  </si>
  <si>
    <t xml:space="preserve">QSRV-262412-P-R</t>
  </si>
  <si>
    <t xml:space="preserve">Серверная платформа 2U QSRV-262412-P-R; 24*SFF HDD 12Gbps (Passive BP) + 2*2.5" rear bay's; 2*Intel SL (LGA 3647 max TDP 205W); 24*DDR4; Software RAID (only PCH) 0,1,5 &amp; 10; 2*800W RPSU; 1*M.2 PCIe x4; 1*M.2 SATA; 6*x8 PCI-E FHFL; 2*x8 PCI-E HHFL(optional 2*x16 PCI-E);  2*1GbE LAN; IPMI; Rails</t>
  </si>
  <si>
    <t xml:space="preserve">Сервер 2U QSRV-262412-P-R 24*SFF 24*DIMMs</t>
  </si>
  <si>
    <t xml:space="preserve">QSRV-170412-P-R</t>
  </si>
  <si>
    <t xml:space="preserve">Серверная платформа 1U QSRV-170412-P-R 4*LFF HDD; 2*Intel SL (FCLGA4189 max 270W tdp); 32*DDR4 ; Software Raid 0,1,5 &amp; 10; PCI-E X4 2*M.2; 2*550W(1+1); 2*1GbE LAN; 1*X16 PCI-E 4.0; IPMI; Rails</t>
  </si>
  <si>
    <t xml:space="preserve">Сервер 1U QSRV-170412-P-R 4*LFF 32*DIMMs</t>
  </si>
  <si>
    <t xml:space="preserve">QSRV-171012-P-R</t>
  </si>
  <si>
    <t xml:space="preserve">Серверная платформа 1U QSRV-171012-P-R 10*SFF HDD; 2*Intel SL (FCLGA4189 max 270W tdp); 32*DDR4 ; Software Raid 0,1,5 &amp; 10; PCI-E X4 2*M.2; 2*550W(1+1); 2*1GbE LAN; 1*X16 PCI-E 4.0; IPMI; Rails</t>
  </si>
  <si>
    <t xml:space="preserve">Сервер 1U QSRV-171012-P-R 10*SFF 32*DIMMs</t>
  </si>
  <si>
    <t xml:space="preserve">QSRV-270812-P-R</t>
  </si>
  <si>
    <t xml:space="preserve">Серверная платформа 2U QSRV-270812-P-R 8*LFF HDD; 2*Intel SL (FCLGA4189 max 270W tdp); 32*DDR4 ; Software Raid 0,1,5 &amp; 10; PCI-E X4 2*M.2; 2*550W(1+1); 2*1GbE LAN; 1*X16 + 3*X8 PCI-E 4.0; IPMI; Rails</t>
  </si>
  <si>
    <t xml:space="preserve">Сервер 2U QSRV-270812-P-R 8*LFF/SFF 32*DIMMs</t>
  </si>
  <si>
    <t xml:space="preserve">QSRV-272512-P-R</t>
  </si>
  <si>
    <t xml:space="preserve">Серверная платформа 2U QSRV-272512-P-R 25*SFF HDD(Active BP); 2*Intel SL (FCLGA4189 max 270W tdp); 32*DDR4 ; Expander Backplane; PCI-E X4 2*M.2; 2*800W(1+1); 2*1GbE LAN; 1*X16 + 3*X8 PCI-E 4.0; IPMI; Rails</t>
  </si>
  <si>
    <t xml:space="preserve">Сервер 2U QSRV-272512-P-R 25*SFF 32*DIMMs</t>
  </si>
  <si>
    <t xml:space="preserve">QSRV-271212-P-R</t>
  </si>
  <si>
    <t xml:space="preserve">Серверная платформа 2U QSRV-271212-P-R 12*LFF HDD(Active BP); 2*Intel SL (FCLGA4189 max 270W tdp); 32*DDR4 ; Software Raid 0,1,5 &amp; 10; PCI-E X4 2*M.2; 2*550W(1+1); 2*1GbE LAN; 1*X16 + 3*X8 PCI-E 4.0; IPMI; Rails</t>
  </si>
  <si>
    <t xml:space="preserve">Сервер 2U QSRV-271212-P-R 12*LFF 32*DIMMs</t>
  </si>
  <si>
    <t xml:space="preserve">QSRV-473612-P-R</t>
  </si>
  <si>
    <t xml:space="preserve">Серверная платформа 4U QSRV-473612-P-R 36*LFF HDD(Active BP); 2*Intel SL (FCLGA4189 max 270W tdp); 32*DDR4 ; Expander Backplane; PCI-E x4 2*M.2; 2*800W(1+1); 2*1GbE LAN; 1*X16 + 3*X8 PCI-E 4.0; IPMI; Rails</t>
  </si>
  <si>
    <t xml:space="preserve">Сервер 4U QSRV-473612-P-R 36*LFF 32*DIMMs</t>
  </si>
  <si>
    <t xml:space="preserve">Intel Xeon Gold 5416S 16C 2GHz 150W</t>
  </si>
  <si>
    <t xml:space="preserve">G5416S</t>
  </si>
  <si>
    <t xml:space="preserve">Intel Xeon Gold 5418N 24C 1,8GHz 165W</t>
  </si>
  <si>
    <t xml:space="preserve">G5418N</t>
  </si>
  <si>
    <t xml:space="preserve">Intel Xeon Gold 5418Y 24C 2.0GHz 185W</t>
  </si>
  <si>
    <t xml:space="preserve">G5418Y</t>
  </si>
  <si>
    <t xml:space="preserve">Intel Xeon Gold 5415+ 8C 2.9GHz 150W</t>
  </si>
  <si>
    <t xml:space="preserve">G5415+</t>
  </si>
  <si>
    <t xml:space="preserve">Intel Xeon Gold 5420+ 28C 2.0GHz 205W</t>
  </si>
  <si>
    <t xml:space="preserve">G5420+</t>
  </si>
  <si>
    <t xml:space="preserve">Intel Xeon Gold 5520+ 28C 2,2GHz 205W</t>
  </si>
  <si>
    <t xml:space="preserve">G5520+</t>
  </si>
  <si>
    <t xml:space="preserve">Intel Xeon Gold 5515+ 8C 3,2GHz 165W</t>
  </si>
  <si>
    <t xml:space="preserve">G5515+</t>
  </si>
  <si>
    <t xml:space="preserve">Intel Xeon Gold 6426Y 16C 2.5GHz 185W</t>
  </si>
  <si>
    <t xml:space="preserve">G6426Y</t>
  </si>
  <si>
    <t xml:space="preserve">Intel Xeon Gold 6428N 32C 1,8GHz 185W</t>
  </si>
  <si>
    <t xml:space="preserve">G6428N</t>
  </si>
  <si>
    <t xml:space="preserve">нет цены</t>
  </si>
  <si>
    <t xml:space="preserve">Intel Xeon Gold 6430 32C 2.1GHz 270W</t>
  </si>
  <si>
    <t xml:space="preserve">G6430</t>
  </si>
  <si>
    <t xml:space="preserve">Intel Xeon Gold 6434 8C 3.7GHz 195W</t>
  </si>
  <si>
    <t xml:space="preserve">G6434</t>
  </si>
  <si>
    <t xml:space="preserve">Intel Xeon Gold 6454S 32C 2,2GHz 270W</t>
  </si>
  <si>
    <t xml:space="preserve">G6454S</t>
  </si>
  <si>
    <t xml:space="preserve">Intel Xeon Gold 6438M 32C 2,2GHz 205W</t>
  </si>
  <si>
    <t xml:space="preserve">G6438M</t>
  </si>
  <si>
    <t xml:space="preserve">Intel Xeon Gold 6438N 32C 2GHz 205W</t>
  </si>
  <si>
    <t xml:space="preserve">G6438N</t>
  </si>
  <si>
    <t xml:space="preserve">Intel Xeon Gold 6438Y+ 32C 2.0GHz 205W</t>
  </si>
  <si>
    <t xml:space="preserve">G6438Y+</t>
  </si>
  <si>
    <t xml:space="preserve">Intel Xeon Gold 6442Y 24C 2,6GHz 225W</t>
  </si>
  <si>
    <t xml:space="preserve">G6442Y</t>
  </si>
  <si>
    <t xml:space="preserve">Intel Xeon Gold 6444Y 16C 3,6GHz 270W</t>
  </si>
  <si>
    <t xml:space="preserve">G6444Y</t>
  </si>
  <si>
    <t xml:space="preserve">Intel Xeon Gold 6458Q 32C 3,1GHz 350W</t>
  </si>
  <si>
    <t xml:space="preserve">G6458Q</t>
  </si>
  <si>
    <t xml:space="preserve">Intel Xeon Gold 6448Y 32C 2,1GHz 225W</t>
  </si>
  <si>
    <t xml:space="preserve">G6448Y</t>
  </si>
  <si>
    <t xml:space="preserve">Intel Xeon Gold 6530 32C 2,1GHz 270W</t>
  </si>
  <si>
    <t xml:space="preserve">G6526Y</t>
  </si>
  <si>
    <t xml:space="preserve">Intel Xeon Gold 6526Y 16C 2,8GHz 195W</t>
  </si>
  <si>
    <t xml:space="preserve">Intel Xeon Gold 6538Y+ 32C 2,2GHz 225W</t>
  </si>
  <si>
    <t xml:space="preserve">G6538Y+</t>
  </si>
  <si>
    <t xml:space="preserve">Intel Xeon Gold 6548Y+ 32C 2,5GHz 225W</t>
  </si>
  <si>
    <t xml:space="preserve">G6548Y+</t>
  </si>
  <si>
    <t xml:space="preserve">Intel Xeon Gold 6544Y 16C 3,6GHz 270W</t>
  </si>
  <si>
    <t xml:space="preserve">G6544Y</t>
  </si>
  <si>
    <t xml:space="preserve">Intel Xeon Gold 6542Y 24C 2,9GHz 250W</t>
  </si>
  <si>
    <t xml:space="preserve">G6542Y</t>
  </si>
  <si>
    <t xml:space="preserve">Intel Xeon Platinum 8458P 44C 2,7GHz 350W</t>
  </si>
  <si>
    <t xml:space="preserve">P8458P</t>
  </si>
  <si>
    <t xml:space="preserve">Intel Xeon Platinum 8452Y 36C 2.0GHz 300W</t>
  </si>
  <si>
    <t xml:space="preserve">P8452Y</t>
  </si>
  <si>
    <t xml:space="preserve">Intel Xeon Platinum 8460Y+ 40C 2GHz 300W</t>
  </si>
  <si>
    <t xml:space="preserve">P8460Y+</t>
  </si>
  <si>
    <t xml:space="preserve">Intel Xeon Platinum 8462Y+ 32C 2,8GHz 300W</t>
  </si>
  <si>
    <t xml:space="preserve">P8462Y+</t>
  </si>
  <si>
    <t xml:space="preserve">Intel Xeon Platinum 8468 48C 2,1GHz 350W</t>
  </si>
  <si>
    <t xml:space="preserve">P8468</t>
  </si>
  <si>
    <t xml:space="preserve">Intel Xeon Platinum 8468V 48C 2,4GHz 330W</t>
  </si>
  <si>
    <t xml:space="preserve">P8468V</t>
  </si>
  <si>
    <t xml:space="preserve">Intel Xeon Platinum 8470 52C 2GHz 350W</t>
  </si>
  <si>
    <t xml:space="preserve">P8470</t>
  </si>
  <si>
    <t xml:space="preserve">Intel Xeon Platinum 8470N 52C 1,7GHz 300W</t>
  </si>
  <si>
    <t xml:space="preserve">P8470N</t>
  </si>
  <si>
    <t xml:space="preserve">Intel Xeon Platinum 8470Q 52C 2,1GHz 350W</t>
  </si>
  <si>
    <t xml:space="preserve">P8470Q</t>
  </si>
  <si>
    <t xml:space="preserve">Intel Xeon Platinum 8480+ 56C 2GHz 350W</t>
  </si>
  <si>
    <t xml:space="preserve">P8480+</t>
  </si>
  <si>
    <t xml:space="preserve">Intel Xeon Platinum 8558 48C 2,1GHz 330W</t>
  </si>
  <si>
    <t xml:space="preserve">P8558</t>
  </si>
  <si>
    <t xml:space="preserve">Intel Xeon Silver 4509Y 8C 2,6GHz 125W</t>
  </si>
  <si>
    <t xml:space="preserve">S4509Y</t>
  </si>
  <si>
    <t xml:space="preserve">Intel Xeon Silver 4514Y 16C 2,0GHz 150W</t>
  </si>
  <si>
    <t xml:space="preserve">S4514</t>
  </si>
  <si>
    <t xml:space="preserve">Intel Xeon Silver 4510 12C 2,4GHz 150W</t>
  </si>
  <si>
    <t xml:space="preserve">S4510</t>
  </si>
  <si>
    <t xml:space="preserve">Intel Xeon Silver 4516Y 24C 2,2GHz 185W</t>
  </si>
  <si>
    <t xml:space="preserve">S4516Y</t>
  </si>
  <si>
    <t xml:space="preserve">Intel Xeon Silver 4410T 10C 2,7GHz 150W</t>
  </si>
  <si>
    <t xml:space="preserve">S4410T</t>
  </si>
  <si>
    <t xml:space="preserve">Intel Xeon Silver 4410Y 12C 2.0 GHz 150W</t>
  </si>
  <si>
    <t xml:space="preserve">S4410Y</t>
  </si>
  <si>
    <t xml:space="preserve">Intel Xeon Silver 4416+ 20C 2.0 GHz 165W</t>
  </si>
  <si>
    <t xml:space="preserve">S4416+</t>
  </si>
  <si>
    <t xml:space="preserve">LAN OCP 3.0</t>
  </si>
  <si>
    <t xml:space="preserve">LAN 1GbE 4-port SFP+ I350 OCP 3.0</t>
  </si>
  <si>
    <t xml:space="preserve">41GBTOCP</t>
  </si>
  <si>
    <t xml:space="preserve">LAN 25GbE 4-port SFP28 E810 OCP 3.0</t>
  </si>
  <si>
    <t xml:space="preserve">425GSFP28OCP</t>
  </si>
  <si>
    <t xml:space="preserve">LAN 25GbE 2-port SFP28  ConnectX-5 OCP 3.0</t>
  </si>
  <si>
    <t xml:space="preserve">225GSFP28CX5OCP</t>
  </si>
  <si>
    <t xml:space="preserve">LAN 25G 2-port SFP28 BCM57414 OCP 3.0</t>
  </si>
  <si>
    <t xml:space="preserve">225GBTOCP</t>
  </si>
  <si>
    <t xml:space="preserve">LAN 10G 2-port BT x710 OCP 3.0</t>
  </si>
  <si>
    <t xml:space="preserve">210GBTOCP</t>
  </si>
  <si>
    <t xml:space="preserve">LAN 10GbE 2-port SFP+ I82599 OCP 3.0</t>
  </si>
  <si>
    <t xml:space="preserve">210GSFP+OCP</t>
  </si>
  <si>
    <t xml:space="preserve">LAN 25GbE 2-port SFP28 E810 OCP 3.0</t>
  </si>
  <si>
    <t xml:space="preserve">225GSFP28OCP</t>
  </si>
  <si>
    <t xml:space="preserve">LAN 10GbE 4-port SFP+ X710 OCP 3.0</t>
  </si>
  <si>
    <t xml:space="preserve">410GSFP+OCP</t>
  </si>
  <si>
    <t xml:space="preserve">16GB DDR5 RDIMM ECC 4800MHz</t>
  </si>
  <si>
    <t xml:space="preserve">16RD48</t>
  </si>
  <si>
    <t xml:space="preserve">32GB DDR5 RDIMM ECC 4800MHz</t>
  </si>
  <si>
    <t xml:space="preserve">32RD48</t>
  </si>
  <si>
    <t xml:space="preserve">64GB DDR5 RDIMM ECC 4800MHz</t>
  </si>
  <si>
    <t xml:space="preserve">64RD48</t>
  </si>
  <si>
    <t xml:space="preserve">64GB DDR5 RDIMM ECC 5600MHz</t>
  </si>
  <si>
    <t xml:space="preserve">64RD56</t>
  </si>
  <si>
    <t xml:space="preserve">96GB DDR5 RDIMM ECC 5600MHz</t>
  </si>
  <si>
    <t xml:space="preserve">96RD56</t>
  </si>
  <si>
    <t xml:space="preserve">128GB DDR5 RDIMM ECC 5600MHz</t>
  </si>
  <si>
    <t xml:space="preserve">128RD56</t>
  </si>
  <si>
    <t xml:space="preserve">QSRV-181000</t>
  </si>
  <si>
    <t xml:space="preserve">Серверная платформа 1U QSRV-181000 10*SFF Anybay; 2*Intel SL (FCLGA4677 max 270W tdp); 32*DDR5; Software Raid 0,1,&amp; 10; 2*M.2 SATA; 2*550W(1+1); 1*X16 PCI-E 5.0; IPMI; Rails</t>
  </si>
  <si>
    <t xml:space="preserve">Сервер 1U QSRV-181000 10*SFF Anybay 32*DIMMs</t>
  </si>
  <si>
    <t xml:space="preserve">QSRV-281200</t>
  </si>
  <si>
    <t xml:space="preserve">Серверная платформа 2U QSRV-281200 12*LFF Anybay; 2*Intel SL (FCLGA4677 max 270W tdp); 32*DDR5; Software Raid 0,1,&amp; 10; 2*M.2 SATA; 2*550W(1+1); 1*X16 PCI-E 5.0; IPMI; Rails</t>
  </si>
  <si>
    <t xml:space="preserve">Сервер 2U QSRV-281200 12*LFF Anybay 32*DIMMs</t>
  </si>
  <si>
    <t xml:space="preserve">QSRV-282400</t>
  </si>
  <si>
    <t xml:space="preserve">Серверная платформа 2U QSRV-282400 24*SFF Anybay; 2*Intel SL (FCLGA4677 max 270W tdp); 32*DDR5; Software Raid 0,1,&amp; 10; 2*M.2 SATA; 2*550W(1+1); 1*X16 PCI-E 5.0; IPMI; Rails</t>
  </si>
  <si>
    <t xml:space="preserve">Сервер 2U QSRV-282400 24*LFF Anybay 32*DIMMs</t>
  </si>
  <si>
    <t xml:space="preserve">Артикул продукта</t>
  </si>
  <si>
    <t xml:space="preserve">Артикул сервиса</t>
  </si>
  <si>
    <t xml:space="preserve">Наименование сервиса</t>
  </si>
  <si>
    <t xml:space="preserve">Цена</t>
  </si>
  <si>
    <t xml:space="preserve">Цена_NET</t>
  </si>
  <si>
    <t xml:space="preserve">Скидка_1</t>
  </si>
  <si>
    <t xml:space="preserve">Скидка_2</t>
  </si>
  <si>
    <t xml:space="preserve">Уровень сервиса</t>
  </si>
  <si>
    <t xml:space="preserve">Срок</t>
  </si>
  <si>
    <t xml:space="preserve">Коэф</t>
  </si>
  <si>
    <t xml:space="preserve">SUP-ADV-1Y-QSRV-160402</t>
  </si>
  <si>
    <t xml:space="preserve">Техническая поддержка Advanced 10х5хNBD, 12 месяцев</t>
  </si>
  <si>
    <t xml:space="preserve">ADV</t>
  </si>
  <si>
    <t xml:space="preserve">1Y</t>
  </si>
  <si>
    <t xml:space="preserve">SUP-ADV-1Y-</t>
  </si>
  <si>
    <t xml:space="preserve">ADV-1Y</t>
  </si>
  <si>
    <t xml:space="preserve">QSRV-160402A</t>
  </si>
  <si>
    <t xml:space="preserve">SUP-ADV-1Y-QSRV-160402A</t>
  </si>
  <si>
    <t xml:space="preserve">SUP-PRE-1Y-</t>
  </si>
  <si>
    <t xml:space="preserve">PRE-1Y</t>
  </si>
  <si>
    <t xml:space="preserve">Техническая поддержка Premium 24х7хNBD, 12 месяцев</t>
  </si>
  <si>
    <t xml:space="preserve">SUP-ADV-1Y-QSRV-161002</t>
  </si>
  <si>
    <t xml:space="preserve">SUP-ADV-3Y-</t>
  </si>
  <si>
    <t xml:space="preserve">ADV-3Y</t>
  </si>
  <si>
    <t xml:space="preserve">Техническая поддержка Advanced 10х5хNBD, 36 месяцев</t>
  </si>
  <si>
    <t xml:space="preserve">SUP-ADV-1Y-QSRV-161002A</t>
  </si>
  <si>
    <t xml:space="preserve">SUP-PRE-3Y-</t>
  </si>
  <si>
    <t xml:space="preserve">PRE-3Y</t>
  </si>
  <si>
    <t xml:space="preserve">Техническая поддержка Premium 24х7хNBD, 36 месяцев</t>
  </si>
  <si>
    <t xml:space="preserve">SUP-ADV-1Y-QSRV-170402</t>
  </si>
  <si>
    <t xml:space="preserve">SUP-BAS-5Y-</t>
  </si>
  <si>
    <t xml:space="preserve">BAS-5Y</t>
  </si>
  <si>
    <t xml:space="preserve">Техническая поддержка Base 10x5, 60 месяцев</t>
  </si>
  <si>
    <t xml:space="preserve">SUP-ADV-1Y-QSRV-171002</t>
  </si>
  <si>
    <t xml:space="preserve">SUP-ADV-5Y-</t>
  </si>
  <si>
    <t xml:space="preserve">ADV-5Y</t>
  </si>
  <si>
    <t xml:space="preserve">Техническая поддержка Advanced 10х5хNBD, 60 месяцев</t>
  </si>
  <si>
    <t xml:space="preserve">SUP-ADV-1Y-QSRV-224</t>
  </si>
  <si>
    <t xml:space="preserve">SUP-PRE-5Y-</t>
  </si>
  <si>
    <t xml:space="preserve">PRE-5Y</t>
  </si>
  <si>
    <t xml:space="preserve">Техническая поддержка Premium 24х7хNBD, 60 месяцев</t>
  </si>
  <si>
    <t xml:space="preserve">SUP-ADV-1Y-QSRV-260802</t>
  </si>
  <si>
    <t xml:space="preserve">QSRV-260802A</t>
  </si>
  <si>
    <t xml:space="preserve">SUP-ADV-1Y-QSRV-260802A</t>
  </si>
  <si>
    <t xml:space="preserve">SUP-ADV-1Y-QSRV-261202</t>
  </si>
  <si>
    <t xml:space="preserve">QSRV-261202A</t>
  </si>
  <si>
    <t xml:space="preserve">SUP-ADV-1Y-QSRV-261202A</t>
  </si>
  <si>
    <t xml:space="preserve">SUP-ADV-1Y-QSRV-262502</t>
  </si>
  <si>
    <t xml:space="preserve">SUP-ADV-1Y-QSRV-262502A</t>
  </si>
  <si>
    <t xml:space="preserve">SUP-ADV-1Y-QSRV-270802</t>
  </si>
  <si>
    <t xml:space="preserve">SUP-ADV-1Y-QSRV-271202</t>
  </si>
  <si>
    <t xml:space="preserve">SUP-ADV-1Y-QSRV-272502</t>
  </si>
  <si>
    <t xml:space="preserve">SUP-ADV-1Y-QSRV-424</t>
  </si>
  <si>
    <t xml:space="preserve">SUP-ADV-1Y-QSRV-462402</t>
  </si>
  <si>
    <t xml:space="preserve">SUP-ADV-1Y-QSRV-463602</t>
  </si>
  <si>
    <t xml:space="preserve">SUP-ADV-1Y-QSRV-472402</t>
  </si>
  <si>
    <t xml:space="preserve">SUP-ADV-1Y-QSRV-473602</t>
  </si>
  <si>
    <t xml:space="preserve">Техническая поддержка Advanced 8х5хNBD, 36 месяцев</t>
  </si>
  <si>
    <t xml:space="preserve">3Y</t>
  </si>
  <si>
    <t xml:space="preserve">QSRV-160402-E-R</t>
  </si>
  <si>
    <t xml:space="preserve">QSRV-160802-E-R</t>
  </si>
  <si>
    <t xml:space="preserve">QSRV-260802-E-R</t>
  </si>
  <si>
    <t xml:space="preserve">QSRV-261202-E-R</t>
  </si>
  <si>
    <t xml:space="preserve">QSRV-261202-P-R</t>
  </si>
  <si>
    <t xml:space="preserve">QSRV-160402-P-R</t>
  </si>
  <si>
    <t xml:space="preserve">QSRV-262402-E-R</t>
  </si>
  <si>
    <t xml:space="preserve">QSRV-262402-P-R</t>
  </si>
  <si>
    <t xml:space="preserve">QSRV-361602-E-R</t>
  </si>
  <si>
    <t xml:space="preserve">QSRV-463602-E-R</t>
  </si>
  <si>
    <t xml:space="preserve">QSRV-260802-P-R</t>
  </si>
  <si>
    <t xml:space="preserve">QSRV-160802-P-R</t>
  </si>
  <si>
    <t xml:space="preserve">Техническая поддержка Advanced 8х5хNBD, 60 месяцев</t>
  </si>
  <si>
    <t xml:space="preserve">5Y</t>
  </si>
  <si>
    <t xml:space="preserve">Техническая поддержка Base 10х5, 36 месяцев</t>
  </si>
  <si>
    <t xml:space="preserve">BAS</t>
  </si>
  <si>
    <t xml:space="preserve">Техническая поддержка Base 8x5, 60 месяцев</t>
  </si>
  <si>
    <t xml:space="preserve">SUP-BAS-5Y-QSRV-160402</t>
  </si>
  <si>
    <t xml:space="preserve">SUP-BAS-5Y-QSRV-161002</t>
  </si>
  <si>
    <t xml:space="preserve">SUP-BAS-5Y-QSRV-170402</t>
  </si>
  <si>
    <t xml:space="preserve">SUP-PRE-1Y-QSRV-160402</t>
  </si>
  <si>
    <t xml:space="preserve">PRE</t>
  </si>
  <si>
    <t xml:space="preserve">SUP-PRE-1Y-QSRV-160402A</t>
  </si>
  <si>
    <t xml:space="preserve">SUP-PRE-1Y-QSRV-161002</t>
  </si>
  <si>
    <t xml:space="preserve">SUP-PRE-1Y-QSRV-161002A</t>
  </si>
  <si>
    <t xml:space="preserve">SUP-PRE-1Y-QSRV-170402</t>
  </si>
  <si>
    <t xml:space="preserve">SUP-PRE-1Y-QSRV-171002</t>
  </si>
  <si>
    <t xml:space="preserve">SUP-PRE-1Y-QSRV-224</t>
  </si>
  <si>
    <t xml:space="preserve">SUP-PRE-1Y-QSRV-260802</t>
  </si>
  <si>
    <t xml:space="preserve">SUP-PRE-1Y-QSRV-260802A</t>
  </si>
  <si>
    <t xml:space="preserve">SUP-PRE-1Y-QSRV-261202</t>
  </si>
  <si>
    <t xml:space="preserve">SUP-PRE-1Y-QSRV-261202A</t>
  </si>
  <si>
    <t xml:space="preserve">SUP-PRE-1Y-QSRV-262502</t>
  </si>
  <si>
    <t xml:space="preserve">SUP-PRE-1Y-QSRV-262502A</t>
  </si>
  <si>
    <t xml:space="preserve">SUP-PRE-1Y-QSRV-270802</t>
  </si>
  <si>
    <t xml:space="preserve">SUP-PRE-1Y-QSRV-271202</t>
  </si>
  <si>
    <t xml:space="preserve">SUP-PRE-1Y-QSRV-272502</t>
  </si>
  <si>
    <t xml:space="preserve">SUP-PRE-1Y-QSRV-424</t>
  </si>
  <si>
    <t xml:space="preserve">SUP-PRE-1Y-QSRV-462402</t>
  </si>
  <si>
    <t xml:space="preserve">SUP-PRE-1Y-QSRV-463602</t>
  </si>
  <si>
    <t xml:space="preserve">SUP-PRE-1Y-QSRV-472402</t>
  </si>
  <si>
    <t xml:space="preserve">SUP-PRE-1Y-QSRV-473602</t>
  </si>
  <si>
    <t xml:space="preserve">https://lenovopress.lenovo.com/lp1392-thinksystem-sr650-v2-server#internal-storage</t>
  </si>
  <si>
    <t xml:space="preserve">front</t>
  </si>
  <si>
    <t xml:space="preserve">rear</t>
  </si>
  <si>
    <t xml:space="preserve">CPU</t>
  </si>
  <si>
    <t xml:space="preserve">RAID_1 Trimode</t>
  </si>
  <si>
    <t xml:space="preserve">Raid_2</t>
  </si>
  <si>
    <t xml:space="preserve">NVME</t>
  </si>
  <si>
    <t xml:space="preserve">S/S</t>
  </si>
  <si>
    <t xml:space="preserve">SAS\SATA</t>
  </si>
  <si>
    <t xml:space="preserve">QSRV-261202R_Active_BP_wth_4_U2</t>
  </si>
  <si>
    <t xml:space="preserve">1 или 2</t>
  </si>
  <si>
    <t xml:space="preserve">RAID|HBA 16i</t>
  </si>
  <si>
    <t xml:space="preserve">RAID|HBA 8i + кабель</t>
  </si>
  <si>
    <t xml:space="preserve">QSRV-262402R_active_BP_wth_4_U2</t>
  </si>
  <si>
    <t xml:space="preserve">QSW-4530-30TX</t>
  </si>
  <si>
    <t xml:space="preserve">Управляемый коммутатор агрегации уровня L3, 24 порта 10/100/1000BASE-T, 6 портов 10GbE SFP+, 4K VLAN, 32K MAC адресов, поддержка OSPF, BGP, PIM, консольный порт, 2 сменных блока питания, разъем питания на задней панели.</t>
  </si>
  <si>
    <t xml:space="preserve">QSW-4530-30TX-POE</t>
  </si>
  <si>
    <t xml:space="preserve">Управляемый коммутатор агрегации уровня L3 с поддержкой PoE 802.3af/at, 24 порта 10/100/1000BASE-T, 6 портов 10GbE SFP+, 4K VLAN, 32K MAC адресов, поддержка OSPF, BGP, PIM, консольный порт, 2 сменных блока питания, разъем питания на задней панели.</t>
  </si>
  <si>
    <t xml:space="preserve">QSW-4530-54TX</t>
  </si>
  <si>
    <t xml:space="preserve">Управляемый коммутатор агрегации уровня L3, 48 портов 10/100/1000BASE-T, 6 портов 10GbE SFP+, 4K VLAN, 32K MAC адресов, поддержка OSPF, BGP, PIM, консольный порт, 2 сменных блока питания, разъем питания на задней панели.</t>
  </si>
  <si>
    <t xml:space="preserve">QSW-4530-54TX-POE</t>
  </si>
  <si>
    <t xml:space="preserve">Управляемый коммутатор агрегации уровня L3 с поддержкой PoE 802.3af/at, 48 портов 10/100/1000BASE-T, 6 портов 10GbE SFP+, 4K VLAN, 32K MAC адресов, поддержка OSPF, BGP, PIM, консольный порт, 2 сменных блока питания, разъем питания на задней панели.</t>
  </si>
  <si>
    <t xml:space="preserve">QSW-M-4530-AC</t>
  </si>
  <si>
    <t xml:space="preserve">Модульный блок питания AC, входное напряжение: 100 – 240 В, 250 Вт</t>
  </si>
  <si>
    <t xml:space="preserve">QSW-M-4530-POE-AC</t>
  </si>
  <si>
    <t xml:space="preserve">Модульный блок питания AC, входное напряжение: 100 – 240 В, бюджет мощности PoE: 380 Вт</t>
  </si>
  <si>
    <t xml:space="preserve">QSW-M-4530-HPOE-AC</t>
  </si>
  <si>
    <t xml:space="preserve">Модульный блок питания AC, входное напряжение: 100 – 240 В, бюджет мощности PoE: 760 Вт</t>
  </si>
  <si>
    <t xml:space="preserve">QSW-4900-10TBX-POE-AC</t>
  </si>
  <si>
    <t xml:space="preserve">Управляемый коммутатор уровня L2+ с поддержкой PoE 802.3af/at, 8 портов 100/1000/2500BASE-T, 2 порта 10GbE SFP+, 1 порт USB, 4K VLAN, 32K MAC адресов, консольный порт.</t>
  </si>
  <si>
    <t xml:space="preserve">QSW-4900-28TBX-POE</t>
  </si>
  <si>
    <t xml:space="preserve">Управляемый коммутатор уровня L2+ с поддержкой PoE 802.3af/at, 24 порта 100/1000/2500BASE-T, 2 порта 10GbE RJ-45, 4 порта 10GbE SFP+, 1 порт USB, 4K VLAN, 32K MAC адресов, консольный порт.</t>
  </si>
  <si>
    <t xml:space="preserve">QSW-M-4900-POE-AC</t>
  </si>
  <si>
    <t xml:space="preserve">Блок питания для QSW-4900-28TBX-POE</t>
  </si>
  <si>
    <t xml:space="preserve">Соотношение CPU с райзерами и задними корзинами для 2U</t>
  </si>
  <si>
    <t xml:space="preserve">cfg</t>
  </si>
  <si>
    <t xml:space="preserve">Raiser</t>
  </si>
  <si>
    <t xml:space="preserve">Raiser port</t>
  </si>
  <si>
    <t xml:space="preserve">Rear bay, всего</t>
  </si>
  <si>
    <t xml:space="preserve">Rbay port</t>
  </si>
  <si>
    <t xml:space="preserve">RB LFF, max</t>
  </si>
  <si>
    <t xml:space="preserve">RB SFF, max</t>
  </si>
  <si>
    <t xml:space="preserve">1-4</t>
  </si>
  <si>
    <t xml:space="preserve">1-2, 3</t>
  </si>
  <si>
    <t xml:space="preserve">1-2, 4</t>
  </si>
  <si>
    <t xml:space="preserve">2, 3-4</t>
  </si>
  <si>
    <t xml:space="preserve">1, 3</t>
  </si>
  <si>
    <t xml:space="preserve">2, 4</t>
  </si>
  <si>
    <t xml:space="preserve">1, 4</t>
  </si>
  <si>
    <t xml:space="preserve">2, 3</t>
  </si>
  <si>
    <t xml:space="preserve">1, 3, 4 </t>
  </si>
  <si>
    <t xml:space="preserve">2-4</t>
  </si>
  <si>
    <t xml:space="preserve">1, 3-4</t>
  </si>
  <si>
    <t xml:space="preserve">1, 2</t>
  </si>
  <si>
    <t xml:space="preserve">3, 4</t>
  </si>
  <si>
    <t xml:space="preserve">1-2</t>
  </si>
  <si>
    <t xml:space="preserve">4</t>
  </si>
  <si>
    <t xml:space="preserve">3</t>
  </si>
  <si>
    <t xml:space="preserve">2</t>
  </si>
  <si>
    <t xml:space="preserve">1</t>
  </si>
  <si>
    <t xml:space="preserve">Соотношение CPU с райзерами для 1U</t>
  </si>
  <si>
    <t xml:space="preserve">Для 1U платформ</t>
  </si>
  <si>
    <t xml:space="preserve">Для 2|4U платформ</t>
  </si>
  <si>
    <t xml:space="preserve">2*SFF NVMe</t>
  </si>
  <si>
    <t xml:space="preserve">2*LFF SAS</t>
  </si>
  <si>
    <t xml:space="preserve">2*SFF SAS</t>
  </si>
  <si>
    <t xml:space="preserve">SSD U.2 NVMe </t>
  </si>
  <si>
    <t xml:space="preserve">Корзина rbaySFFU2</t>
  </si>
  <si>
    <t xml:space="preserve">Raiser support</t>
  </si>
  <si>
    <t xml:space="preserve">№</t>
  </si>
  <si>
    <t xml:space="preserve">Артикул</t>
  </si>
  <si>
    <t xml:space="preserve">Описание</t>
  </si>
  <si>
    <t xml:space="preserve">% от стоимости об-ния</t>
  </si>
  <si>
    <t xml:space="preserve">SUP-BAS-1Y-xxx</t>
  </si>
  <si>
    <t xml:space="preserve">Техническая поддержка Base 10х5, 12 месяцев</t>
  </si>
  <si>
    <t xml:space="preserve">SUP-ADV-1Y-xxx</t>
  </si>
  <si>
    <t xml:space="preserve">Техническая поддержка Advanced 10х5х, 12 месяцев</t>
  </si>
  <si>
    <t xml:space="preserve">SUP-PRE-1Y-xxx</t>
  </si>
  <si>
    <t xml:space="preserve">Техническая поддержка Premium 24х7х, 12 месяцев</t>
  </si>
  <si>
    <t xml:space="preserve">SUP-BASE-3Y-xxx</t>
  </si>
  <si>
    <t xml:space="preserve">Для коммутаторов, сервера и CCTV = 0%</t>
  </si>
  <si>
    <t xml:space="preserve">Для остального = 15%</t>
  </si>
  <si>
    <t xml:space="preserve">SUP-ADV-3Y-xxx</t>
  </si>
  <si>
    <t xml:space="preserve">Техническая поддержка Advanced 10х5х, 36 месяцев</t>
  </si>
  <si>
    <t xml:space="preserve">SUP-PRE-3Y-xxx</t>
  </si>
  <si>
    <t xml:space="preserve">Техническая поддержка Premium 24х7х, 36 месяцев</t>
  </si>
  <si>
    <t xml:space="preserve">SUP-BASE-5Y-xxx</t>
  </si>
  <si>
    <t xml:space="preserve">Для устройств с 1BAS = 30%</t>
  </si>
  <si>
    <t xml:space="preserve">Для коммутаторов, сервера и CCTV = 15%</t>
  </si>
  <si>
    <t xml:space="preserve">SUP-ADV-5Y-xxx</t>
  </si>
  <si>
    <t xml:space="preserve">Техническая поддержка Advanced 10х5х, 60 месяцев</t>
  </si>
  <si>
    <t xml:space="preserve">SUP-PRE-5Y-xxx</t>
  </si>
  <si>
    <t xml:space="preserve">Техническая поддержка Premium 24х7х, 60 месяцев</t>
  </si>
  <si>
    <t xml:space="preserve">SUP-BAS-1Y-</t>
  </si>
  <si>
    <t xml:space="preserve">BAS-1Y</t>
  </si>
  <si>
    <t xml:space="preserve">SUP-BAS-3Y-</t>
  </si>
  <si>
    <t xml:space="preserve">BAS-3Y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</si>
</sst>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"/>
    <numFmt numFmtId="166" formatCode="_-* #,##0.00&quot; ₽&quot;_-;\-* #,##0.00&quot; ₽&quot;_-;_-* \-??&quot; ₽&quot;_-;_-@_-"/>
    <numFmt numFmtId="167" formatCode="#,##0.00"/>
    <numFmt numFmtId="168" formatCode="#,##0.00\ [$₽-419]"/>
    <numFmt numFmtId="169" formatCode="0%"/>
    <numFmt numFmtId="170" formatCode="0.00"/>
    <numFmt numFmtId="171" formatCode="@"/>
    <numFmt numFmtId="172" formatCode="_-* #,##0.00_-;\-* #,##0.00_-;_-* \-??_-;_-@_-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2"/>
      <color rgb="FF000000"/>
      <name val="Calibri"/>
      <family val="2"/>
      <charset val="204"/>
    </font>
    <font>
      <sz val="12"/>
      <color rgb="FF000000"/>
      <name val="Calibri"/>
      <family val="2"/>
    </font>
    <font>
      <sz val="11"/>
      <name val="Times New Roman"/>
      <family val="1"/>
    </font>
    <font>
      <sz val="12"/>
      <color rgb="FF000000"/>
      <name val="Calibri"/>
      <family val="0"/>
    </font>
    <font>
      <u val="single"/>
      <sz val="11"/>
      <color rgb="FF0563C1"/>
      <name val="Calibri"/>
      <family val="2"/>
      <charset val="204"/>
    </font>
    <font>
      <sz val="16"/>
      <color rgb="FF7030A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FFFFFF"/>
      <name val="Calibri"/>
      <family val="0"/>
    </font>
    <font>
      <b val="true"/>
      <sz val="11"/>
      <color rgb="FFFFFFFF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E2F0D9"/>
        <bgColor rgb="FFFBE4D5"/>
      </patternFill>
    </fill>
    <fill>
      <patternFill patternType="solid">
        <fgColor rgb="FFFF99FF"/>
        <bgColor rgb="FFCC99FF"/>
      </patternFill>
    </fill>
    <fill>
      <patternFill patternType="solid">
        <fgColor rgb="FFC5E0B4"/>
        <bgColor rgb="FFA9D18E"/>
      </patternFill>
    </fill>
    <fill>
      <patternFill patternType="solid">
        <fgColor rgb="FFED7D31"/>
        <bgColor rgb="FFFF8080"/>
      </patternFill>
    </fill>
    <fill>
      <patternFill patternType="solid">
        <fgColor rgb="FFFBE4D5"/>
        <bgColor rgb="FFE2F0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 style="thin">
        <color rgb="FFA9D18E"/>
      </right>
      <top style="thin">
        <color rgb="FFA9D18E"/>
      </top>
      <bottom/>
      <diagonal/>
    </border>
    <border diagonalUp="false" diagonalDown="false">
      <left/>
      <right/>
      <top style="thin">
        <color rgb="FFA9D18E"/>
      </top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9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dxfs count="6"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7030A0"/>
      <rgbColor rgb="FFFBE4D5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FF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400320</xdr:colOff>
      <xdr:row>0</xdr:row>
      <xdr:rowOff>0</xdr:rowOff>
    </xdr:from>
    <xdr:to>
      <xdr:col>2</xdr:col>
      <xdr:colOff>1045440</xdr:colOff>
      <xdr:row>0</xdr:row>
      <xdr:rowOff>968760</xdr:rowOff>
    </xdr:to>
    <xdr:sp>
      <xdr:nvSpPr>
        <xdr:cNvPr id="0" name=""/>
        <xdr:cNvSpPr/>
      </xdr:nvSpPr>
      <xdr:spPr>
        <a:xfrm>
          <a:off x="3063600" y="0"/>
          <a:ext cx="4211280" cy="968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ru-RU" sz="1100" spc="-1" strike="noStrike">
              <a:latin typeface="Times New Roman"/>
            </a:rPr>
            <a:t>Эта фигура представляет срез таблицы. Срезы таблиц не поддерживаются в этой версии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latin typeface="Times New Roman"/>
            </a:rPr>
            <a:t>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1426680</xdr:colOff>
      <xdr:row>0</xdr:row>
      <xdr:rowOff>0</xdr:rowOff>
    </xdr:from>
    <xdr:to>
      <xdr:col>4</xdr:col>
      <xdr:colOff>172080</xdr:colOff>
      <xdr:row>0</xdr:row>
      <xdr:rowOff>972720</xdr:rowOff>
    </xdr:to>
    <xdr:sp>
      <xdr:nvSpPr>
        <xdr:cNvPr id="1" name=""/>
        <xdr:cNvSpPr/>
      </xdr:nvSpPr>
      <xdr:spPr>
        <a:xfrm>
          <a:off x="7656120" y="0"/>
          <a:ext cx="3991680" cy="9727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ru-RU" sz="1100" spc="-1" strike="noStrike">
              <a:latin typeface="Times New Roman"/>
            </a:rPr>
            <a:t>Эта фигура представляет срез таблицы. Срезы таблиц не поддерживаются в этой версии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latin typeface="Times New Roman"/>
            </a:rPr>
            <a:t>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412560</xdr:colOff>
      <xdr:row>0</xdr:row>
      <xdr:rowOff>224280</xdr:rowOff>
    </xdr:from>
    <xdr:to>
      <xdr:col>7</xdr:col>
      <xdr:colOff>236880</xdr:colOff>
      <xdr:row>0</xdr:row>
      <xdr:rowOff>813960</xdr:rowOff>
    </xdr:to>
    <xdr:sp>
      <xdr:nvSpPr>
        <xdr:cNvPr id="2" name="Прямоугольник: скругленные углы 3"/>
        <xdr:cNvSpPr/>
      </xdr:nvSpPr>
      <xdr:spPr>
        <a:xfrm>
          <a:off x="12871440" y="224280"/>
          <a:ext cx="1790280" cy="589680"/>
        </a:xfrm>
        <a:prstGeom prst="roundRect">
          <a:avLst>
            <a:gd name="adj" fmla="val 16667"/>
          </a:avLst>
        </a:prstGeom>
        <a:solidFill>
          <a:srgbClr val="ffc000"/>
        </a:solidFill>
        <a:ln w="0">
          <a:noFill/>
        </a:ln>
        <a:scene3d>
          <a:camera prst="orthographicFront"/>
          <a:lightRig dir="t" rig="threePt"/>
        </a:scene3d>
        <a:sp3d>
          <a:bevelT prst="coolSlant" w="165100"/>
        </a:sp3d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Сделать файл </a:t>
          </a:r>
          <a:br/>
          <a:r>
            <a:rPr b="0" lang="ru-RU" sz="1200" spc="-1" strike="noStrike">
              <a:solidFill>
                <a:srgbClr val="000000"/>
              </a:solidFill>
              <a:latin typeface="Calibri"/>
            </a:rPr>
            <a:t>для загрузки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283680</xdr:colOff>
      <xdr:row>3</xdr:row>
      <xdr:rowOff>38160</xdr:rowOff>
    </xdr:from>
    <xdr:to>
      <xdr:col>14</xdr:col>
      <xdr:colOff>273600</xdr:colOff>
      <xdr:row>9</xdr:row>
      <xdr:rowOff>59040</xdr:rowOff>
    </xdr:to>
    <xdr:grpSp>
      <xdr:nvGrpSpPr>
        <xdr:cNvPr id="3" name="Группа 36"/>
        <xdr:cNvGrpSpPr/>
      </xdr:nvGrpSpPr>
      <xdr:grpSpPr>
        <a:xfrm>
          <a:off x="6608160" y="685800"/>
          <a:ext cx="4312440" cy="1369080"/>
          <a:chOff x="6608160" y="685800"/>
          <a:chExt cx="4312440" cy="1369080"/>
        </a:xfrm>
      </xdr:grpSpPr>
      <xdr:grpSp>
        <xdr:nvGrpSpPr>
          <xdr:cNvPr id="4" name="Группа 35"/>
          <xdr:cNvGrpSpPr/>
        </xdr:nvGrpSpPr>
        <xdr:grpSpPr>
          <a:xfrm>
            <a:off x="7103160" y="964080"/>
            <a:ext cx="3342240" cy="537480"/>
            <a:chOff x="7103160" y="964080"/>
            <a:chExt cx="3342240" cy="537480"/>
          </a:xfrm>
        </xdr:grpSpPr>
        <xdr:cxnSp>
          <xdr:nvCxnSpPr>
            <xdr:cNvPr id="5" name="Прямая соединительная линия 19"/>
            <xdr:cNvCxnSpPr/>
          </xdr:nvCxnSpPr>
          <xdr:spPr>
            <a:xfrm flipH="1">
              <a:off x="7103160" y="964080"/>
              <a:ext cx="1179720" cy="515520"/>
            </a:xfrm>
            <a:prstGeom prst="straightConnector1">
              <a:avLst/>
            </a:prstGeom>
            <a:ln w="19050">
              <a:solidFill>
                <a:srgbClr val="4472c4"/>
              </a:solidFill>
              <a:miter/>
            </a:ln>
          </xdr:spPr>
        </xdr:cxnSp>
        <xdr:cxnSp>
          <xdr:nvCxnSpPr>
            <xdr:cNvPr id="6" name="Прямая соединительная линия 20"/>
            <xdr:cNvCxnSpPr/>
          </xdr:nvCxnSpPr>
          <xdr:spPr>
            <a:xfrm flipH="1">
              <a:off x="8241120" y="968040"/>
              <a:ext cx="1023840" cy="533880"/>
            </a:xfrm>
            <a:prstGeom prst="straightConnector1">
              <a:avLst/>
            </a:prstGeom>
            <a:ln w="19050">
              <a:solidFill>
                <a:srgbClr val="4472c4"/>
              </a:solidFill>
              <a:miter/>
            </a:ln>
          </xdr:spPr>
        </xdr:cxnSp>
        <xdr:cxnSp>
          <xdr:nvCxnSpPr>
            <xdr:cNvPr id="7" name="Прямая соединительная линия 21"/>
            <xdr:cNvCxnSpPr/>
          </xdr:nvCxnSpPr>
          <xdr:spPr>
            <a:xfrm>
              <a:off x="8282520" y="964080"/>
              <a:ext cx="1060920" cy="537840"/>
            </a:xfrm>
            <a:prstGeom prst="straightConnector1">
              <a:avLst/>
            </a:prstGeom>
            <a:ln w="19050">
              <a:solidFill>
                <a:srgbClr val="4472c4"/>
              </a:solidFill>
              <a:miter/>
            </a:ln>
          </xdr:spPr>
        </xdr:cxnSp>
        <xdr:cxnSp>
          <xdr:nvCxnSpPr>
            <xdr:cNvPr id="8" name="Прямая соединительная линия 22"/>
            <xdr:cNvCxnSpPr/>
          </xdr:nvCxnSpPr>
          <xdr:spPr>
            <a:xfrm>
              <a:off x="9264600" y="968040"/>
              <a:ext cx="1181160" cy="533880"/>
            </a:xfrm>
            <a:prstGeom prst="straightConnector1">
              <a:avLst/>
            </a:prstGeom>
            <a:ln w="19050">
              <a:solidFill>
                <a:srgbClr val="ed7d31">
                  <a:lumMod val="50000"/>
                </a:srgbClr>
              </a:solidFill>
              <a:miter/>
            </a:ln>
          </xdr:spPr>
        </xdr:cxnSp>
        <xdr:cxnSp>
          <xdr:nvCxnSpPr>
            <xdr:cNvPr id="9" name="Прямая соединительная линия 23"/>
            <xdr:cNvCxnSpPr/>
          </xdr:nvCxnSpPr>
          <xdr:spPr>
            <a:xfrm>
              <a:off x="8282520" y="964080"/>
              <a:ext cx="2163240" cy="537840"/>
            </a:xfrm>
            <a:prstGeom prst="straightConnector1">
              <a:avLst/>
            </a:prstGeom>
            <a:ln w="19050">
              <a:solidFill>
                <a:srgbClr val="ed7d31">
                  <a:lumMod val="50000"/>
                </a:srgbClr>
              </a:solidFill>
              <a:miter/>
            </a:ln>
          </xdr:spPr>
        </xdr:cxnSp>
      </xdr:grpSp>
      <xdr:grpSp>
        <xdr:nvGrpSpPr>
          <xdr:cNvPr id="10" name="Группа 34"/>
          <xdr:cNvGrpSpPr/>
        </xdr:nvGrpSpPr>
        <xdr:grpSpPr>
          <a:xfrm>
            <a:off x="6608160" y="685800"/>
            <a:ext cx="4312440" cy="1369080"/>
            <a:chOff x="6608160" y="685800"/>
            <a:chExt cx="4312440" cy="1369080"/>
          </a:xfrm>
        </xdr:grpSpPr>
        <xdr:sp>
          <xdr:nvSpPr>
            <xdr:cNvPr id="11" name="Прямоугольник: скругленные углы 13"/>
            <xdr:cNvSpPr/>
          </xdr:nvSpPr>
          <xdr:spPr>
            <a:xfrm>
              <a:off x="7948800" y="685800"/>
              <a:ext cx="672480" cy="274320"/>
            </a:xfrm>
            <a:prstGeom prst="roundRect">
              <a:avLst>
                <a:gd name="adj" fmla="val 16667"/>
              </a:avLst>
            </a:prstGeom>
            <a:solidFill>
              <a:srgbClr val="ff000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CPU1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12" name="Прямоугольник: скругленные углы 14"/>
            <xdr:cNvSpPr/>
          </xdr:nvSpPr>
          <xdr:spPr>
            <a:xfrm>
              <a:off x="8848440" y="685800"/>
              <a:ext cx="836640" cy="278280"/>
            </a:xfrm>
            <a:prstGeom prst="roundRect">
              <a:avLst>
                <a:gd name="adj" fmla="val 16667"/>
              </a:avLst>
            </a:prstGeom>
            <a:solidFill>
              <a:srgbClr val="7030a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CPU2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13" name="Прямоугольник: скругленные углы 15"/>
            <xdr:cNvSpPr/>
          </xdr:nvSpPr>
          <xdr:spPr>
            <a:xfrm>
              <a:off x="6608160" y="1483560"/>
              <a:ext cx="999000" cy="553320"/>
            </a:xfrm>
            <a:prstGeom prst="roundRect">
              <a:avLst>
                <a:gd name="adj" fmla="val 16667"/>
              </a:avLst>
            </a:prstGeom>
            <a:solidFill>
              <a:srgbClr val="bf900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Raiser1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14" name="Прямоугольник: скругленные углы 16"/>
            <xdr:cNvSpPr/>
          </xdr:nvSpPr>
          <xdr:spPr>
            <a:xfrm>
              <a:off x="7754400" y="1501560"/>
              <a:ext cx="964080" cy="553320"/>
            </a:xfrm>
            <a:prstGeom prst="roundRect">
              <a:avLst>
                <a:gd name="adj" fmla="val 16667"/>
              </a:avLst>
            </a:prstGeom>
            <a:solidFill>
              <a:srgbClr val="2e75b6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Raiser2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15" name="Прямоугольник: скругленные углы 17"/>
            <xdr:cNvSpPr/>
          </xdr:nvSpPr>
          <xdr:spPr>
            <a:xfrm>
              <a:off x="8852040" y="1501560"/>
              <a:ext cx="973440" cy="274320"/>
            </a:xfrm>
            <a:prstGeom prst="roundRect">
              <a:avLst>
                <a:gd name="adj" fmla="val 16667"/>
              </a:avLst>
            </a:prstGeom>
            <a:solidFill>
              <a:srgbClr val="548235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Raiser3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16" name="Прямоугольник: скругленные углы 18"/>
            <xdr:cNvSpPr/>
          </xdr:nvSpPr>
          <xdr:spPr>
            <a:xfrm>
              <a:off x="9960840" y="1501560"/>
              <a:ext cx="959760" cy="274320"/>
            </a:xfrm>
            <a:prstGeom prst="roundRect">
              <a:avLst>
                <a:gd name="adj" fmla="val 16667"/>
              </a:avLst>
            </a:prstGeom>
            <a:solidFill>
              <a:srgbClr val="c55a11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Raiser4</a:t>
              </a:r>
              <a:endParaRPr b="0" lang="en-US" sz="1100" spc="-1" strike="noStrike">
                <a:latin typeface="Times New Roman"/>
              </a:endParaRPr>
            </a:p>
            <a:p>
              <a:pPr algn="ctr">
                <a:lnSpc>
                  <a:spcPct val="100000"/>
                </a:lnSpc>
              </a:pPr>
              <a:endParaRPr b="0" lang="en-US" sz="1100" spc="-1" strike="noStrike">
                <a:latin typeface="Times New Roman"/>
              </a:endParaRPr>
            </a:p>
          </xdr:txBody>
        </xdr:sp>
      </xdr:grpSp>
    </xdr:grpSp>
    <xdr:clientData/>
  </xdr:twoCellAnchor>
  <xdr:twoCellAnchor editAs="absolute">
    <xdr:from>
      <xdr:col>9</xdr:col>
      <xdr:colOff>285840</xdr:colOff>
      <xdr:row>28</xdr:row>
      <xdr:rowOff>60120</xdr:rowOff>
    </xdr:from>
    <xdr:to>
      <xdr:col>11</xdr:col>
      <xdr:colOff>739440</xdr:colOff>
      <xdr:row>34</xdr:row>
      <xdr:rowOff>96480</xdr:rowOff>
    </xdr:to>
    <xdr:grpSp>
      <xdr:nvGrpSpPr>
        <xdr:cNvPr id="17" name="Группа 37"/>
        <xdr:cNvGrpSpPr/>
      </xdr:nvGrpSpPr>
      <xdr:grpSpPr>
        <a:xfrm>
          <a:off x="6610320" y="5751720"/>
          <a:ext cx="2032920" cy="1384200"/>
          <a:chOff x="6610320" y="5751720"/>
          <a:chExt cx="2032920" cy="1384200"/>
        </a:xfrm>
      </xdr:grpSpPr>
      <xdr:grpSp>
        <xdr:nvGrpSpPr>
          <xdr:cNvPr id="18" name="Группа 38"/>
          <xdr:cNvGrpSpPr/>
        </xdr:nvGrpSpPr>
        <xdr:grpSpPr>
          <a:xfrm>
            <a:off x="7091640" y="6029280"/>
            <a:ext cx="1087200" cy="547200"/>
            <a:chOff x="7091640" y="6029280"/>
            <a:chExt cx="1087200" cy="547200"/>
          </a:xfrm>
        </xdr:grpSpPr>
        <xdr:cxnSp>
          <xdr:nvCxnSpPr>
            <xdr:cNvPr id="19" name="Прямая соединительная линия 46"/>
            <xdr:cNvCxnSpPr/>
          </xdr:nvCxnSpPr>
          <xdr:spPr>
            <a:xfrm flipH="1">
              <a:off x="7091640" y="6029280"/>
              <a:ext cx="78480" cy="529200"/>
            </a:xfrm>
            <a:prstGeom prst="straightConnector1">
              <a:avLst/>
            </a:prstGeom>
            <a:ln w="19050">
              <a:solidFill>
                <a:srgbClr val="4472c4"/>
              </a:solidFill>
              <a:miter/>
            </a:ln>
          </xdr:spPr>
        </xdr:cxnSp>
        <xdr:cxnSp>
          <xdr:nvCxnSpPr>
            <xdr:cNvPr id="20" name="Прямая соединительная линия 47"/>
            <xdr:cNvCxnSpPr/>
          </xdr:nvCxnSpPr>
          <xdr:spPr>
            <a:xfrm>
              <a:off x="8115480" y="6033240"/>
              <a:ext cx="63720" cy="543600"/>
            </a:xfrm>
            <a:prstGeom prst="straightConnector1">
              <a:avLst/>
            </a:prstGeom>
            <a:ln w="19050">
              <a:solidFill>
                <a:srgbClr val="4472c4"/>
              </a:solidFill>
              <a:miter/>
            </a:ln>
          </xdr:spPr>
        </xdr:cxnSp>
      </xdr:grpSp>
      <xdr:grpSp>
        <xdr:nvGrpSpPr>
          <xdr:cNvPr id="21" name="Группа 39"/>
          <xdr:cNvGrpSpPr/>
        </xdr:nvGrpSpPr>
        <xdr:grpSpPr>
          <a:xfrm>
            <a:off x="6610320" y="5751720"/>
            <a:ext cx="2032920" cy="1384200"/>
            <a:chOff x="6610320" y="5751720"/>
            <a:chExt cx="2032920" cy="1384200"/>
          </a:xfrm>
        </xdr:grpSpPr>
        <xdr:sp>
          <xdr:nvSpPr>
            <xdr:cNvPr id="22" name="Прямоугольник: скругленные углы 40"/>
            <xdr:cNvSpPr/>
          </xdr:nvSpPr>
          <xdr:spPr>
            <a:xfrm>
              <a:off x="6845760" y="5751720"/>
              <a:ext cx="647640" cy="277200"/>
            </a:xfrm>
            <a:prstGeom prst="roundRect">
              <a:avLst>
                <a:gd name="adj" fmla="val 16667"/>
              </a:avLst>
            </a:prstGeom>
            <a:solidFill>
              <a:srgbClr val="ff000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CPU1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23" name="Прямоугольник: скругленные углы 41"/>
            <xdr:cNvSpPr/>
          </xdr:nvSpPr>
          <xdr:spPr>
            <a:xfrm>
              <a:off x="7712640" y="5751720"/>
              <a:ext cx="806040" cy="281160"/>
            </a:xfrm>
            <a:prstGeom prst="roundRect">
              <a:avLst>
                <a:gd name="adj" fmla="val 16667"/>
              </a:avLst>
            </a:prstGeom>
            <a:solidFill>
              <a:srgbClr val="7030a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CPU2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24" name="Прямоугольник: скругленные углы 42"/>
            <xdr:cNvSpPr/>
          </xdr:nvSpPr>
          <xdr:spPr>
            <a:xfrm>
              <a:off x="6610320" y="6558120"/>
              <a:ext cx="962280" cy="559440"/>
            </a:xfrm>
            <a:prstGeom prst="roundRect">
              <a:avLst>
                <a:gd name="adj" fmla="val 16667"/>
              </a:avLst>
            </a:prstGeom>
            <a:solidFill>
              <a:srgbClr val="bf9000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Raiser1</a:t>
              </a:r>
              <a:endParaRPr b="0" lang="en-US" sz="1100" spc="-1" strike="noStrike">
                <a:latin typeface="Times New Roman"/>
              </a:endParaRPr>
            </a:p>
          </xdr:txBody>
        </xdr:sp>
        <xdr:sp>
          <xdr:nvSpPr>
            <xdr:cNvPr id="25" name="Прямоугольник: скругленные углы 43"/>
            <xdr:cNvSpPr/>
          </xdr:nvSpPr>
          <xdr:spPr>
            <a:xfrm>
              <a:off x="7714440" y="6576480"/>
              <a:ext cx="928800" cy="559440"/>
            </a:xfrm>
            <a:prstGeom prst="roundRect">
              <a:avLst>
                <a:gd name="adj" fmla="val 16667"/>
              </a:avLst>
            </a:prstGeom>
            <a:solidFill>
              <a:srgbClr val="2e75b6"/>
            </a:solidFill>
            <a:ln w="12700">
              <a:solidFill>
                <a:srgbClr val="325490"/>
              </a:solidFill>
              <a:miter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1100" spc="-1" strike="noStrike">
                  <a:solidFill>
                    <a:schemeClr val="lt1"/>
                  </a:solidFill>
                  <a:latin typeface="Calibri"/>
                </a:rPr>
                <a:t>Raiser2</a:t>
              </a:r>
              <a:endParaRPr b="0" lang="en-US" sz="1100" spc="-1" strike="noStrike">
                <a:latin typeface="Times New Roman"/>
              </a:endParaRP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id="1" name="tbl_LoC" displayName="tbl_LoC" ref="A1:AC340" headerRowCount="1" totalsRowCount="0" totalsRowShown="0">
  <autoFilter ref="A1:AC340"/>
  <tableColumns count="29">
    <tableColumn id="1" name="G2R"/>
    <tableColumn id="2" name="G2"/>
    <tableColumn id="3" name="G3"/>
    <tableColumn id="4" name="AMD"/>
    <tableColumn id="5" name="JBOD"/>
    <tableColumn id="6" name="Adisk"/>
    <tableColumn id="7" name="G3R"/>
    <tableColumn id="8" name="G4"/>
    <tableColumn id="9" name="Disabled"/>
    <tableColumn id="10" name="Family"/>
    <tableColumn id="11" name="Type"/>
    <tableColumn id="12" name="Description"/>
    <tableColumn id="13" name="PN"/>
    <tableColumn id="14" name="цена GPL"/>
    <tableColumn id="15" name="DescFull"/>
    <tableColumn id="16" name="Name"/>
    <tableColumn id="17" name="Power"/>
    <tableColumn id="18" name="Комментарии"/>
    <tableColumn id="19" name="Изменено"/>
    <tableColumn id="20" name="UnitFixed"/>
    <tableColumn id="21" name="UnitMin"/>
    <tableColumn id="22" name="цена, р."/>
    <tableColumn id="23" name="курс"/>
    <tableColumn id="24" name="цена GPL, $"/>
    <tableColumn id="25" name="цена DDP, $"/>
    <tableColumn id="26" name="цена DDP, руб"/>
    <tableColumn id="27" name="цена FOB, $"/>
    <tableColumn id="28" name="Столбец1"/>
    <tableColumn id="29" name="Столбец2"/>
  </tableColumns>
</table>
</file>

<file path=xl/tables/table2.xml><?xml version="1.0" encoding="utf-8"?>
<table xmlns="http://schemas.openxmlformats.org/spreadsheetml/2006/main" id="2" name="Таблица2" displayName="Таблица2" ref="A2:J327" headerRowCount="1" totalsRowCount="0" totalsRowShown="0">
  <autoFilter ref="A2:J327">
    <filterColumn colId="0">
      <filters>
        <filter val="PRE"/>
        <filter val="3Y"/>
      </filters>
    </filterColumn>
  </autoFilter>
  <tableColumns count="10">
    <tableColumn id="1" name="Артикул продукта"/>
    <tableColumn id="2" name="Артикул сервиса"/>
    <tableColumn id="3" name="Наименование сервиса"/>
    <tableColumn id="4" name="Цена"/>
    <tableColumn id="5" name="Цена_NET"/>
    <tableColumn id="6" name="Скидка_1"/>
    <tableColumn id="7" name="Скидка_2"/>
    <tableColumn id="8" name="Уровень сервиса"/>
    <tableColumn id="9" name="Срок"/>
    <tableColumn id="10" name="Коэф"/>
  </tableColumns>
</table>
</file>

<file path=xl/tables/table3.xml><?xml version="1.0" encoding="utf-8"?>
<table xmlns="http://schemas.openxmlformats.org/spreadsheetml/2006/main" id="3" name="Таблица3" displayName="Таблица3" ref="B4:I25" headerRowCount="1" totalsRowCount="0" totalsRowShown="0">
  <autoFilter ref="B4:I25"/>
  <tableColumns count="8">
    <tableColumn id="1" name="cfg"/>
    <tableColumn id="2" name="CPU"/>
    <tableColumn id="3" name="Raiser"/>
    <tableColumn id="4" name="Raiser port"/>
    <tableColumn id="5" name="Rear bay, всего"/>
    <tableColumn id="6" name="Rbay port"/>
    <tableColumn id="7" name="RB LFF, max"/>
    <tableColumn id="8" name="RB SFF, max"/>
  </tableColumns>
</table>
</file>

<file path=xl/tables/table4.xml><?xml version="1.0" encoding="utf-8"?>
<table xmlns="http://schemas.openxmlformats.org/spreadsheetml/2006/main" id="4" name="Таблица35" displayName="Таблица35" ref="B29:E34" headerRowCount="1" totalsRowCount="0" totalsRowShown="0">
  <autoFilter ref="B29:E34"/>
  <tableColumns count="4">
    <tableColumn id="1" name="cfg"/>
    <tableColumn id="2" name="CPU"/>
    <tableColumn id="3" name="Raiser"/>
    <tableColumn id="4" name="Raiser port"/>
  </tableColumns>
</table>
</file>

<file path=xl/tables/table5.xml><?xml version="1.0" encoding="utf-8"?>
<table xmlns="http://schemas.openxmlformats.org/spreadsheetml/2006/main" id="5" name="Таблица6" displayName="Таблица6" ref="I5:L11" headerRowCount="1" totalsRowCount="0" totalsRowShown="0">
  <autoFilter ref="I5:L11"/>
  <tableColumns count="4">
    <tableColumn id="1" name="SSD U.2 NVMe "/>
    <tableColumn id="2" name="Корзина rbaySFFU2"/>
    <tableColumn id="3" name="Rbay port"/>
    <tableColumn id="4" name="Raiser suppor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novopress.lenovo.com/lp1392-thinksystem-sr650-v2-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AC340"/>
  <sheetViews>
    <sheetView showFormulas="false" showGridLines="true" showRowColHeaders="true" showZeros="true" rightToLeft="false" tabSelected="true" showOutlineSymbols="true" defaultGridColor="true" view="normal" topLeftCell="A281" colorId="64" zoomScale="80" zoomScaleNormal="80" zoomScalePageLayoutView="100" workbookViewId="0">
      <selection pane="topLeft" activeCell="M306" activeCellId="0" sqref="M306"/>
    </sheetView>
  </sheetViews>
  <sheetFormatPr defaultColWidth="8.859375" defaultRowHeight="13.8" zeroHeight="false" outlineLevelRow="0" outlineLevelCol="0"/>
  <cols>
    <col collapsed="false" customWidth="true" hidden="false" outlineLevel="0" max="1" min="1" style="1" width="7.72"/>
    <col collapsed="false" customWidth="true" hidden="false" outlineLevel="0" max="3" min="2" style="1" width="6.29"/>
    <col collapsed="false" customWidth="true" hidden="false" outlineLevel="0" max="4" min="4" style="0" width="8.29"/>
    <col collapsed="false" customWidth="true" hidden="false" outlineLevel="0" max="5" min="5" style="1" width="8.57"/>
    <col collapsed="false" customWidth="true" hidden="false" outlineLevel="0" max="7" min="7" style="0" width="9.86"/>
    <col collapsed="false" customWidth="true" hidden="false" outlineLevel="0" max="9" min="8" style="0" width="15.57"/>
    <col collapsed="false" customWidth="true" hidden="false" outlineLevel="0" max="10" min="10" style="1" width="15.57"/>
    <col collapsed="false" customWidth="true" hidden="false" outlineLevel="0" max="11" min="11" style="0" width="21.14"/>
    <col collapsed="false" customWidth="true" hidden="false" outlineLevel="0" max="12" min="12" style="2" width="51.72"/>
    <col collapsed="false" customWidth="true" hidden="false" outlineLevel="0" max="13" min="13" style="1" width="33"/>
    <col collapsed="false" customWidth="true" hidden="false" outlineLevel="0" max="14" min="14" style="3" width="14.29"/>
    <col collapsed="false" customWidth="true" hidden="false" outlineLevel="0" max="15" min="15" style="2" width="56.72"/>
    <col collapsed="false" customWidth="true" hidden="false" outlineLevel="0" max="16" min="16" style="2" width="53.43"/>
    <col collapsed="false" customWidth="true" hidden="false" outlineLevel="0" max="17" min="17" style="2" width="9.57"/>
    <col collapsed="false" customWidth="true" hidden="false" outlineLevel="0" max="18" min="18" style="4" width="17.71"/>
    <col collapsed="false" customWidth="true" hidden="false" outlineLevel="0" max="19" min="19" style="2" width="16.57"/>
    <col collapsed="false" customWidth="true" hidden="false" outlineLevel="0" max="20" min="20" style="2" width="12.72"/>
    <col collapsed="false" customWidth="true" hidden="false" outlineLevel="0" max="21" min="21" style="0" width="11.28"/>
    <col collapsed="false" customWidth="true" hidden="false" outlineLevel="0" max="22" min="22" style="1" width="14.14"/>
    <col collapsed="false" customWidth="true" hidden="false" outlineLevel="0" max="23" min="23" style="1" width="13"/>
    <col collapsed="false" customWidth="true" hidden="false" outlineLevel="0" max="24" min="24" style="5" width="15.86"/>
    <col collapsed="false" customWidth="true" hidden="false" outlineLevel="0" max="25" min="25" style="6" width="15"/>
    <col collapsed="false" customWidth="true" hidden="false" outlineLevel="0" max="26" min="26" style="2" width="13.86"/>
    <col collapsed="false" customWidth="true" hidden="false" outlineLevel="0" max="27" min="27" style="2" width="12"/>
    <col collapsed="false" customWidth="true" hidden="false" outlineLevel="0" max="28" min="28" style="2" width="13.29"/>
    <col collapsed="false" customWidth="false" hidden="false" outlineLevel="0" max="16384" min="29" style="2" width="8.86"/>
  </cols>
  <sheetData>
    <row r="1" s="3" customFormat="true" ht="84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9" t="s">
        <v>24</v>
      </c>
      <c r="Z1" s="10" t="s">
        <v>25</v>
      </c>
      <c r="AA1" s="7" t="s">
        <v>26</v>
      </c>
      <c r="AB1" s="7" t="s">
        <v>27</v>
      </c>
      <c r="AC1" s="7" t="s">
        <v>28</v>
      </c>
    </row>
    <row r="2" customFormat="false" ht="15.75" hidden="false" customHeight="false" outlineLevel="0" collapsed="false">
      <c r="A2" s="11"/>
      <c r="B2" s="11"/>
      <c r="C2" s="11"/>
      <c r="D2" s="11"/>
      <c r="E2" s="12" t="s">
        <v>4</v>
      </c>
      <c r="F2" s="11"/>
      <c r="G2" s="11"/>
      <c r="H2" s="11"/>
      <c r="I2" s="11"/>
      <c r="J2" s="13" t="s">
        <v>29</v>
      </c>
      <c r="K2" s="13"/>
      <c r="L2" s="13" t="s">
        <v>30</v>
      </c>
      <c r="M2" s="13" t="s">
        <v>31</v>
      </c>
      <c r="N2" s="14" t="n">
        <f aca="false">OFFSET(tbl_LoC,1,19,1,1)</f>
        <v>0</v>
      </c>
      <c r="O2" s="15"/>
      <c r="P2" s="13"/>
      <c r="Q2" s="13" t="n">
        <v>0</v>
      </c>
      <c r="R2" s="13"/>
      <c r="S2" s="16"/>
      <c r="T2" s="12"/>
      <c r="U2" s="12"/>
      <c r="V2" s="14" t="e">
        <f aca="false">OFFSET(tbl_LoC,1,21,1,1)*OFFSET(tbl_LoC,1,20,1,1)</f>
        <v>#VALUE!</v>
      </c>
      <c r="W2" s="17" t="n">
        <v>103</v>
      </c>
      <c r="X2" s="14" t="n">
        <f aca="false">Y2/(1-0.15)/(1-0.6)</f>
        <v>147.058823529412</v>
      </c>
      <c r="Y2" s="18" t="n">
        <v>50</v>
      </c>
      <c r="Z2" s="19" t="n">
        <f aca="false">OFFSET(tbl_LoC,1,22,1,1)*OFFSET(tbl_LoC,1,20,1,1)</f>
        <v>0</v>
      </c>
      <c r="AA2" s="13" t="str">
        <f aca="false">VLOOKUP(OFFSET(tbl_LoC,1,10,1,1),'[1]List of components'!$C$1:$F$1048576,2,FALSE())</f>
        <v/>
      </c>
      <c r="AB2" s="13"/>
      <c r="AC2" s="13"/>
    </row>
    <row r="3" customFormat="false" ht="67.15" hidden="false" customHeight="false" outlineLevel="0" collapsed="false">
      <c r="A3" s="11"/>
      <c r="B3" s="11" t="s">
        <v>1</v>
      </c>
      <c r="C3" s="11"/>
      <c r="D3" s="11"/>
      <c r="E3" s="11"/>
      <c r="F3" s="11"/>
      <c r="G3" s="11"/>
      <c r="H3" s="11"/>
      <c r="I3" s="11"/>
      <c r="J3" s="13" t="s">
        <v>32</v>
      </c>
      <c r="K3" s="20"/>
      <c r="L3" s="13" t="s">
        <v>33</v>
      </c>
      <c r="M3" s="13" t="s">
        <v>34</v>
      </c>
      <c r="N3" s="14" t="n">
        <f aca="false">OFFSET(tbl_LoC,2,19,1,1)</f>
        <v>0</v>
      </c>
      <c r="O3" s="15" t="s">
        <v>35</v>
      </c>
      <c r="P3" s="13" t="s">
        <v>36</v>
      </c>
      <c r="Q3" s="13" t="n">
        <v>0</v>
      </c>
      <c r="R3" s="13"/>
      <c r="S3" s="16"/>
      <c r="T3" s="11"/>
      <c r="U3" s="11"/>
      <c r="V3" s="14" t="n">
        <v>727058.823529412</v>
      </c>
      <c r="W3" s="17" t="n">
        <v>103</v>
      </c>
      <c r="X3" s="14" t="n">
        <f aca="false">Y3/(1-0.15)/(1-0.6)</f>
        <v>10225.5882352941</v>
      </c>
      <c r="Y3" s="18" t="n">
        <v>3476.7</v>
      </c>
      <c r="Z3" s="19" t="n">
        <v>247200</v>
      </c>
      <c r="AA3" s="13" t="e">
        <f aca="false">#N/A</f>
        <v>#N/A</v>
      </c>
      <c r="AB3" s="18"/>
      <c r="AC3" s="13" t="n">
        <v>31802</v>
      </c>
    </row>
    <row r="4" customFormat="false" ht="67.15" hidden="false" customHeight="false" outlineLevel="0" collapsed="false">
      <c r="A4" s="11"/>
      <c r="B4" s="11" t="s">
        <v>1</v>
      </c>
      <c r="C4" s="11"/>
      <c r="D4" s="11"/>
      <c r="E4" s="11"/>
      <c r="F4" s="11"/>
      <c r="G4" s="11"/>
      <c r="H4" s="11"/>
      <c r="I4" s="11"/>
      <c r="J4" s="13" t="s">
        <v>32</v>
      </c>
      <c r="K4" s="20"/>
      <c r="L4" s="13" t="s">
        <v>33</v>
      </c>
      <c r="M4" s="13" t="s">
        <v>37</v>
      </c>
      <c r="N4" s="14" t="n">
        <f aca="false">OFFSET(tbl_LoC,3,19,1,1)</f>
        <v>0</v>
      </c>
      <c r="O4" s="15" t="s">
        <v>38</v>
      </c>
      <c r="P4" s="13" t="s">
        <v>39</v>
      </c>
      <c r="Q4" s="13" t="n">
        <v>0</v>
      </c>
      <c r="R4" s="13"/>
      <c r="S4" s="16"/>
      <c r="T4" s="11"/>
      <c r="U4" s="11"/>
      <c r="V4" s="14" t="n">
        <v>605882.352941176</v>
      </c>
      <c r="W4" s="17" t="n">
        <v>103</v>
      </c>
      <c r="X4" s="14" t="n">
        <f aca="false">Y4/(1-0.15)/(1-0.6)</f>
        <v>6470.58823529412</v>
      </c>
      <c r="Y4" s="18" t="n">
        <v>2200</v>
      </c>
      <c r="Z4" s="19" t="n">
        <v>206000</v>
      </c>
      <c r="AA4" s="13" t="e">
        <f aca="false">#N/A</f>
        <v>#N/A</v>
      </c>
      <c r="AB4" s="18"/>
      <c r="AC4" s="13" t="n">
        <v>31758</v>
      </c>
    </row>
    <row r="5" customFormat="false" ht="67.15" hidden="false" customHeight="false" outlineLevel="0" collapsed="false">
      <c r="A5" s="11"/>
      <c r="B5" s="11" t="s">
        <v>1</v>
      </c>
      <c r="C5" s="11"/>
      <c r="D5" s="11"/>
      <c r="E5" s="11"/>
      <c r="F5" s="11"/>
      <c r="G5" s="11"/>
      <c r="H5" s="11"/>
      <c r="I5" s="11"/>
      <c r="J5" s="13" t="s">
        <v>32</v>
      </c>
      <c r="K5" s="20"/>
      <c r="L5" s="13" t="s">
        <v>40</v>
      </c>
      <c r="M5" s="13" t="s">
        <v>41</v>
      </c>
      <c r="N5" s="14" t="n">
        <f aca="false">OFFSET(tbl_LoC,4,19,1,1)</f>
        <v>0</v>
      </c>
      <c r="O5" s="15" t="s">
        <v>42</v>
      </c>
      <c r="P5" s="13" t="s">
        <v>43</v>
      </c>
      <c r="Q5" s="13" t="n">
        <v>0</v>
      </c>
      <c r="R5" s="13"/>
      <c r="S5" s="16"/>
      <c r="T5" s="11"/>
      <c r="U5" s="11"/>
      <c r="V5" s="14" t="n">
        <v>590735.294117647</v>
      </c>
      <c r="W5" s="17" t="n">
        <v>103</v>
      </c>
      <c r="X5" s="14" t="n">
        <f aca="false">Y5/(1-0.15)/(1-0.6)</f>
        <v>6323.52941176471</v>
      </c>
      <c r="Y5" s="18" t="n">
        <v>2150</v>
      </c>
      <c r="Z5" s="19" t="n">
        <v>200850</v>
      </c>
      <c r="AA5" s="13" t="e">
        <f aca="false">#N/A</f>
        <v>#N/A</v>
      </c>
      <c r="AB5" s="18"/>
      <c r="AC5" s="13" t="n">
        <v>29302</v>
      </c>
    </row>
    <row r="6" customFormat="false" ht="67.15" hidden="false" customHeight="false" outlineLevel="0" collapsed="false">
      <c r="A6" s="11"/>
      <c r="B6" s="11" t="s">
        <v>1</v>
      </c>
      <c r="C6" s="11"/>
      <c r="D6" s="11"/>
      <c r="E6" s="11"/>
      <c r="F6" s="11"/>
      <c r="G6" s="11"/>
      <c r="H6" s="11"/>
      <c r="I6" s="11"/>
      <c r="J6" s="13" t="s">
        <v>32</v>
      </c>
      <c r="K6" s="20"/>
      <c r="L6" s="13" t="s">
        <v>44</v>
      </c>
      <c r="M6" s="13" t="s">
        <v>45</v>
      </c>
      <c r="N6" s="14" t="n">
        <f aca="false">OFFSET(tbl_LoC,5,19,1,1)</f>
        <v>0</v>
      </c>
      <c r="O6" s="15" t="s">
        <v>46</v>
      </c>
      <c r="P6" s="13" t="s">
        <v>47</v>
      </c>
      <c r="Q6" s="13" t="n">
        <v>0</v>
      </c>
      <c r="R6" s="13"/>
      <c r="S6" s="16"/>
      <c r="T6" s="11"/>
      <c r="U6" s="11"/>
      <c r="V6" s="14" t="n">
        <v>499852.941176471</v>
      </c>
      <c r="W6" s="17" t="n">
        <v>103</v>
      </c>
      <c r="X6" s="14" t="n">
        <f aca="false">Y6/(1-0.15)/(1-0.6)</f>
        <v>5294.11764705882</v>
      </c>
      <c r="Y6" s="18" t="n">
        <v>1800</v>
      </c>
      <c r="Z6" s="19" t="n">
        <v>169950</v>
      </c>
      <c r="AA6" s="13" t="e">
        <f aca="false">#N/A</f>
        <v>#N/A</v>
      </c>
      <c r="AB6" s="18"/>
      <c r="AC6" s="13" t="n">
        <v>23312</v>
      </c>
    </row>
    <row r="7" customFormat="false" ht="67.15" hidden="false" customHeight="false" outlineLevel="0" collapsed="false">
      <c r="A7" s="11"/>
      <c r="B7" s="11" t="s">
        <v>1</v>
      </c>
      <c r="C7" s="11"/>
      <c r="D7" s="11"/>
      <c r="E7" s="11"/>
      <c r="F7" s="11"/>
      <c r="G7" s="11"/>
      <c r="H7" s="11"/>
      <c r="I7" s="11"/>
      <c r="J7" s="13" t="s">
        <v>32</v>
      </c>
      <c r="K7" s="20"/>
      <c r="L7" s="13" t="s">
        <v>48</v>
      </c>
      <c r="M7" s="13" t="s">
        <v>49</v>
      </c>
      <c r="N7" s="14" t="n">
        <f aca="false">OFFSET(tbl_LoC,6,19,1,1)</f>
        <v>0</v>
      </c>
      <c r="O7" s="15" t="s">
        <v>50</v>
      </c>
      <c r="P7" s="13" t="s">
        <v>51</v>
      </c>
      <c r="Q7" s="13" t="n">
        <v>0</v>
      </c>
      <c r="R7" s="13"/>
      <c r="S7" s="16"/>
      <c r="T7" s="11"/>
      <c r="U7" s="11"/>
      <c r="V7" s="14" t="n">
        <v>568317.647058824</v>
      </c>
      <c r="W7" s="17" t="n">
        <v>103</v>
      </c>
      <c r="X7" s="14" t="n">
        <f aca="false">Y7/(1-0.15)/(1-0.6)</f>
        <v>6029.41176470588</v>
      </c>
      <c r="Y7" s="18" t="n">
        <v>2050</v>
      </c>
      <c r="Z7" s="19" t="n">
        <v>193228</v>
      </c>
      <c r="AA7" s="13" t="e">
        <f aca="false">#N/A</f>
        <v>#N/A</v>
      </c>
      <c r="AB7" s="18"/>
      <c r="AC7" s="13" t="n">
        <v>32091</v>
      </c>
    </row>
    <row r="8" customFormat="false" ht="67.15" hidden="false" customHeight="false" outlineLevel="0" collapsed="false">
      <c r="A8" s="11"/>
      <c r="B8" s="11"/>
      <c r="C8" s="11" t="s">
        <v>2</v>
      </c>
      <c r="D8" s="11"/>
      <c r="E8" s="11"/>
      <c r="F8" s="11"/>
      <c r="G8" s="11"/>
      <c r="H8" s="11"/>
      <c r="I8" s="11"/>
      <c r="J8" s="13" t="s">
        <v>32</v>
      </c>
      <c r="K8" s="20"/>
      <c r="L8" s="13" t="s">
        <v>52</v>
      </c>
      <c r="M8" s="13" t="s">
        <v>53</v>
      </c>
      <c r="N8" s="14" t="n">
        <f aca="false">OFFSET(tbl_LoC,7,19,1,1)</f>
        <v>0</v>
      </c>
      <c r="O8" s="15" t="s">
        <v>54</v>
      </c>
      <c r="P8" s="13" t="s">
        <v>55</v>
      </c>
      <c r="Q8" s="13" t="n">
        <v>0</v>
      </c>
      <c r="R8" s="13"/>
      <c r="S8" s="16"/>
      <c r="T8" s="11"/>
      <c r="U8" s="11"/>
      <c r="V8" s="14" t="n">
        <v>848235.294117647</v>
      </c>
      <c r="W8" s="17" t="n">
        <v>103</v>
      </c>
      <c r="X8" s="14" t="n">
        <f aca="false">Y8/(1-0.15)/(1-0.6)</f>
        <v>11470.5882352941</v>
      </c>
      <c r="Y8" s="18" t="n">
        <v>3900</v>
      </c>
      <c r="Z8" s="19" t="n">
        <v>288400</v>
      </c>
      <c r="AA8" s="13" t="e">
        <f aca="false">#N/A</f>
        <v>#N/A</v>
      </c>
      <c r="AB8" s="18"/>
      <c r="AC8" s="13" t="n">
        <v>31473</v>
      </c>
    </row>
    <row r="9" customFormat="false" ht="67.15" hidden="false" customHeight="false" outlineLevel="0" collapsed="false">
      <c r="A9" s="11"/>
      <c r="B9" s="11"/>
      <c r="C9" s="11" t="s">
        <v>2</v>
      </c>
      <c r="D9" s="11"/>
      <c r="E9" s="11"/>
      <c r="F9" s="11"/>
      <c r="G9" s="11"/>
      <c r="H9" s="11"/>
      <c r="I9" s="11"/>
      <c r="J9" s="13" t="s">
        <v>32</v>
      </c>
      <c r="K9" s="20"/>
      <c r="L9" s="13" t="s">
        <v>33</v>
      </c>
      <c r="M9" s="13" t="s">
        <v>56</v>
      </c>
      <c r="N9" s="14" t="n">
        <f aca="false">OFFSET(tbl_LoC,8,19,1,1)</f>
        <v>0</v>
      </c>
      <c r="O9" s="15" t="s">
        <v>57</v>
      </c>
      <c r="P9" s="13" t="s">
        <v>58</v>
      </c>
      <c r="Q9" s="13" t="n">
        <v>0</v>
      </c>
      <c r="R9" s="13"/>
      <c r="S9" s="16"/>
      <c r="T9" s="11"/>
      <c r="U9" s="11"/>
      <c r="V9" s="14" t="n">
        <v>817941.176470588</v>
      </c>
      <c r="W9" s="17" t="n">
        <v>103</v>
      </c>
      <c r="X9" s="14" t="n">
        <f aca="false">Y9/(1-0.15)/(1-0.6)</f>
        <v>11029.4117647059</v>
      </c>
      <c r="Y9" s="18" t="n">
        <v>3750</v>
      </c>
      <c r="Z9" s="19" t="n">
        <v>278100</v>
      </c>
      <c r="AA9" s="13" t="e">
        <f aca="false">#N/A</f>
        <v>#N/A</v>
      </c>
      <c r="AB9" s="18"/>
      <c r="AC9" s="13" t="n">
        <v>37712</v>
      </c>
    </row>
    <row r="10" customFormat="false" ht="67.15" hidden="false" customHeight="false" outlineLevel="0" collapsed="false">
      <c r="A10" s="11"/>
      <c r="B10" s="11"/>
      <c r="C10" s="11" t="s">
        <v>2</v>
      </c>
      <c r="D10" s="11"/>
      <c r="E10" s="11"/>
      <c r="F10" s="11"/>
      <c r="G10" s="11"/>
      <c r="H10" s="11"/>
      <c r="I10" s="11"/>
      <c r="J10" s="13" t="s">
        <v>32</v>
      </c>
      <c r="K10" s="20"/>
      <c r="L10" s="13" t="s">
        <v>40</v>
      </c>
      <c r="M10" s="13" t="s">
        <v>59</v>
      </c>
      <c r="N10" s="14" t="n">
        <f aca="false">OFFSET(tbl_LoC,9,19,1,1)</f>
        <v>0</v>
      </c>
      <c r="O10" s="15" t="s">
        <v>60</v>
      </c>
      <c r="P10" s="13" t="s">
        <v>61</v>
      </c>
      <c r="Q10" s="13" t="n">
        <v>0</v>
      </c>
      <c r="R10" s="13"/>
      <c r="S10" s="16"/>
      <c r="T10" s="11"/>
      <c r="U10" s="11"/>
      <c r="V10" s="14" t="n">
        <v>681617.647058824</v>
      </c>
      <c r="W10" s="17" t="n">
        <v>103</v>
      </c>
      <c r="X10" s="14" t="n">
        <f aca="false">Y10/(1-0.15)/(1-0.6)</f>
        <v>7352.94117647059</v>
      </c>
      <c r="Y10" s="18" t="n">
        <v>2500</v>
      </c>
      <c r="Z10" s="19" t="n">
        <v>231750</v>
      </c>
      <c r="AA10" s="13" t="e">
        <f aca="false">#N/A</f>
        <v>#N/A</v>
      </c>
      <c r="AB10" s="18"/>
      <c r="AC10" s="13" t="n">
        <v>33126</v>
      </c>
    </row>
    <row r="11" customFormat="false" ht="83.55" hidden="false" customHeight="false" outlineLevel="0" collapsed="false">
      <c r="A11" s="11"/>
      <c r="B11" s="11"/>
      <c r="C11" s="11" t="s">
        <v>2</v>
      </c>
      <c r="D11" s="11"/>
      <c r="E11" s="11"/>
      <c r="F11" s="11"/>
      <c r="G11" s="11"/>
      <c r="H11" s="11"/>
      <c r="I11" s="11"/>
      <c r="J11" s="13" t="s">
        <v>32</v>
      </c>
      <c r="K11" s="20"/>
      <c r="L11" s="13" t="s">
        <v>44</v>
      </c>
      <c r="M11" s="13" t="s">
        <v>62</v>
      </c>
      <c r="N11" s="14" t="n">
        <f aca="false">OFFSET(tbl_LoC,10,19,1,1)</f>
        <v>0</v>
      </c>
      <c r="O11" s="15" t="s">
        <v>63</v>
      </c>
      <c r="P11" s="13" t="s">
        <v>64</v>
      </c>
      <c r="Q11" s="13" t="n">
        <v>0</v>
      </c>
      <c r="R11" s="13"/>
      <c r="S11" s="16"/>
      <c r="T11" s="11"/>
      <c r="U11" s="11"/>
      <c r="V11" s="14" t="n">
        <v>605882.352941176</v>
      </c>
      <c r="W11" s="17" t="n">
        <v>103</v>
      </c>
      <c r="X11" s="14" t="n">
        <f aca="false">Y11/(1-0.15)/(1-0.6)</f>
        <v>5588.23529411765</v>
      </c>
      <c r="Y11" s="18" t="n">
        <v>1900</v>
      </c>
      <c r="Z11" s="19" t="n">
        <v>206000</v>
      </c>
      <c r="AA11" s="13" t="e">
        <f aca="false">#N/A</f>
        <v>#N/A</v>
      </c>
      <c r="AB11" s="18"/>
      <c r="AC11" s="13" t="n">
        <v>33094</v>
      </c>
    </row>
    <row r="12" customFormat="false" ht="83.55" hidden="false" customHeight="false" outlineLevel="0" collapsed="false">
      <c r="A12" s="11"/>
      <c r="B12" s="11"/>
      <c r="C12" s="11" t="s">
        <v>2</v>
      </c>
      <c r="D12" s="11"/>
      <c r="E12" s="11"/>
      <c r="F12" s="11"/>
      <c r="G12" s="11"/>
      <c r="H12" s="11"/>
      <c r="I12" s="11"/>
      <c r="J12" s="13" t="s">
        <v>32</v>
      </c>
      <c r="K12" s="20"/>
      <c r="L12" s="13" t="s">
        <v>48</v>
      </c>
      <c r="M12" s="13" t="s">
        <v>65</v>
      </c>
      <c r="N12" s="14" t="n">
        <f aca="false">OFFSET(tbl_LoC,11,19,1,1)</f>
        <v>0</v>
      </c>
      <c r="O12" s="15" t="s">
        <v>66</v>
      </c>
      <c r="P12" s="13" t="s">
        <v>67</v>
      </c>
      <c r="Q12" s="13" t="n">
        <v>0</v>
      </c>
      <c r="R12" s="13"/>
      <c r="S12" s="16"/>
      <c r="T12" s="11"/>
      <c r="U12" s="11"/>
      <c r="V12" s="14" t="n">
        <v>651323.529411765</v>
      </c>
      <c r="W12" s="17" t="n">
        <v>103</v>
      </c>
      <c r="X12" s="14" t="n">
        <f aca="false">Y12/(1-0.15)/(1-0.6)</f>
        <v>7352.94117647059</v>
      </c>
      <c r="Y12" s="18" t="n">
        <v>2500</v>
      </c>
      <c r="Z12" s="19" t="n">
        <v>221450</v>
      </c>
      <c r="AA12" s="13" t="e">
        <f aca="false">#N/A</f>
        <v>#N/A</v>
      </c>
      <c r="AB12" s="18"/>
      <c r="AC12" s="13" t="n">
        <v>31799</v>
      </c>
    </row>
    <row r="13" customFormat="false" ht="50.7" hidden="false" customHeight="false" outlineLevel="0" collapsed="false">
      <c r="A13" s="11"/>
      <c r="B13" s="11"/>
      <c r="C13" s="11"/>
      <c r="D13" s="11"/>
      <c r="E13" s="12" t="s">
        <v>4</v>
      </c>
      <c r="F13" s="12"/>
      <c r="G13" s="12"/>
      <c r="H13" s="12"/>
      <c r="I13" s="12"/>
      <c r="J13" s="13" t="s">
        <v>32</v>
      </c>
      <c r="K13" s="13"/>
      <c r="L13" s="15" t="s">
        <v>33</v>
      </c>
      <c r="M13" s="13" t="s">
        <v>68</v>
      </c>
      <c r="N13" s="14" t="n">
        <f aca="false">OFFSET(tbl_LoC,12,19,1,1)</f>
        <v>0</v>
      </c>
      <c r="O13" s="15" t="s">
        <v>69</v>
      </c>
      <c r="P13" s="15" t="s">
        <v>70</v>
      </c>
      <c r="Q13" s="13" t="n">
        <v>0</v>
      </c>
      <c r="R13" s="13"/>
      <c r="S13" s="16"/>
      <c r="T13" s="12"/>
      <c r="U13" s="12"/>
      <c r="V13" s="14" t="n">
        <v>908823.529411765</v>
      </c>
      <c r="W13" s="17" t="n">
        <v>103</v>
      </c>
      <c r="X13" s="14" t="n">
        <f aca="false">Y13/(1-0.15)/(1-0.6)</f>
        <v>10294.1176470588</v>
      </c>
      <c r="Y13" s="18" t="n">
        <v>3500</v>
      </c>
      <c r="Z13" s="19" t="n">
        <v>309000</v>
      </c>
      <c r="AA13" s="13" t="e">
        <f aca="false">#N/A</f>
        <v>#N/A</v>
      </c>
      <c r="AB13" s="18"/>
      <c r="AC13" s="13" t="n">
        <v>28010</v>
      </c>
    </row>
    <row r="14" customFormat="false" ht="50.7" hidden="false" customHeight="false" outlineLevel="0" collapsed="false">
      <c r="A14" s="11"/>
      <c r="B14" s="11"/>
      <c r="C14" s="11"/>
      <c r="D14" s="11"/>
      <c r="E14" s="12" t="s">
        <v>4</v>
      </c>
      <c r="F14" s="12"/>
      <c r="G14" s="12"/>
      <c r="H14" s="12"/>
      <c r="I14" s="12"/>
      <c r="J14" s="13" t="s">
        <v>32</v>
      </c>
      <c r="K14" s="13"/>
      <c r="L14" s="15" t="s">
        <v>71</v>
      </c>
      <c r="M14" s="13" t="s">
        <v>72</v>
      </c>
      <c r="N14" s="14" t="n">
        <f aca="false">OFFSET(tbl_LoC,13,19,1,1)</f>
        <v>0</v>
      </c>
      <c r="O14" s="15" t="s">
        <v>73</v>
      </c>
      <c r="P14" s="15" t="s">
        <v>74</v>
      </c>
      <c r="Q14" s="13" t="n">
        <v>0</v>
      </c>
      <c r="R14" s="13"/>
      <c r="S14" s="16"/>
      <c r="T14" s="12"/>
      <c r="U14" s="12"/>
      <c r="V14" s="14" t="n">
        <v>757352.941176471</v>
      </c>
      <c r="W14" s="17" t="n">
        <v>103</v>
      </c>
      <c r="X14" s="14" t="n">
        <f aca="false">Y14/(1-0.15)/(1-0.6)</f>
        <v>7352.94117647059</v>
      </c>
      <c r="Y14" s="18" t="n">
        <v>2500</v>
      </c>
      <c r="Z14" s="19" t="n">
        <v>257500</v>
      </c>
      <c r="AA14" s="13" t="e">
        <f aca="false">#N/A</f>
        <v>#N/A</v>
      </c>
      <c r="AB14" s="18" t="n">
        <v>2150</v>
      </c>
      <c r="AC14" s="13"/>
    </row>
    <row r="15" customFormat="false" ht="83.55" hidden="false" customHeight="false" outlineLevel="0" collapsed="false">
      <c r="A15" s="11"/>
      <c r="B15" s="11" t="s">
        <v>1</v>
      </c>
      <c r="C15" s="11"/>
      <c r="D15" s="11"/>
      <c r="E15" s="11"/>
      <c r="F15" s="11"/>
      <c r="G15" s="11"/>
      <c r="H15" s="11"/>
      <c r="I15" s="11"/>
      <c r="J15" s="13" t="s">
        <v>32</v>
      </c>
      <c r="K15" s="20" t="s">
        <v>75</v>
      </c>
      <c r="L15" s="13" t="s">
        <v>76</v>
      </c>
      <c r="M15" s="13" t="s">
        <v>77</v>
      </c>
      <c r="N15" s="14" t="n">
        <f aca="false">OFFSET(tbl_LoC,14,19,1,1)</f>
        <v>0</v>
      </c>
      <c r="O15" s="15" t="s">
        <v>78</v>
      </c>
      <c r="P15" s="13" t="s">
        <v>79</v>
      </c>
      <c r="Q15" s="13" t="n">
        <v>0</v>
      </c>
      <c r="R15" s="13"/>
      <c r="S15" s="16"/>
      <c r="T15" s="11"/>
      <c r="U15" s="11"/>
      <c r="V15" s="14" t="n">
        <v>711911.764705882</v>
      </c>
      <c r="W15" s="17" t="n">
        <v>103</v>
      </c>
      <c r="X15" s="14" t="n">
        <f aca="false">Y15/(1-0.15)/(1-0.6)</f>
        <v>6460.17647058824</v>
      </c>
      <c r="Y15" s="18" t="n">
        <v>2196.46</v>
      </c>
      <c r="Z15" s="19" t="n">
        <v>242050</v>
      </c>
      <c r="AA15" s="13" t="e">
        <f aca="false">#N/A</f>
        <v>#N/A</v>
      </c>
      <c r="AB15" s="18"/>
      <c r="AC15" s="13" t="n">
        <v>31674</v>
      </c>
    </row>
    <row r="16" customFormat="false" ht="83.55" hidden="false" customHeight="false" outlineLevel="0" collapsed="false">
      <c r="A16" s="11"/>
      <c r="B16" s="11" t="s">
        <v>1</v>
      </c>
      <c r="C16" s="11"/>
      <c r="D16" s="11"/>
      <c r="E16" s="11"/>
      <c r="F16" s="11"/>
      <c r="G16" s="11"/>
      <c r="H16" s="11"/>
      <c r="I16" s="11"/>
      <c r="J16" s="13" t="s">
        <v>32</v>
      </c>
      <c r="K16" s="20" t="s">
        <v>75</v>
      </c>
      <c r="L16" s="13" t="s">
        <v>80</v>
      </c>
      <c r="M16" s="13" t="s">
        <v>81</v>
      </c>
      <c r="N16" s="14" t="n">
        <f aca="false">OFFSET(tbl_LoC,15,19,1,1)</f>
        <v>0</v>
      </c>
      <c r="O16" s="15" t="s">
        <v>82</v>
      </c>
      <c r="P16" s="13" t="s">
        <v>83</v>
      </c>
      <c r="Q16" s="13" t="n">
        <v>0</v>
      </c>
      <c r="R16" s="13"/>
      <c r="S16" s="16"/>
      <c r="T16" s="11"/>
      <c r="U16" s="11"/>
      <c r="V16" s="14" t="n">
        <v>590735.294117647</v>
      </c>
      <c r="W16" s="17" t="n">
        <v>103</v>
      </c>
      <c r="X16" s="14" t="n">
        <f aca="false">Y16/(1-0.15)/(1-0.6)</f>
        <v>8579.82352941176</v>
      </c>
      <c r="Y16" s="18" t="n">
        <v>2917.14</v>
      </c>
      <c r="Z16" s="19" t="n">
        <v>200850</v>
      </c>
      <c r="AA16" s="13" t="e">
        <f aca="false">#N/A</f>
        <v>#N/A</v>
      </c>
      <c r="AB16" s="18"/>
      <c r="AC16" s="13" t="n">
        <v>22572</v>
      </c>
    </row>
    <row r="17" customFormat="false" ht="69" hidden="false" customHeight="false" outlineLevel="0" collapsed="false">
      <c r="A17" s="11"/>
      <c r="B17" s="11"/>
      <c r="C17" s="11"/>
      <c r="D17" s="11" t="s">
        <v>3</v>
      </c>
      <c r="E17" s="11"/>
      <c r="F17" s="11"/>
      <c r="G17" s="11"/>
      <c r="H17" s="11"/>
      <c r="I17" s="11"/>
      <c r="J17" s="13" t="s">
        <v>32</v>
      </c>
      <c r="K17" s="20" t="s">
        <v>75</v>
      </c>
      <c r="L17" s="13" t="s">
        <v>76</v>
      </c>
      <c r="M17" s="13" t="s">
        <v>84</v>
      </c>
      <c r="N17" s="14" t="n">
        <f aca="false">OFFSET(tbl_LoC,16,19,1,1)</f>
        <v>0</v>
      </c>
      <c r="O17" s="15" t="s">
        <v>85</v>
      </c>
      <c r="P17" s="13" t="s">
        <v>79</v>
      </c>
      <c r="Q17" s="13" t="n">
        <v>0</v>
      </c>
      <c r="R17" s="13"/>
      <c r="S17" s="16"/>
      <c r="T17" s="11"/>
      <c r="U17" s="11"/>
      <c r="V17" s="14" t="n">
        <v>711911.764705882</v>
      </c>
      <c r="W17" s="17" t="n">
        <v>103</v>
      </c>
      <c r="X17" s="14" t="n">
        <f aca="false">Y17/(1-0.15)/(1-0.6)</f>
        <v>8235.29411764706</v>
      </c>
      <c r="Y17" s="18" t="n">
        <v>2800</v>
      </c>
      <c r="Z17" s="19" t="n">
        <v>242050</v>
      </c>
      <c r="AA17" s="13" t="e">
        <f aca="false">#N/A</f>
        <v>#N/A</v>
      </c>
      <c r="AB17" s="18" t="n">
        <v>2640</v>
      </c>
      <c r="AC17" s="13"/>
    </row>
    <row r="18" customFormat="false" ht="85.8" hidden="false" customHeight="false" outlineLevel="0" collapsed="false">
      <c r="A18" s="11"/>
      <c r="B18" s="11"/>
      <c r="C18" s="11"/>
      <c r="D18" s="11" t="s">
        <v>3</v>
      </c>
      <c r="E18" s="11"/>
      <c r="F18" s="11"/>
      <c r="G18" s="11"/>
      <c r="H18" s="11"/>
      <c r="I18" s="11"/>
      <c r="J18" s="13" t="s">
        <v>32</v>
      </c>
      <c r="K18" s="20" t="s">
        <v>75</v>
      </c>
      <c r="L18" s="13" t="s">
        <v>80</v>
      </c>
      <c r="M18" s="13" t="s">
        <v>86</v>
      </c>
      <c r="N18" s="14" t="n">
        <f aca="false">OFFSET(tbl_LoC,17,19,1,1)</f>
        <v>0</v>
      </c>
      <c r="O18" s="15" t="s">
        <v>87</v>
      </c>
      <c r="P18" s="13" t="s">
        <v>83</v>
      </c>
      <c r="Q18" s="13" t="n">
        <v>0</v>
      </c>
      <c r="R18" s="13"/>
      <c r="S18" s="16"/>
      <c r="T18" s="11"/>
      <c r="U18" s="11"/>
      <c r="V18" s="14" t="n">
        <v>621029.411764706</v>
      </c>
      <c r="W18" s="17" t="n">
        <v>103</v>
      </c>
      <c r="X18" s="14" t="n">
        <f aca="false">Y18/(1-0.15)/(1-0.6)</f>
        <v>6029.41176470588</v>
      </c>
      <c r="Y18" s="18" t="n">
        <v>2050</v>
      </c>
      <c r="Z18" s="19" t="n">
        <v>211150</v>
      </c>
      <c r="AA18" s="13" t="e">
        <f aca="false">#N/A</f>
        <v>#N/A</v>
      </c>
      <c r="AB18" s="18" t="n">
        <v>3050</v>
      </c>
      <c r="AC18" s="13"/>
    </row>
    <row r="19" customFormat="false" ht="69" hidden="false" customHeight="false" outlineLevel="0" collapsed="false">
      <c r="A19" s="11"/>
      <c r="B19" s="11"/>
      <c r="C19" s="11" t="s">
        <v>2</v>
      </c>
      <c r="D19" s="11"/>
      <c r="E19" s="11"/>
      <c r="F19" s="11"/>
      <c r="G19" s="11"/>
      <c r="H19" s="11"/>
      <c r="I19" s="11"/>
      <c r="J19" s="13" t="s">
        <v>32</v>
      </c>
      <c r="K19" s="20" t="s">
        <v>75</v>
      </c>
      <c r="L19" s="13" t="s">
        <v>76</v>
      </c>
      <c r="M19" s="13" t="s">
        <v>88</v>
      </c>
      <c r="N19" s="14" t="n">
        <f aca="false">OFFSET(tbl_LoC,18,19,1,1)</f>
        <v>0</v>
      </c>
      <c r="O19" s="15" t="s">
        <v>89</v>
      </c>
      <c r="P19" s="13" t="s">
        <v>90</v>
      </c>
      <c r="Q19" s="13" t="n">
        <v>0</v>
      </c>
      <c r="R19" s="13"/>
      <c r="S19" s="16"/>
      <c r="T19" s="11"/>
      <c r="U19" s="11"/>
      <c r="V19" s="14" t="n">
        <v>772500</v>
      </c>
      <c r="W19" s="17" t="n">
        <v>103</v>
      </c>
      <c r="X19" s="14" t="n">
        <f aca="false">Y19/(1-0.15)/(1-0.6)</f>
        <v>7504.67647058824</v>
      </c>
      <c r="Y19" s="18" t="n">
        <v>2551.59</v>
      </c>
      <c r="Z19" s="19" t="n">
        <v>262650</v>
      </c>
      <c r="AA19" s="13" t="e">
        <f aca="false">#N/A</f>
        <v>#N/A</v>
      </c>
      <c r="AB19" s="18"/>
      <c r="AC19" s="13" t="n">
        <v>31815</v>
      </c>
    </row>
    <row r="20" customFormat="false" ht="85.8" hidden="false" customHeight="false" outlineLevel="0" collapsed="false">
      <c r="A20" s="11"/>
      <c r="B20" s="11"/>
      <c r="C20" s="11" t="s">
        <v>2</v>
      </c>
      <c r="D20" s="11"/>
      <c r="E20" s="11"/>
      <c r="F20" s="11"/>
      <c r="G20" s="11"/>
      <c r="H20" s="11"/>
      <c r="I20" s="11"/>
      <c r="J20" s="13" t="s">
        <v>32</v>
      </c>
      <c r="K20" s="20" t="s">
        <v>75</v>
      </c>
      <c r="L20" s="13" t="s">
        <v>80</v>
      </c>
      <c r="M20" s="13" t="s">
        <v>91</v>
      </c>
      <c r="N20" s="14" t="n">
        <f aca="false">OFFSET(tbl_LoC,19,19,1,1)</f>
        <v>0</v>
      </c>
      <c r="O20" s="15" t="s">
        <v>92</v>
      </c>
      <c r="P20" s="13" t="s">
        <v>93</v>
      </c>
      <c r="Q20" s="13" t="n">
        <v>0</v>
      </c>
      <c r="R20" s="13"/>
      <c r="S20" s="16"/>
      <c r="T20" s="11"/>
      <c r="U20" s="11"/>
      <c r="V20" s="14" t="n">
        <v>651323.529411765</v>
      </c>
      <c r="W20" s="17" t="n">
        <v>103</v>
      </c>
      <c r="X20" s="14" t="n">
        <f aca="false">Y20/(1-0.15)/(1-0.6)</f>
        <v>7700.35294117647</v>
      </c>
      <c r="Y20" s="18" t="n">
        <v>2618.12</v>
      </c>
      <c r="Z20" s="19" t="n">
        <v>221450</v>
      </c>
      <c r="AA20" s="13" t="e">
        <f aca="false">#N/A</f>
        <v>#N/A</v>
      </c>
      <c r="AB20" s="18"/>
      <c r="AC20" s="13" t="n">
        <v>31776</v>
      </c>
    </row>
    <row r="21" customFormat="false" ht="15" hidden="false" customHeight="false" outlineLevel="0" collapsed="false">
      <c r="A21" s="11"/>
      <c r="B21" s="11"/>
      <c r="C21" s="11"/>
      <c r="D21" s="11" t="s">
        <v>3</v>
      </c>
      <c r="E21" s="11"/>
      <c r="F21" s="11"/>
      <c r="G21" s="11"/>
      <c r="H21" s="11"/>
      <c r="I21" s="11"/>
      <c r="J21" s="13" t="s">
        <v>94</v>
      </c>
      <c r="K21" s="13" t="s">
        <v>3</v>
      </c>
      <c r="L21" s="13" t="s">
        <v>95</v>
      </c>
      <c r="M21" s="13" t="s">
        <v>96</v>
      </c>
      <c r="N21" s="14" t="n">
        <f aca="false">OFFSET(tbl_LoC,20,19,1,1)</f>
        <v>0</v>
      </c>
      <c r="O21" s="15"/>
      <c r="P21" s="13"/>
      <c r="Q21" s="13" t="n">
        <v>120</v>
      </c>
      <c r="R21" s="13"/>
      <c r="S21" s="16"/>
      <c r="T21" s="11"/>
      <c r="U21" s="11"/>
      <c r="V21" s="14" t="n">
        <v>957294.117647059</v>
      </c>
      <c r="W21" s="17" t="n">
        <v>103</v>
      </c>
      <c r="X21" s="14" t="n">
        <f aca="false">Y21/(1-0.15)/(1-0.6)</f>
        <v>9294.11764705882</v>
      </c>
      <c r="Y21" s="18" t="n">
        <v>3160</v>
      </c>
      <c r="Z21" s="19" t="n">
        <v>325480</v>
      </c>
      <c r="AA21" s="13" t="e">
        <f aca="false">#N/A</f>
        <v>#N/A</v>
      </c>
      <c r="AB21" s="18" t="n">
        <v>3700</v>
      </c>
      <c r="AC21" s="13"/>
    </row>
    <row r="22" customFormat="false" ht="15" hidden="false" customHeight="false" outlineLevel="0" collapsed="false">
      <c r="A22" s="11"/>
      <c r="B22" s="11"/>
      <c r="C22" s="11"/>
      <c r="D22" s="11" t="s">
        <v>3</v>
      </c>
      <c r="E22" s="11"/>
      <c r="F22" s="11"/>
      <c r="G22" s="11"/>
      <c r="H22" s="11"/>
      <c r="I22" s="11"/>
      <c r="J22" s="13" t="s">
        <v>94</v>
      </c>
      <c r="K22" s="13" t="s">
        <v>3</v>
      </c>
      <c r="L22" s="13" t="s">
        <v>97</v>
      </c>
      <c r="M22" s="13" t="s">
        <v>98</v>
      </c>
      <c r="N22" s="14" t="n">
        <f aca="false">OFFSET(tbl_LoC,21,19,1,1)</f>
        <v>0</v>
      </c>
      <c r="O22" s="15"/>
      <c r="P22" s="13"/>
      <c r="Q22" s="13" t="n">
        <v>155</v>
      </c>
      <c r="R22" s="13"/>
      <c r="S22" s="16"/>
      <c r="T22" s="11"/>
      <c r="U22" s="11"/>
      <c r="V22" s="14" t="n">
        <v>983044.117647059</v>
      </c>
      <c r="W22" s="17" t="n">
        <v>103</v>
      </c>
      <c r="X22" s="14" t="n">
        <f aca="false">Y22/(1-0.15)/(1-0.6)</f>
        <v>9544.11764705882</v>
      </c>
      <c r="Y22" s="18" t="n">
        <v>3245</v>
      </c>
      <c r="Z22" s="19" t="n">
        <v>334235</v>
      </c>
      <c r="AA22" s="13" t="e">
        <f aca="false">#N/A</f>
        <v>#N/A</v>
      </c>
      <c r="AB22" s="18" t="n">
        <v>4700</v>
      </c>
      <c r="AC22" s="13"/>
    </row>
    <row r="23" customFormat="false" ht="15" hidden="false" customHeight="false" outlineLevel="0" collapsed="false">
      <c r="A23" s="11"/>
      <c r="B23" s="11"/>
      <c r="C23" s="11"/>
      <c r="D23" s="11" t="s">
        <v>3</v>
      </c>
      <c r="E23" s="11"/>
      <c r="F23" s="11"/>
      <c r="G23" s="11"/>
      <c r="H23" s="11"/>
      <c r="I23" s="11"/>
      <c r="J23" s="13" t="s">
        <v>94</v>
      </c>
      <c r="K23" s="13" t="s">
        <v>3</v>
      </c>
      <c r="L23" s="13" t="s">
        <v>99</v>
      </c>
      <c r="M23" s="13" t="s">
        <v>100</v>
      </c>
      <c r="N23" s="14" t="n">
        <f aca="false">OFFSET(tbl_LoC,22,19,1,1)</f>
        <v>0</v>
      </c>
      <c r="O23" s="15"/>
      <c r="P23" s="13"/>
      <c r="Q23" s="13" t="n">
        <v>120</v>
      </c>
      <c r="R23" s="13"/>
      <c r="S23" s="16"/>
      <c r="T23" s="11"/>
      <c r="U23" s="11"/>
      <c r="V23" s="14" t="n">
        <v>972441.176470588</v>
      </c>
      <c r="W23" s="17" t="n">
        <v>103</v>
      </c>
      <c r="X23" s="14" t="n">
        <f aca="false">Y23/(1-0.15)/(1-0.6)</f>
        <v>9441.17647058823</v>
      </c>
      <c r="Y23" s="18" t="n">
        <v>3210</v>
      </c>
      <c r="Z23" s="19" t="n">
        <v>330630</v>
      </c>
      <c r="AA23" s="13" t="e">
        <f aca="false">#N/A</f>
        <v>#N/A</v>
      </c>
      <c r="AB23" s="18" t="n">
        <v>3000</v>
      </c>
      <c r="AC23" s="13"/>
    </row>
    <row r="24" customFormat="false" ht="15" hidden="false" customHeight="false" outlineLevel="0" collapsed="false">
      <c r="A24" s="11"/>
      <c r="B24" s="11"/>
      <c r="C24" s="11"/>
      <c r="D24" s="11" t="s">
        <v>3</v>
      </c>
      <c r="E24" s="11"/>
      <c r="F24" s="11"/>
      <c r="G24" s="11"/>
      <c r="H24" s="11"/>
      <c r="I24" s="11"/>
      <c r="J24" s="13" t="s">
        <v>94</v>
      </c>
      <c r="K24" s="13" t="s">
        <v>3</v>
      </c>
      <c r="L24" s="13" t="s">
        <v>101</v>
      </c>
      <c r="M24" s="13" t="s">
        <v>102</v>
      </c>
      <c r="N24" s="14" t="n">
        <f aca="false">OFFSET(tbl_LoC,23,19,1,1)</f>
        <v>0</v>
      </c>
      <c r="O24" s="15"/>
      <c r="P24" s="13"/>
      <c r="Q24" s="13" t="n">
        <v>120</v>
      </c>
      <c r="R24" s="13"/>
      <c r="S24" s="16"/>
      <c r="T24" s="11"/>
      <c r="U24" s="11"/>
      <c r="V24" s="14" t="n">
        <v>1041814.70588235</v>
      </c>
      <c r="W24" s="17" t="n">
        <v>103</v>
      </c>
      <c r="X24" s="14" t="n">
        <f aca="false">Y24/(1-0.15)/(1-0.6)</f>
        <v>10114.7058823529</v>
      </c>
      <c r="Y24" s="18" t="n">
        <v>3439</v>
      </c>
      <c r="Z24" s="19" t="n">
        <v>354217</v>
      </c>
      <c r="AA24" s="13" t="e">
        <f aca="false">#N/A</f>
        <v>#N/A</v>
      </c>
      <c r="AB24" s="18" t="n">
        <v>3300</v>
      </c>
      <c r="AC24" s="13"/>
    </row>
    <row r="25" customFormat="false" ht="15" hidden="false" customHeight="false" outlineLevel="0" collapsed="false">
      <c r="A25" s="11"/>
      <c r="B25" s="11"/>
      <c r="C25" s="11"/>
      <c r="D25" s="11" t="s">
        <v>3</v>
      </c>
      <c r="E25" s="11"/>
      <c r="F25" s="11"/>
      <c r="G25" s="11"/>
      <c r="H25" s="11"/>
      <c r="I25" s="11"/>
      <c r="J25" s="13" t="s">
        <v>94</v>
      </c>
      <c r="K25" s="13" t="s">
        <v>3</v>
      </c>
      <c r="L25" s="13" t="s">
        <v>103</v>
      </c>
      <c r="M25" s="13" t="s">
        <v>104</v>
      </c>
      <c r="N25" s="14" t="n">
        <f aca="false">OFFSET(tbl_LoC,24,19,1,1)</f>
        <v>0</v>
      </c>
      <c r="O25" s="15"/>
      <c r="P25" s="13"/>
      <c r="Q25" s="13" t="n">
        <v>180</v>
      </c>
      <c r="R25" s="13"/>
      <c r="S25" s="16"/>
      <c r="T25" s="11"/>
      <c r="U25" s="11"/>
      <c r="V25" s="14" t="n">
        <v>1084529.41176471</v>
      </c>
      <c r="W25" s="17" t="n">
        <v>103</v>
      </c>
      <c r="X25" s="14" t="n">
        <f aca="false">Y25/(1-0.15)/(1-0.6)</f>
        <v>10529.4117647059</v>
      </c>
      <c r="Y25" s="18" t="n">
        <v>3580</v>
      </c>
      <c r="Z25" s="19" t="n">
        <v>368740</v>
      </c>
      <c r="AA25" s="13" t="e">
        <f aca="false">#N/A</f>
        <v>#N/A</v>
      </c>
      <c r="AB25" s="18" t="n">
        <v>3146</v>
      </c>
      <c r="AC25" s="13"/>
    </row>
    <row r="26" customFormat="false" ht="15" hidden="false" customHeight="false" outlineLevel="0" collapsed="false">
      <c r="A26" s="11"/>
      <c r="B26" s="11"/>
      <c r="C26" s="11"/>
      <c r="D26" s="11" t="s">
        <v>3</v>
      </c>
      <c r="E26" s="11"/>
      <c r="F26" s="11"/>
      <c r="G26" s="11"/>
      <c r="H26" s="11"/>
      <c r="I26" s="11"/>
      <c r="J26" s="13" t="s">
        <v>94</v>
      </c>
      <c r="K26" s="13" t="s">
        <v>3</v>
      </c>
      <c r="L26" s="13" t="s">
        <v>105</v>
      </c>
      <c r="M26" s="13" t="s">
        <v>106</v>
      </c>
      <c r="N26" s="14" t="n">
        <f aca="false">OFFSET(tbl_LoC,25,19,1,1)</f>
        <v>0</v>
      </c>
      <c r="O26" s="15"/>
      <c r="P26" s="13"/>
      <c r="Q26" s="13" t="n">
        <v>155</v>
      </c>
      <c r="R26" s="13"/>
      <c r="S26" s="16"/>
      <c r="T26" s="11"/>
      <c r="U26" s="11"/>
      <c r="V26" s="14" t="n">
        <v>694038.235294118</v>
      </c>
      <c r="W26" s="17" t="n">
        <v>103</v>
      </c>
      <c r="X26" s="14" t="n">
        <f aca="false">Y26/(1-0.15)/(1-0.6)</f>
        <v>6738.23529411765</v>
      </c>
      <c r="Y26" s="18" t="n">
        <v>2291</v>
      </c>
      <c r="Z26" s="19" t="n">
        <v>235973</v>
      </c>
      <c r="AA26" s="13" t="e">
        <f aca="false">#N/A</f>
        <v>#N/A</v>
      </c>
      <c r="AB26" s="18" t="n">
        <v>3500</v>
      </c>
      <c r="AC26" s="13"/>
    </row>
    <row r="27" customFormat="false" ht="15" hidden="false" customHeight="false" outlineLevel="0" collapsed="false">
      <c r="A27" s="11"/>
      <c r="B27" s="11"/>
      <c r="C27" s="11"/>
      <c r="D27" s="11" t="s">
        <v>3</v>
      </c>
      <c r="E27" s="11"/>
      <c r="F27" s="11"/>
      <c r="G27" s="11"/>
      <c r="H27" s="11"/>
      <c r="I27" s="11"/>
      <c r="J27" s="13" t="s">
        <v>94</v>
      </c>
      <c r="K27" s="13" t="s">
        <v>3</v>
      </c>
      <c r="L27" s="13" t="s">
        <v>107</v>
      </c>
      <c r="M27" s="13" t="s">
        <v>108</v>
      </c>
      <c r="N27" s="14" t="n">
        <f aca="false">OFFSET(tbl_LoC,26,19,1,1)</f>
        <v>0</v>
      </c>
      <c r="O27" s="15"/>
      <c r="P27" s="13"/>
      <c r="Q27" s="13" t="n">
        <v>155</v>
      </c>
      <c r="R27" s="13"/>
      <c r="S27" s="16"/>
      <c r="T27" s="11"/>
      <c r="U27" s="11"/>
      <c r="V27" s="14" t="n">
        <v>621029.411764706</v>
      </c>
      <c r="W27" s="17" t="n">
        <v>103</v>
      </c>
      <c r="X27" s="14" t="n">
        <f aca="false">Y27/(1-0.15)/(1-0.6)</f>
        <v>6029.41176470588</v>
      </c>
      <c r="Y27" s="18" t="n">
        <v>2050</v>
      </c>
      <c r="Z27" s="19" t="n">
        <v>211150</v>
      </c>
      <c r="AA27" s="13" t="e">
        <f aca="false">#N/A</f>
        <v>#N/A</v>
      </c>
      <c r="AB27" s="18" t="n">
        <v>3500</v>
      </c>
      <c r="AC27" s="13"/>
    </row>
    <row r="28" customFormat="false" ht="15" hidden="false" customHeight="false" outlineLevel="0" collapsed="false">
      <c r="A28" s="11"/>
      <c r="B28" s="11"/>
      <c r="C28" s="11"/>
      <c r="D28" s="11" t="s">
        <v>3</v>
      </c>
      <c r="E28" s="11"/>
      <c r="F28" s="11"/>
      <c r="G28" s="11"/>
      <c r="H28" s="11"/>
      <c r="I28" s="11"/>
      <c r="J28" s="13" t="s">
        <v>94</v>
      </c>
      <c r="K28" s="13" t="s">
        <v>3</v>
      </c>
      <c r="L28" s="13" t="s">
        <v>109</v>
      </c>
      <c r="M28" s="13" t="s">
        <v>110</v>
      </c>
      <c r="N28" s="14" t="n">
        <f aca="false">OFFSET(tbl_LoC,27,19,1,1)</f>
        <v>0</v>
      </c>
      <c r="O28" s="15"/>
      <c r="P28" s="13"/>
      <c r="Q28" s="13" t="n">
        <v>190</v>
      </c>
      <c r="R28" s="13"/>
      <c r="S28" s="16"/>
      <c r="T28" s="11"/>
      <c r="U28" s="11"/>
      <c r="V28" s="14" t="n">
        <v>954264.705882353</v>
      </c>
      <c r="W28" s="17" t="n">
        <v>103</v>
      </c>
      <c r="X28" s="14" t="n">
        <f aca="false">Y28/(1-0.15)/(1-0.6)</f>
        <v>9264.70588235294</v>
      </c>
      <c r="Y28" s="18" t="n">
        <v>3150</v>
      </c>
      <c r="Z28" s="19" t="n">
        <v>324450</v>
      </c>
      <c r="AA28" s="13" t="e">
        <f aca="false">#N/A</f>
        <v>#N/A</v>
      </c>
      <c r="AB28" s="18" t="n">
        <v>3900</v>
      </c>
      <c r="AC28" s="13"/>
    </row>
    <row r="29" customFormat="false" ht="15" hidden="false" customHeight="false" outlineLevel="0" collapsed="false">
      <c r="A29" s="11"/>
      <c r="B29" s="11"/>
      <c r="C29" s="11"/>
      <c r="D29" s="11" t="s">
        <v>3</v>
      </c>
      <c r="E29" s="11"/>
      <c r="F29" s="11"/>
      <c r="G29" s="11"/>
      <c r="H29" s="11"/>
      <c r="I29" s="11"/>
      <c r="J29" s="13" t="s">
        <v>94</v>
      </c>
      <c r="K29" s="13" t="s">
        <v>3</v>
      </c>
      <c r="L29" s="13" t="s">
        <v>111</v>
      </c>
      <c r="M29" s="13" t="s">
        <v>112</v>
      </c>
      <c r="N29" s="14" t="n">
        <f aca="false">OFFSET(tbl_LoC,28,19,1,1)</f>
        <v>0</v>
      </c>
      <c r="O29" s="15"/>
      <c r="P29" s="13"/>
      <c r="Q29" s="13" t="n">
        <v>155</v>
      </c>
      <c r="R29" s="13"/>
      <c r="S29" s="16"/>
      <c r="T29" s="11"/>
      <c r="U29" s="11"/>
      <c r="V29" s="14" t="n">
        <v>757352.941176471</v>
      </c>
      <c r="W29" s="17" t="n">
        <v>103</v>
      </c>
      <c r="X29" s="14" t="n">
        <f aca="false">Y29/(1-0.15)/(1-0.6)</f>
        <v>7352.94117647059</v>
      </c>
      <c r="Y29" s="18" t="n">
        <v>2500</v>
      </c>
      <c r="Z29" s="19" t="n">
        <v>257500</v>
      </c>
      <c r="AA29" s="13" t="e">
        <f aca="false">#N/A</f>
        <v>#N/A</v>
      </c>
      <c r="AB29" s="18" t="n">
        <v>3700</v>
      </c>
      <c r="AC29" s="13"/>
    </row>
    <row r="30" customFormat="false" ht="15" hidden="false" customHeight="false" outlineLevel="0" collapsed="false">
      <c r="A30" s="11"/>
      <c r="B30" s="11"/>
      <c r="C30" s="11"/>
      <c r="D30" s="11" t="s">
        <v>3</v>
      </c>
      <c r="E30" s="11"/>
      <c r="F30" s="11"/>
      <c r="G30" s="11"/>
      <c r="H30" s="11"/>
      <c r="I30" s="11"/>
      <c r="J30" s="13" t="s">
        <v>94</v>
      </c>
      <c r="K30" s="13" t="s">
        <v>3</v>
      </c>
      <c r="L30" s="13" t="s">
        <v>113</v>
      </c>
      <c r="M30" s="13" t="s">
        <v>114</v>
      </c>
      <c r="N30" s="14" t="n">
        <f aca="false">OFFSET(tbl_LoC,29,19,1,1)</f>
        <v>0</v>
      </c>
      <c r="O30" s="15"/>
      <c r="P30" s="13"/>
      <c r="Q30" s="13" t="n">
        <v>240</v>
      </c>
      <c r="R30" s="13"/>
      <c r="S30" s="16"/>
      <c r="T30" s="11"/>
      <c r="U30" s="11"/>
      <c r="V30" s="14" t="n">
        <v>799764.705882353</v>
      </c>
      <c r="W30" s="17" t="n">
        <v>103</v>
      </c>
      <c r="X30" s="14" t="n">
        <f aca="false">Y30/(1-0.15)/(1-0.6)</f>
        <v>7764.70588235294</v>
      </c>
      <c r="Y30" s="18" t="n">
        <v>2640</v>
      </c>
      <c r="Z30" s="19" t="n">
        <v>271920</v>
      </c>
      <c r="AA30" s="13" t="e">
        <f aca="false">#N/A</f>
        <v>#N/A</v>
      </c>
      <c r="AB30" s="18" t="n">
        <v>4390</v>
      </c>
      <c r="AC30" s="13"/>
    </row>
    <row r="31" customFormat="false" ht="15" hidden="false" customHeight="false" outlineLevel="0" collapsed="false">
      <c r="A31" s="11"/>
      <c r="B31" s="11"/>
      <c r="C31" s="11"/>
      <c r="D31" s="11" t="s">
        <v>3</v>
      </c>
      <c r="E31" s="11"/>
      <c r="F31" s="11"/>
      <c r="G31" s="11"/>
      <c r="H31" s="11"/>
      <c r="I31" s="11"/>
      <c r="J31" s="13" t="s">
        <v>94</v>
      </c>
      <c r="K31" s="13" t="s">
        <v>3</v>
      </c>
      <c r="L31" s="13" t="s">
        <v>115</v>
      </c>
      <c r="M31" s="13" t="s">
        <v>116</v>
      </c>
      <c r="N31" s="14" t="n">
        <f aca="false">OFFSET(tbl_LoC,30,19,1,1)</f>
        <v>0</v>
      </c>
      <c r="O31" s="15"/>
      <c r="P31" s="13"/>
      <c r="Q31" s="13" t="n">
        <v>180</v>
      </c>
      <c r="R31" s="13"/>
      <c r="S31" s="16"/>
      <c r="T31" s="11"/>
      <c r="U31" s="11"/>
      <c r="V31" s="14" t="n">
        <v>923970.588235294</v>
      </c>
      <c r="W31" s="17" t="n">
        <v>103</v>
      </c>
      <c r="X31" s="14" t="n">
        <f aca="false">Y31/(1-0.15)/(1-0.6)</f>
        <v>8970.58823529412</v>
      </c>
      <c r="Y31" s="18" t="n">
        <v>3050</v>
      </c>
      <c r="Z31" s="19" t="n">
        <v>314150</v>
      </c>
      <c r="AA31" s="13" t="e">
        <f aca="false">#N/A</f>
        <v>#N/A</v>
      </c>
      <c r="AB31" s="13"/>
      <c r="AC31" s="13"/>
    </row>
    <row r="32" customFormat="false" ht="15" hidden="false" customHeight="false" outlineLevel="0" collapsed="false">
      <c r="A32" s="11"/>
      <c r="B32" s="11"/>
      <c r="C32" s="11"/>
      <c r="D32" s="11" t="s">
        <v>3</v>
      </c>
      <c r="E32" s="11"/>
      <c r="F32" s="11"/>
      <c r="G32" s="11"/>
      <c r="H32" s="11"/>
      <c r="I32" s="11"/>
      <c r="J32" s="13" t="s">
        <v>94</v>
      </c>
      <c r="K32" s="13" t="s">
        <v>3</v>
      </c>
      <c r="L32" s="13" t="s">
        <v>117</v>
      </c>
      <c r="M32" s="13" t="s">
        <v>118</v>
      </c>
      <c r="N32" s="14" t="n">
        <f aca="false">OFFSET(tbl_LoC,31,19,1,1)</f>
        <v>0</v>
      </c>
      <c r="O32" s="15"/>
      <c r="P32" s="13"/>
      <c r="Q32" s="13" t="n">
        <v>180</v>
      </c>
      <c r="R32" s="13"/>
      <c r="S32" s="16"/>
      <c r="T32" s="11"/>
      <c r="U32" s="11"/>
      <c r="V32" s="14" t="n">
        <v>757352.941176471</v>
      </c>
      <c r="W32" s="17" t="n">
        <v>103</v>
      </c>
      <c r="X32" s="14" t="n">
        <f aca="false">Y32/(1-0.15)/(1-0.6)</f>
        <v>7352.94117647059</v>
      </c>
      <c r="Y32" s="18" t="n">
        <v>2500</v>
      </c>
      <c r="Z32" s="19" t="n">
        <v>257500</v>
      </c>
      <c r="AA32" s="13" t="e">
        <f aca="false">#N/A</f>
        <v>#N/A</v>
      </c>
      <c r="AB32" s="13"/>
      <c r="AC32" s="13"/>
    </row>
    <row r="33" customFormat="false" ht="15" hidden="false" customHeight="false" outlineLevel="0" collapsed="false">
      <c r="A33" s="11"/>
      <c r="B33" s="11"/>
      <c r="C33" s="11"/>
      <c r="D33" s="11" t="s">
        <v>3</v>
      </c>
      <c r="E33" s="11"/>
      <c r="F33" s="11"/>
      <c r="G33" s="11"/>
      <c r="H33" s="11"/>
      <c r="I33" s="11"/>
      <c r="J33" s="13" t="s">
        <v>94</v>
      </c>
      <c r="K33" s="13" t="s">
        <v>3</v>
      </c>
      <c r="L33" s="13" t="s">
        <v>119</v>
      </c>
      <c r="M33" s="13" t="s">
        <v>120</v>
      </c>
      <c r="N33" s="14" t="n">
        <f aca="false">OFFSET(tbl_LoC,32,19,1,1)</f>
        <v>0</v>
      </c>
      <c r="O33" s="15"/>
      <c r="P33" s="13"/>
      <c r="Q33" s="13" t="n">
        <v>200</v>
      </c>
      <c r="R33" s="13"/>
      <c r="S33" s="16"/>
      <c r="T33" s="11"/>
      <c r="U33" s="11"/>
      <c r="V33" s="14" t="n">
        <v>939117.647058823</v>
      </c>
      <c r="W33" s="17" t="n">
        <v>103</v>
      </c>
      <c r="X33" s="14" t="n">
        <f aca="false">Y33/(1-0.15)/(1-0.6)</f>
        <v>9117.64705882353</v>
      </c>
      <c r="Y33" s="18" t="n">
        <v>3100</v>
      </c>
      <c r="Z33" s="19" t="n">
        <v>319300</v>
      </c>
      <c r="AA33" s="13" t="e">
        <f aca="false">#N/A</f>
        <v>#N/A</v>
      </c>
      <c r="AB33" s="13"/>
      <c r="AC33" s="13"/>
    </row>
    <row r="34" customFormat="false" ht="15" hidden="false" customHeight="false" outlineLevel="0" collapsed="false">
      <c r="A34" s="11"/>
      <c r="B34" s="11"/>
      <c r="C34" s="11"/>
      <c r="D34" s="11" t="s">
        <v>3</v>
      </c>
      <c r="E34" s="11"/>
      <c r="F34" s="11"/>
      <c r="G34" s="11"/>
      <c r="H34" s="11"/>
      <c r="I34" s="11"/>
      <c r="J34" s="13" t="s">
        <v>94</v>
      </c>
      <c r="K34" s="13" t="s">
        <v>3</v>
      </c>
      <c r="L34" s="13" t="s">
        <v>121</v>
      </c>
      <c r="M34" s="13" t="s">
        <v>122</v>
      </c>
      <c r="N34" s="14" t="n">
        <f aca="false">OFFSET(tbl_LoC,33,19,1,1)</f>
        <v>0</v>
      </c>
      <c r="O34" s="15"/>
      <c r="P34" s="13"/>
      <c r="Q34" s="13" t="n">
        <v>155</v>
      </c>
      <c r="R34" s="13"/>
      <c r="S34" s="16"/>
      <c r="T34" s="11"/>
      <c r="U34" s="11"/>
      <c r="V34" s="14" t="n">
        <v>1120882.35294118</v>
      </c>
      <c r="W34" s="17" t="n">
        <v>103</v>
      </c>
      <c r="X34" s="14" t="n">
        <f aca="false">Y34/(1-0.15)/(1-0.6)</f>
        <v>10882.3529411765</v>
      </c>
      <c r="Y34" s="18" t="n">
        <v>3700</v>
      </c>
      <c r="Z34" s="19" t="n">
        <v>381100</v>
      </c>
      <c r="AA34" s="13" t="e">
        <f aca="false">#N/A</f>
        <v>#N/A</v>
      </c>
      <c r="AB34" s="13"/>
      <c r="AC34" s="13"/>
    </row>
    <row r="35" customFormat="false" ht="15" hidden="false" customHeight="false" outlineLevel="0" collapsed="false">
      <c r="A35" s="11"/>
      <c r="B35" s="11"/>
      <c r="C35" s="11"/>
      <c r="D35" s="11" t="s">
        <v>3</v>
      </c>
      <c r="E35" s="11"/>
      <c r="F35" s="11"/>
      <c r="G35" s="11"/>
      <c r="H35" s="11"/>
      <c r="I35" s="11"/>
      <c r="J35" s="13" t="s">
        <v>94</v>
      </c>
      <c r="K35" s="13" t="s">
        <v>3</v>
      </c>
      <c r="L35" s="13" t="s">
        <v>123</v>
      </c>
      <c r="M35" s="13" t="s">
        <v>124</v>
      </c>
      <c r="N35" s="14" t="n">
        <f aca="false">OFFSET(tbl_LoC,34,19,1,1)</f>
        <v>0</v>
      </c>
      <c r="O35" s="15"/>
      <c r="P35" s="13"/>
      <c r="Q35" s="13" t="n">
        <v>0</v>
      </c>
      <c r="R35" s="13"/>
      <c r="S35" s="16"/>
      <c r="T35" s="11"/>
      <c r="U35" s="11"/>
      <c r="V35" s="14" t="n">
        <v>1423823.52941176</v>
      </c>
      <c r="W35" s="17" t="n">
        <v>103</v>
      </c>
      <c r="X35" s="14" t="n">
        <f aca="false">Y35/(1-0.15)/(1-0.6)</f>
        <v>13823.5294117647</v>
      </c>
      <c r="Y35" s="18" t="n">
        <v>4700</v>
      </c>
      <c r="Z35" s="19" t="n">
        <v>484100</v>
      </c>
      <c r="AA35" s="13" t="e">
        <f aca="false">#N/A</f>
        <v>#N/A</v>
      </c>
      <c r="AB35" s="13"/>
      <c r="AC35" s="13"/>
    </row>
    <row r="36" customFormat="false" ht="15" hidden="false" customHeight="false" outlineLevel="0" collapsed="false">
      <c r="A36" s="11"/>
      <c r="B36" s="11"/>
      <c r="C36" s="11"/>
      <c r="D36" s="11" t="s">
        <v>3</v>
      </c>
      <c r="E36" s="11"/>
      <c r="F36" s="11"/>
      <c r="G36" s="11"/>
      <c r="H36" s="11"/>
      <c r="I36" s="11"/>
      <c r="J36" s="13" t="s">
        <v>94</v>
      </c>
      <c r="K36" s="13" t="s">
        <v>3</v>
      </c>
      <c r="L36" s="13" t="s">
        <v>125</v>
      </c>
      <c r="M36" s="13" t="s">
        <v>126</v>
      </c>
      <c r="N36" s="14" t="n">
        <f aca="false">OFFSET(tbl_LoC,35,19,1,1)</f>
        <v>0</v>
      </c>
      <c r="O36" s="15"/>
      <c r="P36" s="13"/>
      <c r="Q36" s="13" t="n">
        <v>0</v>
      </c>
      <c r="R36" s="13"/>
      <c r="S36" s="16"/>
      <c r="T36" s="11"/>
      <c r="U36" s="11"/>
      <c r="V36" s="14" t="n">
        <v>908823.529411765</v>
      </c>
      <c r="W36" s="17" t="n">
        <v>103</v>
      </c>
      <c r="X36" s="14" t="n">
        <f aca="false">Y36/(1-0.15)/(1-0.6)</f>
        <v>8823.52941176471</v>
      </c>
      <c r="Y36" s="18" t="n">
        <v>3000</v>
      </c>
      <c r="Z36" s="19" t="n">
        <v>309000</v>
      </c>
      <c r="AA36" s="13" t="e">
        <f aca="false">#N/A</f>
        <v>#N/A</v>
      </c>
      <c r="AB36" s="13"/>
      <c r="AC36" s="13"/>
    </row>
    <row r="37" customFormat="false" ht="15" hidden="false" customHeight="false" outlineLevel="0" collapsed="false">
      <c r="A37" s="11"/>
      <c r="B37" s="11"/>
      <c r="C37" s="11"/>
      <c r="D37" s="11" t="s">
        <v>3</v>
      </c>
      <c r="E37" s="11"/>
      <c r="F37" s="11"/>
      <c r="G37" s="11"/>
      <c r="H37" s="11"/>
      <c r="I37" s="11"/>
      <c r="J37" s="13" t="s">
        <v>94</v>
      </c>
      <c r="K37" s="13" t="s">
        <v>3</v>
      </c>
      <c r="L37" s="13" t="s">
        <v>127</v>
      </c>
      <c r="M37" s="13" t="s">
        <v>128</v>
      </c>
      <c r="N37" s="14" t="n">
        <f aca="false">OFFSET(tbl_LoC,36,19,1,1)</f>
        <v>0</v>
      </c>
      <c r="O37" s="15"/>
      <c r="P37" s="13"/>
      <c r="Q37" s="13" t="n">
        <v>180</v>
      </c>
      <c r="R37" s="13"/>
      <c r="S37" s="16"/>
      <c r="T37" s="11"/>
      <c r="U37" s="11"/>
      <c r="V37" s="14" t="n">
        <v>999705.882352941</v>
      </c>
      <c r="W37" s="17" t="n">
        <v>103</v>
      </c>
      <c r="X37" s="14" t="n">
        <f aca="false">Y37/(1-0.15)/(1-0.6)</f>
        <v>9705.88235294118</v>
      </c>
      <c r="Y37" s="18" t="n">
        <v>3300</v>
      </c>
      <c r="Z37" s="19" t="n">
        <v>339900</v>
      </c>
      <c r="AA37" s="13" t="e">
        <f aca="false">#N/A</f>
        <v>#N/A</v>
      </c>
      <c r="AB37" s="13"/>
      <c r="AC37" s="13"/>
    </row>
    <row r="38" customFormat="false" ht="15" hidden="false" customHeight="false" outlineLevel="0" collapsed="false">
      <c r="A38" s="11"/>
      <c r="B38" s="11"/>
      <c r="C38" s="11"/>
      <c r="D38" s="11" t="s">
        <v>3</v>
      </c>
      <c r="E38" s="11"/>
      <c r="F38" s="11"/>
      <c r="G38" s="11"/>
      <c r="H38" s="11"/>
      <c r="I38" s="11"/>
      <c r="J38" s="13" t="s">
        <v>94</v>
      </c>
      <c r="K38" s="13" t="s">
        <v>3</v>
      </c>
      <c r="L38" s="13" t="s">
        <v>129</v>
      </c>
      <c r="M38" s="13" t="s">
        <v>130</v>
      </c>
      <c r="N38" s="14" t="n">
        <f aca="false">OFFSET(tbl_LoC,37,19,1,1)</f>
        <v>0</v>
      </c>
      <c r="O38" s="15"/>
      <c r="P38" s="13"/>
      <c r="Q38" s="13" t="n">
        <v>0</v>
      </c>
      <c r="R38" s="13"/>
      <c r="S38" s="16"/>
      <c r="T38" s="11"/>
      <c r="U38" s="11"/>
      <c r="V38" s="14" t="n">
        <v>953052.941176471</v>
      </c>
      <c r="W38" s="17" t="n">
        <v>103</v>
      </c>
      <c r="X38" s="14" t="n">
        <f aca="false">Y38/(1-0.15)/(1-0.6)</f>
        <v>9252.94117647059</v>
      </c>
      <c r="Y38" s="18" t="n">
        <v>3146</v>
      </c>
      <c r="Z38" s="19" t="n">
        <v>324038</v>
      </c>
      <c r="AA38" s="13" t="e">
        <f aca="false">#N/A</f>
        <v>#N/A</v>
      </c>
      <c r="AB38" s="13"/>
      <c r="AC38" s="13"/>
    </row>
    <row r="39" customFormat="false" ht="15" hidden="false" customHeight="false" outlineLevel="0" collapsed="false">
      <c r="A39" s="11"/>
      <c r="B39" s="11"/>
      <c r="C39" s="11"/>
      <c r="D39" s="11" t="s">
        <v>3</v>
      </c>
      <c r="E39" s="11"/>
      <c r="F39" s="11"/>
      <c r="G39" s="11"/>
      <c r="H39" s="11"/>
      <c r="I39" s="11"/>
      <c r="J39" s="13" t="s">
        <v>94</v>
      </c>
      <c r="K39" s="13" t="s">
        <v>3</v>
      </c>
      <c r="L39" s="13" t="s">
        <v>131</v>
      </c>
      <c r="M39" s="13" t="s">
        <v>132</v>
      </c>
      <c r="N39" s="14" t="n">
        <f aca="false">OFFSET(tbl_LoC,38,19,1,1)</f>
        <v>0</v>
      </c>
      <c r="O39" s="15"/>
      <c r="P39" s="13"/>
      <c r="Q39" s="13" t="n">
        <v>200</v>
      </c>
      <c r="R39" s="13"/>
      <c r="S39" s="16"/>
      <c r="T39" s="11"/>
      <c r="U39" s="11"/>
      <c r="V39" s="14" t="n">
        <v>1060294.11764706</v>
      </c>
      <c r="W39" s="17" t="n">
        <v>103</v>
      </c>
      <c r="X39" s="14" t="n">
        <f aca="false">Y39/(1-0.15)/(1-0.6)</f>
        <v>10294.1176470588</v>
      </c>
      <c r="Y39" s="18" t="n">
        <v>3500</v>
      </c>
      <c r="Z39" s="19" t="n">
        <v>360500</v>
      </c>
      <c r="AA39" s="13" t="e">
        <f aca="false">#N/A</f>
        <v>#N/A</v>
      </c>
      <c r="AB39" s="13"/>
      <c r="AC39" s="13"/>
    </row>
    <row r="40" customFormat="false" ht="15" hidden="false" customHeight="false" outlineLevel="0" collapsed="false">
      <c r="A40" s="11"/>
      <c r="B40" s="11"/>
      <c r="C40" s="11"/>
      <c r="D40" s="11" t="s">
        <v>3</v>
      </c>
      <c r="E40" s="11"/>
      <c r="F40" s="11"/>
      <c r="G40" s="11"/>
      <c r="H40" s="11"/>
      <c r="I40" s="11"/>
      <c r="J40" s="13" t="s">
        <v>94</v>
      </c>
      <c r="K40" s="13" t="s">
        <v>3</v>
      </c>
      <c r="L40" s="13" t="s">
        <v>133</v>
      </c>
      <c r="M40" s="13" t="s">
        <v>134</v>
      </c>
      <c r="N40" s="14" t="n">
        <f aca="false">OFFSET(tbl_LoC,39,19,1,1)</f>
        <v>0</v>
      </c>
      <c r="O40" s="15"/>
      <c r="P40" s="13"/>
      <c r="Q40" s="13" t="n">
        <v>225</v>
      </c>
      <c r="R40" s="13"/>
      <c r="S40" s="16"/>
      <c r="T40" s="11"/>
      <c r="U40" s="11"/>
      <c r="V40" s="14" t="n">
        <v>1060294.11764706</v>
      </c>
      <c r="W40" s="17" t="n">
        <v>103</v>
      </c>
      <c r="X40" s="14" t="n">
        <f aca="false">Y40/(1-0.15)/(1-0.6)</f>
        <v>10294.1176470588</v>
      </c>
      <c r="Y40" s="18" t="n">
        <v>3500</v>
      </c>
      <c r="Z40" s="19" t="n">
        <v>360500</v>
      </c>
      <c r="AA40" s="13" t="e">
        <f aca="false">#N/A</f>
        <v>#N/A</v>
      </c>
      <c r="AB40" s="13"/>
      <c r="AC40" s="13"/>
    </row>
    <row r="41" customFormat="false" ht="15" hidden="false" customHeight="false" outlineLevel="0" collapsed="false">
      <c r="A41" s="11"/>
      <c r="B41" s="11"/>
      <c r="C41" s="11"/>
      <c r="D41" s="11" t="s">
        <v>3</v>
      </c>
      <c r="E41" s="11"/>
      <c r="F41" s="11"/>
      <c r="G41" s="11"/>
      <c r="H41" s="11"/>
      <c r="I41" s="11"/>
      <c r="J41" s="13" t="s">
        <v>94</v>
      </c>
      <c r="K41" s="13" t="s">
        <v>3</v>
      </c>
      <c r="L41" s="13" t="s">
        <v>135</v>
      </c>
      <c r="M41" s="13" t="s">
        <v>136</v>
      </c>
      <c r="N41" s="14" t="n">
        <f aca="false">OFFSET(tbl_LoC,40,19,1,1)</f>
        <v>0</v>
      </c>
      <c r="O41" s="15"/>
      <c r="P41" s="13"/>
      <c r="Q41" s="13" t="n">
        <v>0</v>
      </c>
      <c r="R41" s="13"/>
      <c r="S41" s="16"/>
      <c r="T41" s="11"/>
      <c r="U41" s="11"/>
      <c r="V41" s="14" t="n">
        <v>1181470.58823529</v>
      </c>
      <c r="W41" s="17" t="n">
        <v>103</v>
      </c>
      <c r="X41" s="14" t="n">
        <f aca="false">Y41/(1-0.15)/(1-0.6)</f>
        <v>11470.5882352941</v>
      </c>
      <c r="Y41" s="18" t="n">
        <v>3900</v>
      </c>
      <c r="Z41" s="19" t="n">
        <v>401700</v>
      </c>
      <c r="AA41" s="13" t="e">
        <f aca="false">#N/A</f>
        <v>#N/A</v>
      </c>
      <c r="AB41" s="13"/>
      <c r="AC41" s="13"/>
    </row>
    <row r="42" customFormat="false" ht="15" hidden="false" customHeight="false" outlineLevel="0" collapsed="false">
      <c r="A42" s="11"/>
      <c r="B42" s="11"/>
      <c r="C42" s="11"/>
      <c r="D42" s="11" t="s">
        <v>3</v>
      </c>
      <c r="E42" s="11"/>
      <c r="F42" s="11"/>
      <c r="G42" s="11"/>
      <c r="H42" s="11"/>
      <c r="I42" s="11"/>
      <c r="J42" s="13" t="s">
        <v>94</v>
      </c>
      <c r="K42" s="13" t="s">
        <v>3</v>
      </c>
      <c r="L42" s="13" t="s">
        <v>137</v>
      </c>
      <c r="M42" s="13" t="s">
        <v>138</v>
      </c>
      <c r="N42" s="14" t="n">
        <f aca="false">OFFSET(tbl_LoC,41,19,1,1)</f>
        <v>0</v>
      </c>
      <c r="O42" s="15"/>
      <c r="P42" s="13"/>
      <c r="Q42" s="13" t="n">
        <v>200</v>
      </c>
      <c r="R42" s="13"/>
      <c r="S42" s="16"/>
      <c r="T42" s="11"/>
      <c r="U42" s="11"/>
      <c r="V42" s="14" t="n">
        <v>1120882.35294118</v>
      </c>
      <c r="W42" s="17" t="n">
        <v>103</v>
      </c>
      <c r="X42" s="14" t="n">
        <f aca="false">Y42/(1-0.15)/(1-0.6)</f>
        <v>10882.3529411765</v>
      </c>
      <c r="Y42" s="18" t="n">
        <v>3700</v>
      </c>
      <c r="Z42" s="19" t="n">
        <v>381100</v>
      </c>
      <c r="AA42" s="13" t="e">
        <f aca="false">#N/A</f>
        <v>#N/A</v>
      </c>
      <c r="AB42" s="13"/>
      <c r="AC42" s="13"/>
    </row>
    <row r="43" customFormat="false" ht="15" hidden="false" customHeight="false" outlineLevel="0" collapsed="false">
      <c r="A43" s="11"/>
      <c r="B43" s="11"/>
      <c r="C43" s="11"/>
      <c r="D43" s="11" t="s">
        <v>3</v>
      </c>
      <c r="E43" s="11"/>
      <c r="F43" s="11"/>
      <c r="G43" s="11"/>
      <c r="H43" s="11"/>
      <c r="I43" s="11"/>
      <c r="J43" s="13" t="s">
        <v>94</v>
      </c>
      <c r="K43" s="13" t="s">
        <v>3</v>
      </c>
      <c r="L43" s="13" t="s">
        <v>139</v>
      </c>
      <c r="M43" s="13" t="s">
        <v>140</v>
      </c>
      <c r="N43" s="14" t="n">
        <f aca="false">OFFSET(tbl_LoC,42,19,1,1)</f>
        <v>0</v>
      </c>
      <c r="O43" s="15"/>
      <c r="P43" s="13"/>
      <c r="Q43" s="13" t="n">
        <v>0</v>
      </c>
      <c r="R43" s="13"/>
      <c r="S43" s="16"/>
      <c r="T43" s="11"/>
      <c r="U43" s="11"/>
      <c r="V43" s="14" t="n">
        <v>1329911.76470588</v>
      </c>
      <c r="W43" s="17" t="n">
        <v>103</v>
      </c>
      <c r="X43" s="14" t="n">
        <f aca="false">Y43/(1-0.15)/(1-0.6)</f>
        <v>12911.7647058824</v>
      </c>
      <c r="Y43" s="18" t="n">
        <v>4390</v>
      </c>
      <c r="Z43" s="19" t="n">
        <v>452170</v>
      </c>
      <c r="AA43" s="13" t="e">
        <f aca="false">#N/A</f>
        <v>#N/A</v>
      </c>
      <c r="AB43" s="13"/>
      <c r="AC43" s="13"/>
    </row>
    <row r="44" customFormat="false" ht="15" hidden="false" customHeight="false" outlineLevel="0" collapsed="false">
      <c r="A44" s="11"/>
      <c r="B44" s="11"/>
      <c r="C44" s="11"/>
      <c r="D44" s="11" t="s">
        <v>3</v>
      </c>
      <c r="E44" s="11"/>
      <c r="F44" s="11"/>
      <c r="G44" s="11"/>
      <c r="H44" s="11"/>
      <c r="I44" s="11"/>
      <c r="J44" s="13" t="s">
        <v>94</v>
      </c>
      <c r="K44" s="13" t="s">
        <v>3</v>
      </c>
      <c r="L44" s="13" t="s">
        <v>141</v>
      </c>
      <c r="M44" s="13" t="s">
        <v>142</v>
      </c>
      <c r="N44" s="14" t="n">
        <f aca="false">OFFSET(tbl_LoC,43,19,1,1)</f>
        <v>0</v>
      </c>
      <c r="O44" s="15"/>
      <c r="P44" s="13"/>
      <c r="Q44" s="13" t="n">
        <v>225</v>
      </c>
      <c r="R44" s="13"/>
      <c r="S44" s="16"/>
      <c r="T44" s="11"/>
      <c r="U44" s="11"/>
      <c r="V44" s="14" t="e">
        <f aca="false">OFFSET(tbl_LoC,43,21,1,1)*OFFSET(tbl_LoC,43,20,1,1)</f>
        <v>#VALUE!</v>
      </c>
      <c r="W44" s="17" t="n">
        <v>103</v>
      </c>
      <c r="X44" s="14" t="e">
        <f aca="false">Y44/(1-0.15)/(1-0.6)</f>
        <v>#N/A</v>
      </c>
      <c r="Y44" s="18" t="e">
        <f aca="false">VLOOKUP(OFFSET(tbl_LoC,43,10,1,1),'[1]List of components'!$C$1:$F$1048576,3,FALSE())</f>
        <v>#N/A</v>
      </c>
      <c r="Z44" s="19" t="n">
        <f aca="false">OFFSET(tbl_LoC,43,22,1,1)*OFFSET(tbl_LoC,43,20,1,1)</f>
        <v>0</v>
      </c>
      <c r="AA44" s="13" t="e">
        <f aca="false">VLOOKUP(OFFSET(tbl_LoC,43,10,1,1),'[1]List of components'!$C$1:$F$1048576,2,FALSE())</f>
        <v>#N/A</v>
      </c>
      <c r="AB44" s="13"/>
      <c r="AC44" s="13"/>
    </row>
    <row r="45" customFormat="false" ht="15" hidden="false" customHeight="false" outlineLevel="0" collapsed="false">
      <c r="A45" s="11"/>
      <c r="B45" s="11"/>
      <c r="C45" s="11"/>
      <c r="D45" s="11" t="s">
        <v>3</v>
      </c>
      <c r="E45" s="11"/>
      <c r="F45" s="11"/>
      <c r="G45" s="11"/>
      <c r="H45" s="11"/>
      <c r="I45" s="11"/>
      <c r="J45" s="13" t="s">
        <v>94</v>
      </c>
      <c r="K45" s="13" t="s">
        <v>3</v>
      </c>
      <c r="L45" s="13" t="s">
        <v>143</v>
      </c>
      <c r="M45" s="13" t="s">
        <v>144</v>
      </c>
      <c r="N45" s="14" t="n">
        <f aca="false">OFFSET(tbl_LoC,44,19,1,1)</f>
        <v>0</v>
      </c>
      <c r="O45" s="15"/>
      <c r="P45" s="13"/>
      <c r="Q45" s="13" t="n">
        <v>0</v>
      </c>
      <c r="R45" s="13"/>
      <c r="S45" s="16"/>
      <c r="T45" s="11"/>
      <c r="U45" s="11"/>
      <c r="V45" s="14" t="e">
        <f aca="false">OFFSET(tbl_LoC,44,21,1,1)*OFFSET(tbl_LoC,44,20,1,1)</f>
        <v>#VALUE!</v>
      </c>
      <c r="W45" s="17" t="n">
        <v>103</v>
      </c>
      <c r="X45" s="14" t="e">
        <f aca="false">Y45/(1-0.15)/(1-0.6)</f>
        <v>#N/A</v>
      </c>
      <c r="Y45" s="18" t="e">
        <f aca="false">VLOOKUP(OFFSET(tbl_LoC,44,10,1,1),'[1]List of components'!$C$1:$F$1048576,3,FALSE())</f>
        <v>#N/A</v>
      </c>
      <c r="Z45" s="19" t="n">
        <f aca="false">OFFSET(tbl_LoC,44,22,1,1)*OFFSET(tbl_LoC,44,20,1,1)</f>
        <v>0</v>
      </c>
      <c r="AA45" s="13" t="e">
        <f aca="false">VLOOKUP(OFFSET(tbl_LoC,44,10,1,1),'[1]List of components'!$C$1:$F$1048576,2,FALSE())</f>
        <v>#N/A</v>
      </c>
      <c r="AB45" s="13"/>
      <c r="AC45" s="13"/>
    </row>
    <row r="46" customFormat="false" ht="15" hidden="false" customHeight="false" outlineLevel="0" collapsed="false">
      <c r="A46" s="11"/>
      <c r="B46" s="11"/>
      <c r="C46" s="11"/>
      <c r="D46" s="11" t="s">
        <v>3</v>
      </c>
      <c r="E46" s="11"/>
      <c r="F46" s="11"/>
      <c r="G46" s="11"/>
      <c r="H46" s="11"/>
      <c r="I46" s="11"/>
      <c r="J46" s="13" t="s">
        <v>94</v>
      </c>
      <c r="K46" s="13" t="s">
        <v>3</v>
      </c>
      <c r="L46" s="13" t="s">
        <v>145</v>
      </c>
      <c r="M46" s="13" t="s">
        <v>146</v>
      </c>
      <c r="N46" s="14" t="n">
        <f aca="false">OFFSET(tbl_LoC,45,19,1,1)</f>
        <v>0</v>
      </c>
      <c r="O46" s="15"/>
      <c r="P46" s="13"/>
      <c r="Q46" s="13" t="n">
        <v>225</v>
      </c>
      <c r="R46" s="13"/>
      <c r="S46" s="16"/>
      <c r="T46" s="11"/>
      <c r="U46" s="11"/>
      <c r="V46" s="14" t="e">
        <f aca="false">OFFSET(tbl_LoC,45,21,1,1)*OFFSET(tbl_LoC,45,20,1,1)</f>
        <v>#VALUE!</v>
      </c>
      <c r="W46" s="17" t="n">
        <v>103</v>
      </c>
      <c r="X46" s="14" t="e">
        <f aca="false">Y46/(1-0.15)/(1-0.6)</f>
        <v>#N/A</v>
      </c>
      <c r="Y46" s="18" t="e">
        <f aca="false">VLOOKUP(OFFSET(tbl_LoC,45,10,1,1),'[1]List of components'!$C$1:$F$1048576,3,FALSE())</f>
        <v>#N/A</v>
      </c>
      <c r="Z46" s="19" t="n">
        <f aca="false">OFFSET(tbl_LoC,45,22,1,1)*OFFSET(tbl_LoC,45,20,1,1)</f>
        <v>0</v>
      </c>
      <c r="AA46" s="13" t="e">
        <f aca="false">VLOOKUP(OFFSET(tbl_LoC,45,10,1,1),'[1]List of components'!$C$1:$F$1048576,2,FALSE())</f>
        <v>#N/A</v>
      </c>
      <c r="AB46" s="13"/>
      <c r="AC46" s="13"/>
    </row>
    <row r="47" customFormat="false" ht="15" hidden="false" customHeight="false" outlineLevel="0" collapsed="false">
      <c r="A47" s="11"/>
      <c r="B47" s="11"/>
      <c r="C47" s="11"/>
      <c r="D47" s="11" t="s">
        <v>3</v>
      </c>
      <c r="E47" s="11"/>
      <c r="F47" s="11"/>
      <c r="G47" s="11"/>
      <c r="H47" s="11"/>
      <c r="I47" s="11"/>
      <c r="J47" s="13" t="s">
        <v>94</v>
      </c>
      <c r="K47" s="13" t="s">
        <v>3</v>
      </c>
      <c r="L47" s="13" t="s">
        <v>147</v>
      </c>
      <c r="M47" s="13" t="s">
        <v>148</v>
      </c>
      <c r="N47" s="14" t="n">
        <f aca="false">OFFSET(tbl_LoC,46,19,1,1)</f>
        <v>0</v>
      </c>
      <c r="O47" s="15"/>
      <c r="P47" s="13"/>
      <c r="Q47" s="13" t="n">
        <v>0</v>
      </c>
      <c r="R47" s="13"/>
      <c r="S47" s="16"/>
      <c r="T47" s="11"/>
      <c r="U47" s="11"/>
      <c r="V47" s="14" t="e">
        <f aca="false">OFFSET(tbl_LoC,46,21,1,1)*OFFSET(tbl_LoC,46,20,1,1)</f>
        <v>#VALUE!</v>
      </c>
      <c r="W47" s="17" t="n">
        <v>103</v>
      </c>
      <c r="X47" s="14" t="e">
        <f aca="false">Y47/(1-0.15)/(1-0.6)</f>
        <v>#N/A</v>
      </c>
      <c r="Y47" s="18" t="e">
        <f aca="false">VLOOKUP(OFFSET(tbl_LoC,46,10,1,1),'[1]List of components'!$C$1:$F$1048576,3,FALSE())</f>
        <v>#N/A</v>
      </c>
      <c r="Z47" s="19" t="n">
        <f aca="false">OFFSET(tbl_LoC,46,22,1,1)*OFFSET(tbl_LoC,46,20,1,1)</f>
        <v>0</v>
      </c>
      <c r="AA47" s="13" t="e">
        <f aca="false">VLOOKUP(OFFSET(tbl_LoC,46,10,1,1),'[1]List of components'!$C$1:$F$1048576,2,FALSE())</f>
        <v>#N/A</v>
      </c>
      <c r="AB47" s="13"/>
      <c r="AC47" s="13"/>
    </row>
    <row r="48" customFormat="false" ht="15" hidden="false" customHeight="false" outlineLevel="0" collapsed="false">
      <c r="A48" s="11"/>
      <c r="B48" s="11"/>
      <c r="C48" s="11"/>
      <c r="D48" s="11" t="s">
        <v>3</v>
      </c>
      <c r="E48" s="11"/>
      <c r="F48" s="11"/>
      <c r="G48" s="11"/>
      <c r="H48" s="11"/>
      <c r="I48" s="11"/>
      <c r="J48" s="13" t="s">
        <v>94</v>
      </c>
      <c r="K48" s="13" t="s">
        <v>3</v>
      </c>
      <c r="L48" s="13" t="s">
        <v>149</v>
      </c>
      <c r="M48" s="13" t="s">
        <v>150</v>
      </c>
      <c r="N48" s="14" t="n">
        <f aca="false">OFFSET(tbl_LoC,47,19,1,1)</f>
        <v>0</v>
      </c>
      <c r="O48" s="15"/>
      <c r="P48" s="13"/>
      <c r="Q48" s="13" t="n">
        <v>200</v>
      </c>
      <c r="R48" s="13"/>
      <c r="S48" s="16"/>
      <c r="T48" s="11"/>
      <c r="U48" s="11"/>
      <c r="V48" s="14" t="e">
        <f aca="false">OFFSET(tbl_LoC,47,21,1,1)*OFFSET(tbl_LoC,47,20,1,1)</f>
        <v>#VALUE!</v>
      </c>
      <c r="W48" s="17" t="n">
        <v>103</v>
      </c>
      <c r="X48" s="14" t="e">
        <f aca="false">Y48/(1-0.15)/(1-0.6)</f>
        <v>#N/A</v>
      </c>
      <c r="Y48" s="18" t="e">
        <f aca="false">VLOOKUP(OFFSET(tbl_LoC,47,10,1,1),'[1]List of components'!$C$1:$F$1048576,3,FALSE())</f>
        <v>#N/A</v>
      </c>
      <c r="Z48" s="19" t="n">
        <f aca="false">OFFSET(tbl_LoC,47,22,1,1)*OFFSET(tbl_LoC,47,20,1,1)</f>
        <v>0</v>
      </c>
      <c r="AA48" s="13" t="e">
        <f aca="false">VLOOKUP(OFFSET(tbl_LoC,47,10,1,1),'[1]List of components'!$C$1:$F$1048576,2,FALSE())</f>
        <v>#N/A</v>
      </c>
      <c r="AB48" s="13"/>
      <c r="AC48" s="13"/>
    </row>
    <row r="49" customFormat="false" ht="15" hidden="false" customHeight="false" outlineLevel="0" collapsed="false">
      <c r="A49" s="11"/>
      <c r="B49" s="11"/>
      <c r="C49" s="11"/>
      <c r="D49" s="11" t="s">
        <v>3</v>
      </c>
      <c r="E49" s="11"/>
      <c r="F49" s="11"/>
      <c r="G49" s="11"/>
      <c r="H49" s="11"/>
      <c r="I49" s="11"/>
      <c r="J49" s="13" t="s">
        <v>94</v>
      </c>
      <c r="K49" s="13" t="s">
        <v>3</v>
      </c>
      <c r="L49" s="13" t="s">
        <v>151</v>
      </c>
      <c r="M49" s="13" t="s">
        <v>152</v>
      </c>
      <c r="N49" s="14" t="n">
        <f aca="false">OFFSET(tbl_LoC,48,19,1,1)</f>
        <v>0</v>
      </c>
      <c r="O49" s="15"/>
      <c r="P49" s="13"/>
      <c r="Q49" s="13" t="n">
        <v>0</v>
      </c>
      <c r="R49" s="13"/>
      <c r="S49" s="16"/>
      <c r="T49" s="11"/>
      <c r="U49" s="11"/>
      <c r="V49" s="14" t="e">
        <f aca="false">OFFSET(tbl_LoC,48,21,1,1)*OFFSET(tbl_LoC,48,20,1,1)</f>
        <v>#VALUE!</v>
      </c>
      <c r="W49" s="17" t="n">
        <v>103</v>
      </c>
      <c r="X49" s="14" t="e">
        <f aca="false">Y49/(1-0.15)/(1-0.6)</f>
        <v>#N/A</v>
      </c>
      <c r="Y49" s="18" t="e">
        <f aca="false">VLOOKUP(OFFSET(tbl_LoC,48,10,1,1),'[1]List of components'!$C$1:$F$1048576,3,FALSE())</f>
        <v>#N/A</v>
      </c>
      <c r="Z49" s="19" t="n">
        <f aca="false">OFFSET(tbl_LoC,48,22,1,1)*OFFSET(tbl_LoC,48,20,1,1)</f>
        <v>0</v>
      </c>
      <c r="AA49" s="13" t="e">
        <f aca="false">VLOOKUP(OFFSET(tbl_LoC,48,10,1,1),'[1]List of components'!$C$1:$F$1048576,2,FALSE())</f>
        <v>#N/A</v>
      </c>
      <c r="AB49" s="13"/>
      <c r="AC49" s="13"/>
    </row>
    <row r="50" customFormat="false" ht="15" hidden="false" customHeight="false" outlineLevel="0" collapsed="false">
      <c r="A50" s="11"/>
      <c r="B50" s="11"/>
      <c r="C50" s="11"/>
      <c r="D50" s="11" t="s">
        <v>3</v>
      </c>
      <c r="E50" s="11"/>
      <c r="F50" s="11"/>
      <c r="G50" s="11"/>
      <c r="H50" s="11"/>
      <c r="I50" s="11"/>
      <c r="J50" s="13" t="s">
        <v>94</v>
      </c>
      <c r="K50" s="13" t="s">
        <v>3</v>
      </c>
      <c r="L50" s="13" t="s">
        <v>153</v>
      </c>
      <c r="M50" s="13" t="s">
        <v>154</v>
      </c>
      <c r="N50" s="14" t="n">
        <f aca="false">OFFSET(tbl_LoC,49,19,1,1)</f>
        <v>0</v>
      </c>
      <c r="O50" s="15"/>
      <c r="P50" s="13"/>
      <c r="Q50" s="13" t="n">
        <v>225</v>
      </c>
      <c r="R50" s="13"/>
      <c r="S50" s="16"/>
      <c r="T50" s="11"/>
      <c r="U50" s="11"/>
      <c r="V50" s="14" t="e">
        <f aca="false">OFFSET(tbl_LoC,49,21,1,1)*OFFSET(tbl_LoC,49,20,1,1)</f>
        <v>#VALUE!</v>
      </c>
      <c r="W50" s="17" t="n">
        <v>103</v>
      </c>
      <c r="X50" s="14" t="e">
        <f aca="false">Y50/(1-0.15)/(1-0.6)</f>
        <v>#N/A</v>
      </c>
      <c r="Y50" s="18" t="e">
        <f aca="false">VLOOKUP(OFFSET(tbl_LoC,49,10,1,1),'[1]List of components'!$C$1:$F$1048576,3,FALSE())</f>
        <v>#N/A</v>
      </c>
      <c r="Z50" s="19" t="n">
        <f aca="false">OFFSET(tbl_LoC,49,22,1,1)*OFFSET(tbl_LoC,49,20,1,1)</f>
        <v>0</v>
      </c>
      <c r="AA50" s="13" t="e">
        <f aca="false">VLOOKUP(OFFSET(tbl_LoC,49,10,1,1),'[1]List of components'!$C$1:$F$1048576,2,FALSE())</f>
        <v>#N/A</v>
      </c>
      <c r="AB50" s="13"/>
      <c r="AC50" s="13"/>
    </row>
    <row r="51" customFormat="false" ht="15" hidden="false" customHeight="false" outlineLevel="0" collapsed="false">
      <c r="A51" s="11"/>
      <c r="B51" s="11"/>
      <c r="C51" s="11"/>
      <c r="D51" s="11" t="s">
        <v>3</v>
      </c>
      <c r="E51" s="11"/>
      <c r="F51" s="11"/>
      <c r="G51" s="11"/>
      <c r="H51" s="11"/>
      <c r="I51" s="11"/>
      <c r="J51" s="13" t="s">
        <v>94</v>
      </c>
      <c r="K51" s="13" t="s">
        <v>3</v>
      </c>
      <c r="L51" s="13" t="s">
        <v>155</v>
      </c>
      <c r="M51" s="13" t="s">
        <v>156</v>
      </c>
      <c r="N51" s="14" t="n">
        <f aca="false">OFFSET(tbl_LoC,50,19,1,1)</f>
        <v>0</v>
      </c>
      <c r="O51" s="15"/>
      <c r="P51" s="13"/>
      <c r="Q51" s="13" t="n">
        <v>0</v>
      </c>
      <c r="R51" s="13"/>
      <c r="S51" s="16"/>
      <c r="T51" s="11"/>
      <c r="U51" s="11"/>
      <c r="V51" s="14" t="e">
        <f aca="false">OFFSET(tbl_LoC,50,21,1,1)*OFFSET(tbl_LoC,50,20,1,1)</f>
        <v>#VALUE!</v>
      </c>
      <c r="W51" s="17" t="n">
        <v>103</v>
      </c>
      <c r="X51" s="14" t="e">
        <f aca="false">Y51/(1-0.15)/(1-0.6)</f>
        <v>#N/A</v>
      </c>
      <c r="Y51" s="18" t="e">
        <f aca="false">VLOOKUP(OFFSET(tbl_LoC,50,10,1,1),'[1]List of components'!$C$1:$F$1048576,3,FALSE())</f>
        <v>#N/A</v>
      </c>
      <c r="Z51" s="19" t="n">
        <f aca="false">OFFSET(tbl_LoC,50,22,1,1)*OFFSET(tbl_LoC,50,20,1,1)</f>
        <v>0</v>
      </c>
      <c r="AA51" s="13" t="e">
        <f aca="false">VLOOKUP(OFFSET(tbl_LoC,50,10,1,1),'[1]List of components'!$C$1:$F$1048576,2,FALSE())</f>
        <v>#N/A</v>
      </c>
      <c r="AB51" s="13"/>
      <c r="AC51" s="13"/>
    </row>
    <row r="52" customFormat="false" ht="15" hidden="false" customHeight="false" outlineLevel="0" collapsed="false">
      <c r="A52" s="11"/>
      <c r="B52" s="11"/>
      <c r="C52" s="11"/>
      <c r="D52" s="11" t="s">
        <v>3</v>
      </c>
      <c r="E52" s="11"/>
      <c r="F52" s="11"/>
      <c r="G52" s="11"/>
      <c r="H52" s="11"/>
      <c r="I52" s="11"/>
      <c r="J52" s="13" t="s">
        <v>94</v>
      </c>
      <c r="K52" s="13" t="s">
        <v>3</v>
      </c>
      <c r="L52" s="13" t="s">
        <v>157</v>
      </c>
      <c r="M52" s="13" t="s">
        <v>158</v>
      </c>
      <c r="N52" s="14" t="n">
        <f aca="false">OFFSET(tbl_LoC,51,19,1,1)</f>
        <v>0</v>
      </c>
      <c r="O52" s="15"/>
      <c r="P52" s="13"/>
      <c r="Q52" s="13" t="n">
        <v>180</v>
      </c>
      <c r="R52" s="13"/>
      <c r="S52" s="16"/>
      <c r="T52" s="11"/>
      <c r="U52" s="11"/>
      <c r="V52" s="14" t="e">
        <f aca="false">OFFSET(tbl_LoC,51,21,1,1)*OFFSET(tbl_LoC,51,20,1,1)</f>
        <v>#VALUE!</v>
      </c>
      <c r="W52" s="17" t="n">
        <v>103</v>
      </c>
      <c r="X52" s="14" t="e">
        <f aca="false">Y52/(1-0.15)/(1-0.6)</f>
        <v>#N/A</v>
      </c>
      <c r="Y52" s="18" t="e">
        <f aca="false">VLOOKUP(OFFSET(tbl_LoC,51,10,1,1),'[1]List of components'!$C$1:$F$1048576,3,FALSE())</f>
        <v>#N/A</v>
      </c>
      <c r="Z52" s="19" t="n">
        <f aca="false">OFFSET(tbl_LoC,51,22,1,1)*OFFSET(tbl_LoC,51,20,1,1)</f>
        <v>0</v>
      </c>
      <c r="AA52" s="13" t="e">
        <f aca="false">VLOOKUP(OFFSET(tbl_LoC,51,10,1,1),'[1]List of components'!$C$1:$F$1048576,2,FALSE())</f>
        <v>#N/A</v>
      </c>
      <c r="AB52" s="13"/>
      <c r="AC52" s="13"/>
    </row>
    <row r="53" customFormat="false" ht="15" hidden="false" customHeight="false" outlineLevel="0" collapsed="false">
      <c r="A53" s="11"/>
      <c r="B53" s="11"/>
      <c r="C53" s="11"/>
      <c r="D53" s="11" t="s">
        <v>3</v>
      </c>
      <c r="E53" s="11"/>
      <c r="F53" s="11"/>
      <c r="G53" s="11"/>
      <c r="H53" s="11"/>
      <c r="I53" s="11"/>
      <c r="J53" s="13" t="s">
        <v>94</v>
      </c>
      <c r="K53" s="13" t="s">
        <v>3</v>
      </c>
      <c r="L53" s="13" t="s">
        <v>159</v>
      </c>
      <c r="M53" s="13" t="s">
        <v>160</v>
      </c>
      <c r="N53" s="14" t="n">
        <f aca="false">OFFSET(tbl_LoC,52,19,1,1)</f>
        <v>0</v>
      </c>
      <c r="O53" s="15"/>
      <c r="P53" s="13"/>
      <c r="Q53" s="13" t="n">
        <v>240</v>
      </c>
      <c r="R53" s="13"/>
      <c r="S53" s="16"/>
      <c r="T53" s="11"/>
      <c r="U53" s="11"/>
      <c r="V53" s="14" t="e">
        <f aca="false">OFFSET(tbl_LoC,52,21,1,1)*OFFSET(tbl_LoC,52,20,1,1)</f>
        <v>#VALUE!</v>
      </c>
      <c r="W53" s="17" t="n">
        <v>103</v>
      </c>
      <c r="X53" s="14" t="e">
        <f aca="false">Y53/(1-0.15)/(1-0.6)</f>
        <v>#N/A</v>
      </c>
      <c r="Y53" s="18" t="e">
        <f aca="false">VLOOKUP(OFFSET(tbl_LoC,52,10,1,1),'[1]List of components'!$C$1:$F$1048576,3,FALSE())</f>
        <v>#N/A</v>
      </c>
      <c r="Z53" s="19" t="n">
        <f aca="false">OFFSET(tbl_LoC,52,22,1,1)*OFFSET(tbl_LoC,52,20,1,1)</f>
        <v>0</v>
      </c>
      <c r="AA53" s="13" t="e">
        <f aca="false">VLOOKUP(OFFSET(tbl_LoC,52,10,1,1),'[1]List of components'!$C$1:$F$1048576,2,FALSE())</f>
        <v>#N/A</v>
      </c>
      <c r="AB53" s="13"/>
      <c r="AC53" s="13"/>
    </row>
    <row r="54" customFormat="false" ht="15" hidden="false" customHeight="false" outlineLevel="0" collapsed="false">
      <c r="A54" s="11"/>
      <c r="B54" s="11"/>
      <c r="C54" s="11"/>
      <c r="D54" s="11" t="s">
        <v>3</v>
      </c>
      <c r="E54" s="11"/>
      <c r="F54" s="11"/>
      <c r="G54" s="11"/>
      <c r="H54" s="11"/>
      <c r="I54" s="11"/>
      <c r="J54" s="13" t="s">
        <v>94</v>
      </c>
      <c r="K54" s="13" t="s">
        <v>3</v>
      </c>
      <c r="L54" s="13" t="s">
        <v>161</v>
      </c>
      <c r="M54" s="13" t="s">
        <v>162</v>
      </c>
      <c r="N54" s="14" t="n">
        <f aca="false">OFFSET(tbl_LoC,53,19,1,1)</f>
        <v>0</v>
      </c>
      <c r="O54" s="15"/>
      <c r="P54" s="13"/>
      <c r="Q54" s="13" t="n">
        <v>240</v>
      </c>
      <c r="R54" s="13"/>
      <c r="S54" s="16"/>
      <c r="T54" s="11"/>
      <c r="U54" s="11"/>
      <c r="V54" s="14" t="e">
        <f aca="false">OFFSET(tbl_LoC,53,21,1,1)*OFFSET(tbl_LoC,53,20,1,1)</f>
        <v>#VALUE!</v>
      </c>
      <c r="W54" s="17" t="n">
        <v>103</v>
      </c>
      <c r="X54" s="14" t="e">
        <f aca="false">Y54/(1-0.15)/(1-0.6)</f>
        <v>#N/A</v>
      </c>
      <c r="Y54" s="18" t="e">
        <f aca="false">VLOOKUP(OFFSET(tbl_LoC,53,10,1,1),'[1]List of components'!$C$1:$F$1048576,3,FALSE())</f>
        <v>#N/A</v>
      </c>
      <c r="Z54" s="19" t="n">
        <f aca="false">OFFSET(tbl_LoC,53,22,1,1)*OFFSET(tbl_LoC,53,20,1,1)</f>
        <v>0</v>
      </c>
      <c r="AA54" s="13" t="e">
        <f aca="false">VLOOKUP(OFFSET(tbl_LoC,53,10,1,1),'[1]List of components'!$C$1:$F$1048576,2,FALSE())</f>
        <v>#N/A</v>
      </c>
      <c r="AB54" s="13"/>
      <c r="AC54" s="13"/>
    </row>
    <row r="55" customFormat="false" ht="15" hidden="false" customHeight="false" outlineLevel="0" collapsed="false">
      <c r="A55" s="11"/>
      <c r="B55" s="11"/>
      <c r="C55" s="11"/>
      <c r="D55" s="11" t="s">
        <v>3</v>
      </c>
      <c r="E55" s="11"/>
      <c r="F55" s="11"/>
      <c r="G55" s="11"/>
      <c r="H55" s="11"/>
      <c r="I55" s="11"/>
      <c r="J55" s="13" t="s">
        <v>94</v>
      </c>
      <c r="K55" s="13" t="s">
        <v>3</v>
      </c>
      <c r="L55" s="13" t="s">
        <v>163</v>
      </c>
      <c r="M55" s="13" t="s">
        <v>164</v>
      </c>
      <c r="N55" s="14" t="n">
        <f aca="false">OFFSET(tbl_LoC,54,19,1,1)</f>
        <v>0</v>
      </c>
      <c r="O55" s="15"/>
      <c r="P55" s="13"/>
      <c r="Q55" s="13" t="n">
        <v>280</v>
      </c>
      <c r="R55" s="13"/>
      <c r="S55" s="16"/>
      <c r="T55" s="11"/>
      <c r="U55" s="11"/>
      <c r="V55" s="14" t="e">
        <f aca="false">OFFSET(tbl_LoC,54,21,1,1)*OFFSET(tbl_LoC,54,20,1,1)</f>
        <v>#VALUE!</v>
      </c>
      <c r="W55" s="17" t="n">
        <v>103</v>
      </c>
      <c r="X55" s="14" t="e">
        <f aca="false">Y55/(1-0.15)/(1-0.6)</f>
        <v>#N/A</v>
      </c>
      <c r="Y55" s="18" t="e">
        <f aca="false">VLOOKUP(OFFSET(tbl_LoC,54,10,1,1),'[1]List of components'!$C$1:$F$1048576,3,FALSE())</f>
        <v>#N/A</v>
      </c>
      <c r="Z55" s="19" t="n">
        <f aca="false">OFFSET(tbl_LoC,54,22,1,1)*OFFSET(tbl_LoC,54,20,1,1)</f>
        <v>0</v>
      </c>
      <c r="AA55" s="13" t="e">
        <f aca="false">VLOOKUP(OFFSET(tbl_LoC,54,10,1,1),'[1]List of components'!$C$1:$F$1048576,2,FALSE())</f>
        <v>#N/A</v>
      </c>
      <c r="AB55" s="13"/>
      <c r="AC55" s="13"/>
    </row>
    <row r="56" customFormat="false" ht="15" hidden="false" customHeight="false" outlineLevel="0" collapsed="false">
      <c r="A56" s="11" t="s">
        <v>0</v>
      </c>
      <c r="B56" s="11"/>
      <c r="C56" s="11"/>
      <c r="D56" s="11"/>
      <c r="E56" s="11"/>
      <c r="F56" s="11"/>
      <c r="G56" s="11"/>
      <c r="H56" s="11"/>
      <c r="I56" s="11"/>
      <c r="J56" s="13" t="s">
        <v>94</v>
      </c>
      <c r="K56" s="13" t="s">
        <v>165</v>
      </c>
      <c r="L56" s="13" t="s">
        <v>166</v>
      </c>
      <c r="M56" s="13" t="s">
        <v>167</v>
      </c>
      <c r="N56" s="14" t="n">
        <f aca="false">OFFSET(tbl_LoC,55,19,1,1)</f>
        <v>0</v>
      </c>
      <c r="O56" s="15"/>
      <c r="P56" s="13"/>
      <c r="Q56" s="13" t="n">
        <v>0</v>
      </c>
      <c r="R56" s="13"/>
      <c r="S56" s="16"/>
      <c r="T56" s="11"/>
      <c r="U56" s="11"/>
      <c r="V56" s="14" t="e">
        <f aca="false">OFFSET(tbl_LoC,55,21,1,1)*OFFSET(tbl_LoC,55,20,1,1)</f>
        <v>#VALUE!</v>
      </c>
      <c r="W56" s="17" t="n">
        <v>103</v>
      </c>
      <c r="X56" s="14" t="e">
        <f aca="false">Y56/(1-0.15)/(1-0.6)</f>
        <v>#N/A</v>
      </c>
      <c r="Y56" s="18" t="e">
        <f aca="false">VLOOKUP(OFFSET(tbl_LoC,55,10,1,1),'[1]List of components'!$C$1:$F$1048576,3,FALSE())</f>
        <v>#N/A</v>
      </c>
      <c r="Z56" s="19" t="n">
        <f aca="false">OFFSET(tbl_LoC,55,22,1,1)*OFFSET(tbl_LoC,55,20,1,1)</f>
        <v>0</v>
      </c>
      <c r="AA56" s="13" t="e">
        <f aca="false">VLOOKUP(OFFSET(tbl_LoC,55,10,1,1),'[1]List of components'!$C$1:$F$1048576,2,FALSE())</f>
        <v>#N/A</v>
      </c>
      <c r="AB56" s="13"/>
      <c r="AC56" s="13"/>
    </row>
    <row r="57" customFormat="false" ht="15" hidden="false" customHeight="false" outlineLevel="0" collapsed="false">
      <c r="A57" s="11" t="s">
        <v>0</v>
      </c>
      <c r="B57" s="11"/>
      <c r="C57" s="11"/>
      <c r="D57" s="11"/>
      <c r="E57" s="11"/>
      <c r="F57" s="11"/>
      <c r="G57" s="11"/>
      <c r="H57" s="11"/>
      <c r="I57" s="11"/>
      <c r="J57" s="13" t="s">
        <v>94</v>
      </c>
      <c r="K57" s="13" t="s">
        <v>165</v>
      </c>
      <c r="L57" s="13" t="s">
        <v>168</v>
      </c>
      <c r="M57" s="13" t="s">
        <v>169</v>
      </c>
      <c r="N57" s="14" t="n">
        <f aca="false">OFFSET(tbl_LoC,56,19,1,1)</f>
        <v>0</v>
      </c>
      <c r="O57" s="15"/>
      <c r="P57" s="13"/>
      <c r="Q57" s="13" t="n">
        <v>0</v>
      </c>
      <c r="R57" s="13"/>
      <c r="S57" s="16"/>
      <c r="T57" s="11"/>
      <c r="U57" s="11"/>
      <c r="V57" s="14" t="e">
        <f aca="false">OFFSET(tbl_LoC,56,21,1,1)*OFFSET(tbl_LoC,56,20,1,1)</f>
        <v>#VALUE!</v>
      </c>
      <c r="W57" s="17" t="n">
        <v>103</v>
      </c>
      <c r="X57" s="14" t="e">
        <f aca="false">Y57/(1-0.15)/(1-0.6)</f>
        <v>#N/A</v>
      </c>
      <c r="Y57" s="18" t="e">
        <f aca="false">VLOOKUP(OFFSET(tbl_LoC,56,10,1,1),'[1]List of components'!$C$1:$F$1048576,3,FALSE())</f>
        <v>#N/A</v>
      </c>
      <c r="Z57" s="19" t="n">
        <f aca="false">OFFSET(tbl_LoC,56,22,1,1)*OFFSET(tbl_LoC,56,20,1,1)</f>
        <v>0</v>
      </c>
      <c r="AA57" s="13" t="e">
        <f aca="false">VLOOKUP(OFFSET(tbl_LoC,56,10,1,1),'[1]List of components'!$C$1:$F$1048576,2,FALSE())</f>
        <v>#N/A</v>
      </c>
      <c r="AB57" s="13"/>
      <c r="AC57" s="13"/>
    </row>
    <row r="58" customFormat="false" ht="15" hidden="false" customHeight="false" outlineLevel="0" collapsed="false">
      <c r="A58" s="11" t="s">
        <v>0</v>
      </c>
      <c r="B58" s="11" t="s">
        <v>1</v>
      </c>
      <c r="C58" s="11"/>
      <c r="D58" s="11"/>
      <c r="E58" s="11"/>
      <c r="F58" s="11"/>
      <c r="G58" s="11"/>
      <c r="H58" s="11"/>
      <c r="I58" s="11"/>
      <c r="J58" s="13" t="s">
        <v>94</v>
      </c>
      <c r="K58" s="13" t="s">
        <v>170</v>
      </c>
      <c r="L58" s="13" t="s">
        <v>171</v>
      </c>
      <c r="M58" s="13" t="s">
        <v>172</v>
      </c>
      <c r="N58" s="14" t="n">
        <f aca="false">OFFSET(tbl_LoC,57,19,1,1)</f>
        <v>0</v>
      </c>
      <c r="O58" s="15"/>
      <c r="P58" s="13"/>
      <c r="Q58" s="13" t="n">
        <v>85</v>
      </c>
      <c r="R58" s="13"/>
      <c r="S58" s="16"/>
      <c r="T58" s="11"/>
      <c r="U58" s="11"/>
      <c r="V58" s="14" t="e">
        <f aca="false">OFFSET(tbl_LoC,57,21,1,1)*OFFSET(tbl_LoC,57,20,1,1)</f>
        <v>#VALUE!</v>
      </c>
      <c r="W58" s="17" t="n">
        <v>103</v>
      </c>
      <c r="X58" s="14" t="e">
        <f aca="false">Y58/(1-0.15)/(1-0.6)</f>
        <v>#N/A</v>
      </c>
      <c r="Y58" s="18" t="e">
        <f aca="false">VLOOKUP(OFFSET(tbl_LoC,57,10,1,1),'[1]List of components'!$C$1:$F$1048576,3,FALSE())</f>
        <v>#N/A</v>
      </c>
      <c r="Z58" s="19" t="n">
        <f aca="false">OFFSET(tbl_LoC,57,22,1,1)*OFFSET(tbl_LoC,57,20,1,1)</f>
        <v>0</v>
      </c>
      <c r="AA58" s="13" t="e">
        <f aca="false">VLOOKUP(OFFSET(tbl_LoC,57,10,1,1),'[1]List of components'!$C$1:$F$1048576,2,FALSE())</f>
        <v>#N/A</v>
      </c>
      <c r="AB58" s="13"/>
      <c r="AC58" s="13"/>
    </row>
    <row r="59" customFormat="false" ht="15" hidden="false" customHeight="false" outlineLevel="0" collapsed="false">
      <c r="A59" s="11" t="s">
        <v>0</v>
      </c>
      <c r="B59" s="11" t="s">
        <v>1</v>
      </c>
      <c r="C59" s="11"/>
      <c r="D59" s="11"/>
      <c r="E59" s="11"/>
      <c r="F59" s="11"/>
      <c r="G59" s="11"/>
      <c r="H59" s="11"/>
      <c r="I59" s="11"/>
      <c r="J59" s="13" t="s">
        <v>94</v>
      </c>
      <c r="K59" s="13" t="s">
        <v>170</v>
      </c>
      <c r="L59" s="13" t="s">
        <v>173</v>
      </c>
      <c r="M59" s="13" t="s">
        <v>174</v>
      </c>
      <c r="N59" s="14" t="n">
        <f aca="false">OFFSET(tbl_LoC,58,19,1,1)</f>
        <v>0</v>
      </c>
      <c r="O59" s="15"/>
      <c r="P59" s="13"/>
      <c r="Q59" s="13" t="n">
        <v>85</v>
      </c>
      <c r="R59" s="13"/>
      <c r="S59" s="16"/>
      <c r="T59" s="11"/>
      <c r="U59" s="11"/>
      <c r="V59" s="14" t="e">
        <f aca="false">OFFSET(tbl_LoC,58,21,1,1)*OFFSET(tbl_LoC,58,20,1,1)</f>
        <v>#VALUE!</v>
      </c>
      <c r="W59" s="17" t="n">
        <v>103</v>
      </c>
      <c r="X59" s="14" t="e">
        <f aca="false">Y59/(1-0.15)/(1-0.6)</f>
        <v>#N/A</v>
      </c>
      <c r="Y59" s="18" t="e">
        <f aca="false">VLOOKUP(OFFSET(tbl_LoC,58,10,1,1),'[1]List of components'!$C$1:$F$1048576,3,FALSE())</f>
        <v>#N/A</v>
      </c>
      <c r="Z59" s="19" t="n">
        <f aca="false">OFFSET(tbl_LoC,58,22,1,1)*OFFSET(tbl_LoC,58,20,1,1)</f>
        <v>0</v>
      </c>
      <c r="AA59" s="13" t="e">
        <f aca="false">VLOOKUP(OFFSET(tbl_LoC,58,10,1,1),'[1]List of components'!$C$1:$F$1048576,2,FALSE())</f>
        <v>#N/A</v>
      </c>
      <c r="AB59" s="13"/>
      <c r="AC59" s="13"/>
    </row>
    <row r="60" customFormat="false" ht="15" hidden="false" customHeight="false" outlineLevel="0" collapsed="false">
      <c r="A60" s="11" t="s">
        <v>0</v>
      </c>
      <c r="B60" s="11" t="s">
        <v>1</v>
      </c>
      <c r="C60" s="11"/>
      <c r="D60" s="11"/>
      <c r="E60" s="11"/>
      <c r="F60" s="11"/>
      <c r="G60" s="11"/>
      <c r="H60" s="11"/>
      <c r="I60" s="11"/>
      <c r="J60" s="13" t="s">
        <v>94</v>
      </c>
      <c r="K60" s="13" t="s">
        <v>170</v>
      </c>
      <c r="L60" s="13" t="s">
        <v>175</v>
      </c>
      <c r="M60" s="13" t="s">
        <v>176</v>
      </c>
      <c r="N60" s="14" t="n">
        <f aca="false">OFFSET(tbl_LoC,59,19,1,1)</f>
        <v>0</v>
      </c>
      <c r="O60" s="15"/>
      <c r="P60" s="13"/>
      <c r="Q60" s="13" t="n">
        <v>115</v>
      </c>
      <c r="R60" s="13"/>
      <c r="S60" s="16"/>
      <c r="T60" s="11"/>
      <c r="U60" s="11"/>
      <c r="V60" s="14" t="e">
        <f aca="false">OFFSET(tbl_LoC,59,21,1,1)*OFFSET(tbl_LoC,59,20,1,1)</f>
        <v>#VALUE!</v>
      </c>
      <c r="W60" s="17" t="n">
        <v>103</v>
      </c>
      <c r="X60" s="14" t="e">
        <f aca="false">Y60/(1-0.15)/(1-0.6)</f>
        <v>#N/A</v>
      </c>
      <c r="Y60" s="18" t="e">
        <f aca="false">VLOOKUP(OFFSET(tbl_LoC,59,10,1,1),'[1]List of components'!$C$1:$F$1048576,3,FALSE())</f>
        <v>#N/A</v>
      </c>
      <c r="Z60" s="19" t="n">
        <f aca="false">OFFSET(tbl_LoC,59,22,1,1)*OFFSET(tbl_LoC,59,20,1,1)</f>
        <v>0</v>
      </c>
      <c r="AA60" s="13" t="e">
        <f aca="false">VLOOKUP(OFFSET(tbl_LoC,59,10,1,1),'[1]List of components'!$C$1:$F$1048576,2,FALSE())</f>
        <v>#N/A</v>
      </c>
      <c r="AB60" s="13"/>
      <c r="AC60" s="13"/>
    </row>
    <row r="61" customFormat="false" ht="15" hidden="false" customHeight="false" outlineLevel="0" collapsed="false">
      <c r="A61" s="11" t="s">
        <v>0</v>
      </c>
      <c r="B61" s="11" t="s">
        <v>1</v>
      </c>
      <c r="C61" s="11"/>
      <c r="D61" s="11"/>
      <c r="E61" s="11"/>
      <c r="F61" s="11"/>
      <c r="G61" s="11"/>
      <c r="H61" s="11"/>
      <c r="I61" s="11"/>
      <c r="J61" s="13" t="s">
        <v>94</v>
      </c>
      <c r="K61" s="13" t="s">
        <v>170</v>
      </c>
      <c r="L61" s="13" t="s">
        <v>177</v>
      </c>
      <c r="M61" s="13" t="s">
        <v>178</v>
      </c>
      <c r="N61" s="14" t="n">
        <f aca="false">OFFSET(tbl_LoC,60,19,1,1)</f>
        <v>0</v>
      </c>
      <c r="O61" s="15"/>
      <c r="P61" s="13"/>
      <c r="Q61" s="13" t="n">
        <v>125</v>
      </c>
      <c r="R61" s="13"/>
      <c r="S61" s="16"/>
      <c r="T61" s="11"/>
      <c r="U61" s="11"/>
      <c r="V61" s="14" t="e">
        <f aca="false">OFFSET(tbl_LoC,60,21,1,1)*OFFSET(tbl_LoC,60,20,1,1)</f>
        <v>#VALUE!</v>
      </c>
      <c r="W61" s="17" t="n">
        <v>103</v>
      </c>
      <c r="X61" s="14" t="e">
        <f aca="false">Y61/(1-0.15)/(1-0.6)</f>
        <v>#N/A</v>
      </c>
      <c r="Y61" s="18" t="e">
        <f aca="false">VLOOKUP(OFFSET(tbl_LoC,60,10,1,1),'[1]List of components'!$C$1:$F$1048576,3,FALSE())</f>
        <v>#N/A</v>
      </c>
      <c r="Z61" s="19" t="n">
        <f aca="false">OFFSET(tbl_LoC,60,22,1,1)*OFFSET(tbl_LoC,60,20,1,1)</f>
        <v>0</v>
      </c>
      <c r="AA61" s="13" t="e">
        <f aca="false">VLOOKUP(OFFSET(tbl_LoC,60,10,1,1),'[1]List of components'!$C$1:$F$1048576,2,FALSE())</f>
        <v>#N/A</v>
      </c>
      <c r="AB61" s="13"/>
      <c r="AC61" s="13"/>
    </row>
    <row r="62" customFormat="false" ht="15" hidden="false" customHeight="false" outlineLevel="0" collapsed="false">
      <c r="A62" s="11" t="s">
        <v>0</v>
      </c>
      <c r="B62" s="11" t="s">
        <v>1</v>
      </c>
      <c r="C62" s="11"/>
      <c r="D62" s="11"/>
      <c r="E62" s="11"/>
      <c r="F62" s="11"/>
      <c r="G62" s="11"/>
      <c r="H62" s="11"/>
      <c r="I62" s="11"/>
      <c r="J62" s="13" t="s">
        <v>94</v>
      </c>
      <c r="K62" s="13" t="s">
        <v>170</v>
      </c>
      <c r="L62" s="13" t="s">
        <v>179</v>
      </c>
      <c r="M62" s="13" t="s">
        <v>180</v>
      </c>
      <c r="N62" s="14" t="n">
        <f aca="false">OFFSET(tbl_LoC,61,19,1,1)</f>
        <v>0</v>
      </c>
      <c r="O62" s="15"/>
      <c r="P62" s="13"/>
      <c r="Q62" s="13" t="n">
        <v>125</v>
      </c>
      <c r="R62" s="13"/>
      <c r="S62" s="16"/>
      <c r="T62" s="11"/>
      <c r="U62" s="11"/>
      <c r="V62" s="14" t="e">
        <f aca="false">OFFSET(tbl_LoC,61,21,1,1)*OFFSET(tbl_LoC,61,20,1,1)</f>
        <v>#VALUE!</v>
      </c>
      <c r="W62" s="17" t="n">
        <v>103</v>
      </c>
      <c r="X62" s="14" t="n">
        <f aca="false">Y62/(1-0.15)/(1-0.6)</f>
        <v>2941.17647058824</v>
      </c>
      <c r="Y62" s="18" t="n">
        <v>1000</v>
      </c>
      <c r="Z62" s="19" t="n">
        <f aca="false">OFFSET(tbl_LoC,61,22,1,1)*OFFSET(tbl_LoC,61,20,1,1)</f>
        <v>0</v>
      </c>
      <c r="AA62" s="13" t="e">
        <f aca="false">VLOOKUP(OFFSET(tbl_LoC,61,10,1,1),'[1]List of components'!$C$1:$F$1048576,2,FALSE())</f>
        <v>#N/A</v>
      </c>
      <c r="AB62" s="13"/>
      <c r="AC62" s="13"/>
    </row>
    <row r="63" customFormat="false" ht="15" hidden="false" customHeight="false" outlineLevel="0" collapsed="false">
      <c r="A63" s="11" t="s">
        <v>0</v>
      </c>
      <c r="B63" s="11" t="s">
        <v>1</v>
      </c>
      <c r="C63" s="11"/>
      <c r="D63" s="11"/>
      <c r="E63" s="11"/>
      <c r="F63" s="11"/>
      <c r="G63" s="11"/>
      <c r="H63" s="11"/>
      <c r="I63" s="11"/>
      <c r="J63" s="13" t="s">
        <v>94</v>
      </c>
      <c r="K63" s="13" t="s">
        <v>170</v>
      </c>
      <c r="L63" s="13" t="s">
        <v>181</v>
      </c>
      <c r="M63" s="13" t="s">
        <v>182</v>
      </c>
      <c r="N63" s="14" t="n">
        <f aca="false">OFFSET(tbl_LoC,62,19,1,1)</f>
        <v>0</v>
      </c>
      <c r="O63" s="15"/>
      <c r="P63" s="13"/>
      <c r="Q63" s="13" t="n">
        <v>150</v>
      </c>
      <c r="R63" s="13"/>
      <c r="S63" s="16"/>
      <c r="T63" s="11"/>
      <c r="U63" s="11"/>
      <c r="V63" s="14" t="e">
        <f aca="false">OFFSET(tbl_LoC,62,21,1,1)*OFFSET(tbl_LoC,62,20,1,1)</f>
        <v>#VALUE!</v>
      </c>
      <c r="W63" s="17" t="n">
        <v>103</v>
      </c>
      <c r="X63" s="14" t="n">
        <f aca="false">Y63/(1-0.15)/(1-0.6)</f>
        <v>3970.58823529412</v>
      </c>
      <c r="Y63" s="18" t="n">
        <v>1350</v>
      </c>
      <c r="Z63" s="19" t="n">
        <f aca="false">OFFSET(tbl_LoC,62,22,1,1)*OFFSET(tbl_LoC,62,20,1,1)</f>
        <v>0</v>
      </c>
      <c r="AA63" s="13" t="e">
        <f aca="false">VLOOKUP(OFFSET(tbl_LoC,62,10,1,1),'[1]List of components'!$C$1:$F$1048576,2,FALSE())</f>
        <v>#N/A</v>
      </c>
      <c r="AB63" s="13"/>
      <c r="AC63" s="13"/>
    </row>
    <row r="64" customFormat="false" ht="15" hidden="false" customHeight="false" outlineLevel="0" collapsed="false">
      <c r="A64" s="11" t="s">
        <v>0</v>
      </c>
      <c r="B64" s="11" t="s">
        <v>1</v>
      </c>
      <c r="C64" s="11"/>
      <c r="D64" s="11"/>
      <c r="E64" s="11"/>
      <c r="F64" s="11"/>
      <c r="G64" s="11"/>
      <c r="H64" s="11"/>
      <c r="I64" s="11"/>
      <c r="J64" s="13" t="s">
        <v>94</v>
      </c>
      <c r="K64" s="13" t="s">
        <v>170</v>
      </c>
      <c r="L64" s="13" t="s">
        <v>183</v>
      </c>
      <c r="M64" s="13" t="s">
        <v>184</v>
      </c>
      <c r="N64" s="14" t="n">
        <f aca="false">OFFSET(tbl_LoC,63,19,1,1)</f>
        <v>0</v>
      </c>
      <c r="O64" s="15"/>
      <c r="P64" s="13"/>
      <c r="Q64" s="13" t="n">
        <v>105</v>
      </c>
      <c r="R64" s="13"/>
      <c r="S64" s="16"/>
      <c r="T64" s="11"/>
      <c r="U64" s="11"/>
      <c r="V64" s="14" t="e">
        <f aca="false">OFFSET(tbl_LoC,63,21,1,1)*OFFSET(tbl_LoC,63,20,1,1)</f>
        <v>#VALUE!</v>
      </c>
      <c r="W64" s="17" t="n">
        <v>103</v>
      </c>
      <c r="X64" s="14" t="e">
        <f aca="false">Y64/(1-0.15)/(1-0.6)</f>
        <v>#N/A</v>
      </c>
      <c r="Y64" s="18" t="e">
        <f aca="false">VLOOKUP(OFFSET(tbl_LoC,63,10,1,1),'[1]List of components'!$C$1:$F$1048576,3,FALSE())</f>
        <v>#N/A</v>
      </c>
      <c r="Z64" s="19" t="n">
        <f aca="false">OFFSET(tbl_LoC,63,22,1,1)*OFFSET(tbl_LoC,63,20,1,1)</f>
        <v>0</v>
      </c>
      <c r="AA64" s="13" t="e">
        <f aca="false">VLOOKUP(OFFSET(tbl_LoC,63,10,1,1),'[1]List of components'!$C$1:$F$1048576,2,FALSE())</f>
        <v>#N/A</v>
      </c>
      <c r="AB64" s="13"/>
      <c r="AC64" s="13"/>
    </row>
    <row r="65" customFormat="false" ht="15" hidden="false" customHeight="false" outlineLevel="0" collapsed="false">
      <c r="A65" s="11"/>
      <c r="B65" s="11"/>
      <c r="C65" s="11" t="s">
        <v>2</v>
      </c>
      <c r="D65" s="11"/>
      <c r="E65" s="11"/>
      <c r="F65" s="11"/>
      <c r="G65" s="11" t="s">
        <v>6</v>
      </c>
      <c r="H65" s="11"/>
      <c r="I65" s="11"/>
      <c r="J65" s="13" t="s">
        <v>94</v>
      </c>
      <c r="K65" s="13" t="s">
        <v>170</v>
      </c>
      <c r="L65" s="13" t="s">
        <v>185</v>
      </c>
      <c r="M65" s="13" t="s">
        <v>186</v>
      </c>
      <c r="N65" s="14" t="n">
        <f aca="false">OFFSET(tbl_LoC,64,19,1,1)</f>
        <v>0</v>
      </c>
      <c r="O65" s="15"/>
      <c r="P65" s="13"/>
      <c r="Q65" s="13" t="n">
        <v>150</v>
      </c>
      <c r="R65" s="13"/>
      <c r="S65" s="16"/>
      <c r="T65" s="11"/>
      <c r="U65" s="11"/>
      <c r="V65" s="14" t="e">
        <f aca="false">OFFSET(tbl_LoC,64,21,1,1)*OFFSET(tbl_LoC,64,20,1,1)</f>
        <v>#VALUE!</v>
      </c>
      <c r="W65" s="17" t="n">
        <v>103</v>
      </c>
      <c r="X65" s="14" t="n">
        <f aca="false">Y65/(1-0.15)/(1-0.6)</f>
        <v>3882.35294117647</v>
      </c>
      <c r="Y65" s="18" t="n">
        <v>1320</v>
      </c>
      <c r="Z65" s="19" t="n">
        <f aca="false">OFFSET(tbl_LoC,64,22,1,1)*OFFSET(tbl_LoC,64,20,1,1)</f>
        <v>0</v>
      </c>
      <c r="AA65" s="13" t="e">
        <f aca="false">VLOOKUP(OFFSET(tbl_LoC,64,10,1,1),'[1]List of components'!$C$1:$F$1048576,2,FALSE())</f>
        <v>#N/A</v>
      </c>
      <c r="AB65" s="13"/>
      <c r="AC65" s="13"/>
    </row>
    <row r="66" customFormat="false" ht="15" hidden="false" customHeight="false" outlineLevel="0" collapsed="false">
      <c r="A66" s="11"/>
      <c r="B66" s="11"/>
      <c r="C66" s="11" t="s">
        <v>2</v>
      </c>
      <c r="D66" s="11"/>
      <c r="E66" s="11"/>
      <c r="F66" s="11"/>
      <c r="G66" s="11" t="s">
        <v>6</v>
      </c>
      <c r="H66" s="11"/>
      <c r="I66" s="11"/>
      <c r="J66" s="13" t="s">
        <v>94</v>
      </c>
      <c r="K66" s="13" t="s">
        <v>170</v>
      </c>
      <c r="L66" s="13" t="s">
        <v>187</v>
      </c>
      <c r="M66" s="13" t="s">
        <v>188</v>
      </c>
      <c r="N66" s="14" t="n">
        <f aca="false">OFFSET(tbl_LoC,65,19,1,1)</f>
        <v>0</v>
      </c>
      <c r="O66" s="15"/>
      <c r="P66" s="13"/>
      <c r="Q66" s="13" t="n">
        <v>165</v>
      </c>
      <c r="R66" s="13"/>
      <c r="S66" s="16"/>
      <c r="T66" s="11"/>
      <c r="U66" s="11"/>
      <c r="V66" s="14" t="e">
        <f aca="false">OFFSET(tbl_LoC,65,21,1,1)*OFFSET(tbl_LoC,65,20,1,1)</f>
        <v>#VALUE!</v>
      </c>
      <c r="W66" s="17" t="n">
        <v>103</v>
      </c>
      <c r="X66" s="14" t="n">
        <f aca="false">Y66/(1-0.15)/(1-0.6)</f>
        <v>3588.23529411765</v>
      </c>
      <c r="Y66" s="18" t="n">
        <v>1220</v>
      </c>
      <c r="Z66" s="19" t="n">
        <f aca="false">OFFSET(tbl_LoC,65,22,1,1)*OFFSET(tbl_LoC,65,20,1,1)</f>
        <v>0</v>
      </c>
      <c r="AA66" s="13" t="e">
        <f aca="false">VLOOKUP(OFFSET(tbl_LoC,65,10,1,1),'[1]List of components'!$C$1:$F$1048576,2,FALSE())</f>
        <v>#N/A</v>
      </c>
      <c r="AB66" s="13"/>
      <c r="AC66" s="13"/>
    </row>
    <row r="67" customFormat="false" ht="15" hidden="false" customHeight="false" outlineLevel="0" collapsed="false">
      <c r="A67" s="11"/>
      <c r="B67" s="11"/>
      <c r="C67" s="11" t="s">
        <v>2</v>
      </c>
      <c r="D67" s="11"/>
      <c r="E67" s="11"/>
      <c r="F67" s="11"/>
      <c r="G67" s="11" t="s">
        <v>6</v>
      </c>
      <c r="H67" s="11"/>
      <c r="I67" s="11"/>
      <c r="J67" s="13" t="s">
        <v>94</v>
      </c>
      <c r="K67" s="13" t="s">
        <v>170</v>
      </c>
      <c r="L67" s="13" t="s">
        <v>189</v>
      </c>
      <c r="M67" s="13" t="s">
        <v>190</v>
      </c>
      <c r="N67" s="14" t="n">
        <f aca="false">OFFSET(tbl_LoC,66,19,1,1)</f>
        <v>0</v>
      </c>
      <c r="O67" s="15"/>
      <c r="P67" s="13"/>
      <c r="Q67" s="13" t="n">
        <v>185</v>
      </c>
      <c r="R67" s="13"/>
      <c r="S67" s="16"/>
      <c r="T67" s="11"/>
      <c r="U67" s="11"/>
      <c r="V67" s="14" t="e">
        <f aca="false">OFFSET(tbl_LoC,66,21,1,1)*OFFSET(tbl_LoC,66,20,1,1)</f>
        <v>#VALUE!</v>
      </c>
      <c r="W67" s="17" t="n">
        <v>103</v>
      </c>
      <c r="X67" s="14" t="n">
        <f aca="false">Y67/(1-0.15)/(1-0.6)</f>
        <v>4411.76470588235</v>
      </c>
      <c r="Y67" s="18" t="n">
        <v>1500</v>
      </c>
      <c r="Z67" s="19" t="n">
        <f aca="false">OFFSET(tbl_LoC,66,22,1,1)*OFFSET(tbl_LoC,66,20,1,1)</f>
        <v>0</v>
      </c>
      <c r="AA67" s="13" t="e">
        <f aca="false">VLOOKUP(OFFSET(tbl_LoC,66,10,1,1),'[1]List of components'!$C$1:$F$1048576,2,FALSE())</f>
        <v>#N/A</v>
      </c>
      <c r="AB67" s="13"/>
      <c r="AC67" s="13"/>
    </row>
    <row r="68" customFormat="false" ht="15" hidden="false" customHeight="false" outlineLevel="0" collapsed="false">
      <c r="A68" s="11" t="s">
        <v>0</v>
      </c>
      <c r="B68" s="11" t="s">
        <v>1</v>
      </c>
      <c r="C68" s="11"/>
      <c r="D68" s="11"/>
      <c r="E68" s="11"/>
      <c r="F68" s="11"/>
      <c r="G68" s="11"/>
      <c r="H68" s="11"/>
      <c r="I68" s="11"/>
      <c r="J68" s="13" t="s">
        <v>94</v>
      </c>
      <c r="K68" s="13" t="s">
        <v>170</v>
      </c>
      <c r="L68" s="13" t="s">
        <v>191</v>
      </c>
      <c r="M68" s="13" t="s">
        <v>192</v>
      </c>
      <c r="N68" s="14" t="n">
        <f aca="false">OFFSET(tbl_LoC,67,19,1,1)</f>
        <v>0</v>
      </c>
      <c r="O68" s="15"/>
      <c r="P68" s="13"/>
      <c r="Q68" s="13" t="n">
        <v>125</v>
      </c>
      <c r="R68" s="13"/>
      <c r="S68" s="16"/>
      <c r="T68" s="11"/>
      <c r="U68" s="11"/>
      <c r="V68" s="14" t="e">
        <f aca="false">OFFSET(tbl_LoC,67,21,1,1)*OFFSET(tbl_LoC,67,20,1,1)</f>
        <v>#VALUE!</v>
      </c>
      <c r="W68" s="17" t="n">
        <v>103</v>
      </c>
      <c r="X68" s="14" t="e">
        <f aca="false">Y68/(1-0.15)/(1-0.6)</f>
        <v>#N/A</v>
      </c>
      <c r="Y68" s="18" t="e">
        <f aca="false">VLOOKUP(OFFSET(tbl_LoC,67,10,1,1),'[1]List of components'!$C$1:$F$1048576,3,FALSE())</f>
        <v>#N/A</v>
      </c>
      <c r="Z68" s="19" t="n">
        <f aca="false">OFFSET(tbl_LoC,67,22,1,1)*OFFSET(tbl_LoC,67,20,1,1)</f>
        <v>0</v>
      </c>
      <c r="AA68" s="13" t="e">
        <f aca="false">VLOOKUP(OFFSET(tbl_LoC,67,10,1,1),'[1]List of components'!$C$1:$F$1048576,2,FALSE())</f>
        <v>#N/A</v>
      </c>
      <c r="AB68" s="13"/>
      <c r="AC68" s="13"/>
    </row>
    <row r="69" customFormat="false" ht="15" hidden="false" customHeight="false" outlineLevel="0" collapsed="false">
      <c r="A69" s="11" t="s">
        <v>0</v>
      </c>
      <c r="B69" s="11" t="s">
        <v>1</v>
      </c>
      <c r="C69" s="11"/>
      <c r="D69" s="11"/>
      <c r="E69" s="11"/>
      <c r="F69" s="11"/>
      <c r="G69" s="11"/>
      <c r="H69" s="11"/>
      <c r="I69" s="11"/>
      <c r="J69" s="13" t="s">
        <v>94</v>
      </c>
      <c r="K69" s="13" t="s">
        <v>170</v>
      </c>
      <c r="L69" s="13" t="s">
        <v>193</v>
      </c>
      <c r="M69" s="13" t="s">
        <v>194</v>
      </c>
      <c r="N69" s="14" t="n">
        <f aca="false">OFFSET(tbl_LoC,68,19,1,1)</f>
        <v>0</v>
      </c>
      <c r="O69" s="15"/>
      <c r="P69" s="13"/>
      <c r="Q69" s="13" t="n">
        <v>150</v>
      </c>
      <c r="R69" s="13"/>
      <c r="S69" s="16"/>
      <c r="T69" s="11"/>
      <c r="U69" s="11"/>
      <c r="V69" s="14" t="e">
        <f aca="false">OFFSET(tbl_LoC,68,21,1,1)*OFFSET(tbl_LoC,68,20,1,1)</f>
        <v>#VALUE!</v>
      </c>
      <c r="W69" s="17" t="n">
        <v>103</v>
      </c>
      <c r="X69" s="14" t="n">
        <f aca="false">Y69/(1-0.15)/(1-0.6)</f>
        <v>2794.11764705882</v>
      </c>
      <c r="Y69" s="18" t="n">
        <v>950</v>
      </c>
      <c r="Z69" s="19" t="n">
        <f aca="false">OFFSET(tbl_LoC,68,22,1,1)*OFFSET(tbl_LoC,68,20,1,1)</f>
        <v>0</v>
      </c>
      <c r="AA69" s="13" t="e">
        <f aca="false">VLOOKUP(OFFSET(tbl_LoC,68,10,1,1),'[1]List of components'!$C$1:$F$1048576,2,FALSE())</f>
        <v>#N/A</v>
      </c>
      <c r="AB69" s="13"/>
      <c r="AC69" s="13"/>
    </row>
    <row r="70" customFormat="false" ht="15" hidden="false" customHeight="false" outlineLevel="0" collapsed="false">
      <c r="A70" s="11" t="s">
        <v>0</v>
      </c>
      <c r="B70" s="11" t="s">
        <v>1</v>
      </c>
      <c r="C70" s="11"/>
      <c r="D70" s="11"/>
      <c r="E70" s="11"/>
      <c r="F70" s="11"/>
      <c r="G70" s="11"/>
      <c r="H70" s="11"/>
      <c r="I70" s="11"/>
      <c r="J70" s="13" t="s">
        <v>94</v>
      </c>
      <c r="K70" s="13" t="s">
        <v>170</v>
      </c>
      <c r="L70" s="13" t="s">
        <v>195</v>
      </c>
      <c r="M70" s="13" t="s">
        <v>196</v>
      </c>
      <c r="N70" s="14" t="n">
        <f aca="false">OFFSET(tbl_LoC,69,19,1,1)</f>
        <v>0</v>
      </c>
      <c r="O70" s="15"/>
      <c r="P70" s="13"/>
      <c r="Q70" s="13" t="n">
        <v>125</v>
      </c>
      <c r="R70" s="13"/>
      <c r="S70" s="16"/>
      <c r="T70" s="11"/>
      <c r="U70" s="11"/>
      <c r="V70" s="14" t="e">
        <f aca="false">OFFSET(tbl_LoC,69,21,1,1)*OFFSET(tbl_LoC,69,20,1,1)</f>
        <v>#VALUE!</v>
      </c>
      <c r="W70" s="17" t="n">
        <v>103</v>
      </c>
      <c r="X70" s="14" t="n">
        <f aca="false">Y70/(1-0.15)/(1-0.6)</f>
        <v>2647.05882352941</v>
      </c>
      <c r="Y70" s="18" t="n">
        <v>900</v>
      </c>
      <c r="Z70" s="19" t="n">
        <f aca="false">OFFSET(tbl_LoC,69,22,1,1)*OFFSET(tbl_LoC,69,20,1,1)</f>
        <v>0</v>
      </c>
      <c r="AA70" s="13" t="e">
        <f aca="false">VLOOKUP(OFFSET(tbl_LoC,69,10,1,1),'[1]List of components'!$C$1:$F$1048576,2,FALSE())</f>
        <v>#N/A</v>
      </c>
      <c r="AB70" s="13"/>
      <c r="AC70" s="13"/>
    </row>
    <row r="71" customFormat="false" ht="15" hidden="false" customHeight="false" outlineLevel="0" collapsed="false">
      <c r="A71" s="11" t="s">
        <v>0</v>
      </c>
      <c r="B71" s="11" t="s">
        <v>1</v>
      </c>
      <c r="C71" s="11"/>
      <c r="D71" s="11"/>
      <c r="E71" s="11"/>
      <c r="F71" s="11"/>
      <c r="G71" s="11"/>
      <c r="H71" s="11"/>
      <c r="I71" s="11"/>
      <c r="J71" s="13" t="s">
        <v>94</v>
      </c>
      <c r="K71" s="13" t="s">
        <v>170</v>
      </c>
      <c r="L71" s="13" t="s">
        <v>197</v>
      </c>
      <c r="M71" s="13" t="s">
        <v>198</v>
      </c>
      <c r="N71" s="14" t="n">
        <f aca="false">OFFSET(tbl_LoC,70,19,1,1)</f>
        <v>0</v>
      </c>
      <c r="O71" s="15"/>
      <c r="P71" s="13"/>
      <c r="Q71" s="13" t="n">
        <v>150</v>
      </c>
      <c r="R71" s="13"/>
      <c r="S71" s="16"/>
      <c r="T71" s="11"/>
      <c r="U71" s="11"/>
      <c r="V71" s="14" t="e">
        <f aca="false">OFFSET(tbl_LoC,70,21,1,1)*OFFSET(tbl_LoC,70,20,1,1)</f>
        <v>#VALUE!</v>
      </c>
      <c r="W71" s="17" t="n">
        <v>103</v>
      </c>
      <c r="X71" s="14" t="n">
        <f aca="false">Y71/(1-0.15)/(1-0.6)</f>
        <v>2500</v>
      </c>
      <c r="Y71" s="18" t="n">
        <v>850</v>
      </c>
      <c r="Z71" s="19" t="n">
        <f aca="false">OFFSET(tbl_LoC,70,22,1,1)*OFFSET(tbl_LoC,70,20,1,1)</f>
        <v>0</v>
      </c>
      <c r="AA71" s="13" t="e">
        <f aca="false">VLOOKUP(OFFSET(tbl_LoC,70,10,1,1),'[1]List of components'!$C$1:$F$1048576,2,FALSE())</f>
        <v>#N/A</v>
      </c>
      <c r="AB71" s="13"/>
      <c r="AC71" s="13"/>
    </row>
    <row r="72" customFormat="false" ht="15" hidden="false" customHeight="false" outlineLevel="0" collapsed="false">
      <c r="A72" s="11" t="s">
        <v>0</v>
      </c>
      <c r="B72" s="11" t="s">
        <v>1</v>
      </c>
      <c r="C72" s="11"/>
      <c r="D72" s="11"/>
      <c r="E72" s="11"/>
      <c r="F72" s="11"/>
      <c r="G72" s="11"/>
      <c r="H72" s="11"/>
      <c r="I72" s="11"/>
      <c r="J72" s="13" t="s">
        <v>94</v>
      </c>
      <c r="K72" s="13" t="s">
        <v>170</v>
      </c>
      <c r="L72" s="13" t="s">
        <v>199</v>
      </c>
      <c r="M72" s="13" t="s">
        <v>200</v>
      </c>
      <c r="N72" s="14" t="n">
        <f aca="false">OFFSET(tbl_LoC,71,19,1,1)</f>
        <v>0</v>
      </c>
      <c r="O72" s="15"/>
      <c r="P72" s="13"/>
      <c r="Q72" s="13" t="n">
        <v>165</v>
      </c>
      <c r="R72" s="13"/>
      <c r="S72" s="16"/>
      <c r="T72" s="11"/>
      <c r="U72" s="11"/>
      <c r="V72" s="14" t="e">
        <f aca="false">OFFSET(tbl_LoC,71,21,1,1)*OFFSET(tbl_LoC,71,20,1,1)</f>
        <v>#VALUE!</v>
      </c>
      <c r="W72" s="17" t="n">
        <v>103</v>
      </c>
      <c r="X72" s="14" t="n">
        <f aca="false">Y72/(1-0.15)/(1-0.6)</f>
        <v>5882.35294117647</v>
      </c>
      <c r="Y72" s="18" t="n">
        <v>2000</v>
      </c>
      <c r="Z72" s="19" t="n">
        <f aca="false">OFFSET(tbl_LoC,71,22,1,1)*OFFSET(tbl_LoC,71,20,1,1)</f>
        <v>0</v>
      </c>
      <c r="AA72" s="13" t="e">
        <f aca="false">VLOOKUP(OFFSET(tbl_LoC,71,10,1,1),'[1]List of components'!$C$1:$F$1048576,2,FALSE())</f>
        <v>#N/A</v>
      </c>
      <c r="AB72" s="13"/>
      <c r="AC72" s="13"/>
    </row>
    <row r="73" customFormat="false" ht="15" hidden="false" customHeight="false" outlineLevel="0" collapsed="false">
      <c r="A73" s="11" t="s">
        <v>0</v>
      </c>
      <c r="B73" s="11" t="s">
        <v>1</v>
      </c>
      <c r="C73" s="11"/>
      <c r="D73" s="11"/>
      <c r="E73" s="11"/>
      <c r="F73" s="11"/>
      <c r="G73" s="11"/>
      <c r="H73" s="11"/>
      <c r="I73" s="11"/>
      <c r="J73" s="13" t="s">
        <v>94</v>
      </c>
      <c r="K73" s="13" t="s">
        <v>170</v>
      </c>
      <c r="L73" s="13" t="s">
        <v>201</v>
      </c>
      <c r="M73" s="13" t="s">
        <v>202</v>
      </c>
      <c r="N73" s="14" t="n">
        <f aca="false">OFFSET(tbl_LoC,72,19,1,1)</f>
        <v>0</v>
      </c>
      <c r="O73" s="15"/>
      <c r="P73" s="13"/>
      <c r="Q73" s="13" t="n">
        <v>150</v>
      </c>
      <c r="R73" s="13"/>
      <c r="S73" s="16"/>
      <c r="T73" s="11"/>
      <c r="U73" s="11"/>
      <c r="V73" s="14" t="e">
        <f aca="false">OFFSET(tbl_LoC,72,21,1,1)*OFFSET(tbl_LoC,72,20,1,1)</f>
        <v>#VALUE!</v>
      </c>
      <c r="W73" s="17" t="n">
        <v>103</v>
      </c>
      <c r="X73" s="14" t="n">
        <f aca="false">Y73/(1-0.15)/(1-0.6)</f>
        <v>3382.35294117647</v>
      </c>
      <c r="Y73" s="18" t="n">
        <v>1150</v>
      </c>
      <c r="Z73" s="19" t="n">
        <f aca="false">OFFSET(tbl_LoC,72,22,1,1)*OFFSET(tbl_LoC,72,20,1,1)</f>
        <v>0</v>
      </c>
      <c r="AA73" s="13" t="e">
        <f aca="false">VLOOKUP(OFFSET(tbl_LoC,72,10,1,1),'[1]List of components'!$C$1:$F$1048576,2,FALSE())</f>
        <v>#N/A</v>
      </c>
      <c r="AB73" s="13"/>
      <c r="AC73" s="13"/>
    </row>
    <row r="74" customFormat="false" ht="15" hidden="false" customHeight="false" outlineLevel="0" collapsed="false">
      <c r="A74" s="11" t="s">
        <v>0</v>
      </c>
      <c r="B74" s="11" t="s">
        <v>1</v>
      </c>
      <c r="C74" s="11"/>
      <c r="D74" s="11"/>
      <c r="E74" s="11"/>
      <c r="F74" s="11"/>
      <c r="G74" s="11"/>
      <c r="H74" s="11"/>
      <c r="I74" s="11"/>
      <c r="J74" s="13" t="s">
        <v>94</v>
      </c>
      <c r="K74" s="13" t="s">
        <v>170</v>
      </c>
      <c r="L74" s="13" t="s">
        <v>203</v>
      </c>
      <c r="M74" s="13" t="s">
        <v>204</v>
      </c>
      <c r="N74" s="14" t="n">
        <f aca="false">OFFSET(tbl_LoC,73,19,1,1)</f>
        <v>0</v>
      </c>
      <c r="O74" s="15"/>
      <c r="P74" s="13"/>
      <c r="Q74" s="13" t="n">
        <v>165</v>
      </c>
      <c r="R74" s="13"/>
      <c r="S74" s="16"/>
      <c r="T74" s="11"/>
      <c r="U74" s="11"/>
      <c r="V74" s="14" t="e">
        <f aca="false">OFFSET(tbl_LoC,73,21,1,1)*OFFSET(tbl_LoC,73,20,1,1)</f>
        <v>#VALUE!</v>
      </c>
      <c r="W74" s="17" t="n">
        <v>103</v>
      </c>
      <c r="X74" s="14" t="n">
        <f aca="false">Y74/(1-0.15)/(1-0.6)</f>
        <v>5794.11764705882</v>
      </c>
      <c r="Y74" s="18" t="n">
        <v>1970</v>
      </c>
      <c r="Z74" s="19" t="n">
        <f aca="false">OFFSET(tbl_LoC,73,22,1,1)*OFFSET(tbl_LoC,73,20,1,1)</f>
        <v>0</v>
      </c>
      <c r="AA74" s="13" t="e">
        <f aca="false">VLOOKUP(OFFSET(tbl_LoC,73,10,1,1),'[1]List of components'!$C$1:$F$1048576,2,FALSE())</f>
        <v>#N/A</v>
      </c>
      <c r="AB74" s="13"/>
      <c r="AC74" s="13"/>
    </row>
    <row r="75" customFormat="false" ht="15" hidden="false" customHeight="false" outlineLevel="0" collapsed="false">
      <c r="A75" s="11" t="s">
        <v>0</v>
      </c>
      <c r="B75" s="11" t="s">
        <v>1</v>
      </c>
      <c r="C75" s="11"/>
      <c r="D75" s="11"/>
      <c r="E75" s="11"/>
      <c r="F75" s="11"/>
      <c r="G75" s="11"/>
      <c r="H75" s="11"/>
      <c r="I75" s="11"/>
      <c r="J75" s="13" t="s">
        <v>94</v>
      </c>
      <c r="K75" s="13" t="s">
        <v>170</v>
      </c>
      <c r="L75" s="13" t="s">
        <v>205</v>
      </c>
      <c r="M75" s="13" t="s">
        <v>206</v>
      </c>
      <c r="N75" s="14" t="n">
        <f aca="false">OFFSET(tbl_LoC,74,19,1,1)</f>
        <v>0</v>
      </c>
      <c r="O75" s="15"/>
      <c r="P75" s="13"/>
      <c r="Q75" s="13" t="n">
        <v>205</v>
      </c>
      <c r="R75" s="13"/>
      <c r="S75" s="16"/>
      <c r="T75" s="11"/>
      <c r="U75" s="11"/>
      <c r="V75" s="14" t="e">
        <f aca="false">OFFSET(tbl_LoC,74,21,1,1)*OFFSET(tbl_LoC,74,20,1,1)</f>
        <v>#VALUE!</v>
      </c>
      <c r="W75" s="17" t="n">
        <v>103</v>
      </c>
      <c r="X75" s="14" t="n">
        <f aca="false">Y75/(1-0.15)/(1-0.6)</f>
        <v>4264.70588235294</v>
      </c>
      <c r="Y75" s="18" t="n">
        <v>1450</v>
      </c>
      <c r="Z75" s="19" t="n">
        <f aca="false">OFFSET(tbl_LoC,74,22,1,1)*OFFSET(tbl_LoC,74,20,1,1)</f>
        <v>0</v>
      </c>
      <c r="AA75" s="13" t="e">
        <f aca="false">VLOOKUP(OFFSET(tbl_LoC,74,10,1,1),'[1]List of components'!$C$1:$F$1048576,2,FALSE())</f>
        <v>#N/A</v>
      </c>
      <c r="AB75" s="13"/>
      <c r="AC75" s="13"/>
    </row>
    <row r="76" customFormat="false" ht="15" hidden="false" customHeight="false" outlineLevel="0" collapsed="false">
      <c r="A76" s="11" t="s">
        <v>0</v>
      </c>
      <c r="B76" s="11" t="s">
        <v>1</v>
      </c>
      <c r="C76" s="11"/>
      <c r="D76" s="11"/>
      <c r="E76" s="11"/>
      <c r="F76" s="11"/>
      <c r="G76" s="11"/>
      <c r="H76" s="11"/>
      <c r="I76" s="11"/>
      <c r="J76" s="13" t="s">
        <v>94</v>
      </c>
      <c r="K76" s="13" t="s">
        <v>170</v>
      </c>
      <c r="L76" s="13" t="s">
        <v>207</v>
      </c>
      <c r="M76" s="13" t="s">
        <v>208</v>
      </c>
      <c r="N76" s="14" t="n">
        <f aca="false">OFFSET(tbl_LoC,75,19,1,1)</f>
        <v>0</v>
      </c>
      <c r="O76" s="15"/>
      <c r="P76" s="13"/>
      <c r="Q76" s="13" t="n">
        <v>205</v>
      </c>
      <c r="R76" s="13"/>
      <c r="S76" s="16"/>
      <c r="T76" s="11"/>
      <c r="U76" s="11"/>
      <c r="V76" s="14" t="e">
        <f aca="false">OFFSET(tbl_LoC,75,21,1,1)*OFFSET(tbl_LoC,75,20,1,1)</f>
        <v>#VALUE!</v>
      </c>
      <c r="W76" s="17" t="n">
        <v>103</v>
      </c>
      <c r="X76" s="14" t="n">
        <f aca="false">Y76/(1-0.15)/(1-0.6)</f>
        <v>4705.88235294118</v>
      </c>
      <c r="Y76" s="18" t="n">
        <v>1600</v>
      </c>
      <c r="Z76" s="19" t="n">
        <f aca="false">OFFSET(tbl_LoC,75,22,1,1)*OFFSET(tbl_LoC,75,20,1,1)</f>
        <v>0</v>
      </c>
      <c r="AA76" s="13" t="e">
        <f aca="false">VLOOKUP(OFFSET(tbl_LoC,75,10,1,1),'[1]List of components'!$C$1:$F$1048576,2,FALSE())</f>
        <v>#N/A</v>
      </c>
      <c r="AB76" s="13"/>
      <c r="AC76" s="13"/>
    </row>
    <row r="77" customFormat="false" ht="15" hidden="false" customHeight="false" outlineLevel="0" collapsed="false">
      <c r="A77" s="11"/>
      <c r="B77" s="11"/>
      <c r="C77" s="11" t="s">
        <v>2</v>
      </c>
      <c r="D77" s="11"/>
      <c r="E77" s="11"/>
      <c r="F77" s="11"/>
      <c r="G77" s="11" t="s">
        <v>6</v>
      </c>
      <c r="H77" s="11"/>
      <c r="I77" s="11"/>
      <c r="J77" s="13" t="s">
        <v>94</v>
      </c>
      <c r="K77" s="13" t="s">
        <v>170</v>
      </c>
      <c r="L77" s="13" t="s">
        <v>209</v>
      </c>
      <c r="M77" s="13" t="s">
        <v>210</v>
      </c>
      <c r="N77" s="14" t="n">
        <f aca="false">OFFSET(tbl_LoC,76,19,1,1)</f>
        <v>0</v>
      </c>
      <c r="O77" s="15"/>
      <c r="P77" s="13"/>
      <c r="Q77" s="13" t="n">
        <v>185</v>
      </c>
      <c r="R77" s="13"/>
      <c r="S77" s="16"/>
      <c r="T77" s="11"/>
      <c r="U77" s="11"/>
      <c r="V77" s="14" t="e">
        <f aca="false">OFFSET(tbl_LoC,76,21,1,1)*OFFSET(tbl_LoC,76,20,1,1)</f>
        <v>#VALUE!</v>
      </c>
      <c r="W77" s="17" t="n">
        <v>103</v>
      </c>
      <c r="X77" s="14" t="e">
        <f aca="false">Y77/(1-0.15)/(1-0.6)</f>
        <v>#N/A</v>
      </c>
      <c r="Y77" s="18" t="e">
        <f aca="false">VLOOKUP(OFFSET(tbl_LoC,76,10,1,1),'[1]List of components'!$C$1:$F$1048576,3,FALSE())</f>
        <v>#N/A</v>
      </c>
      <c r="Z77" s="19" t="n">
        <f aca="false">OFFSET(tbl_LoC,76,22,1,1)*OFFSET(tbl_LoC,76,20,1,1)</f>
        <v>0</v>
      </c>
      <c r="AA77" s="13" t="e">
        <f aca="false">VLOOKUP(OFFSET(tbl_LoC,76,10,1,1),'[1]List of components'!$C$1:$F$1048576,2,FALSE())</f>
        <v>#N/A</v>
      </c>
      <c r="AB77" s="13"/>
      <c r="AC77" s="13"/>
    </row>
    <row r="78" customFormat="false" ht="15" hidden="false" customHeight="false" outlineLevel="0" collapsed="false">
      <c r="A78" s="11"/>
      <c r="B78" s="11"/>
      <c r="C78" s="11" t="s">
        <v>2</v>
      </c>
      <c r="D78" s="11"/>
      <c r="E78" s="11"/>
      <c r="F78" s="11"/>
      <c r="G78" s="11" t="s">
        <v>6</v>
      </c>
      <c r="H78" s="11"/>
      <c r="I78" s="11"/>
      <c r="J78" s="13" t="s">
        <v>94</v>
      </c>
      <c r="K78" s="13" t="s">
        <v>170</v>
      </c>
      <c r="L78" s="13" t="s">
        <v>211</v>
      </c>
      <c r="M78" s="13" t="s">
        <v>212</v>
      </c>
      <c r="N78" s="14" t="n">
        <f aca="false">OFFSET(tbl_LoC,77,19,1,1)</f>
        <v>0</v>
      </c>
      <c r="O78" s="15"/>
      <c r="P78" s="13"/>
      <c r="Q78" s="13" t="n">
        <v>205</v>
      </c>
      <c r="R78" s="13"/>
      <c r="S78" s="16"/>
      <c r="T78" s="11"/>
      <c r="U78" s="11"/>
      <c r="V78" s="14" t="e">
        <f aca="false">OFFSET(tbl_LoC,77,21,1,1)*OFFSET(tbl_LoC,77,20,1,1)</f>
        <v>#VALUE!</v>
      </c>
      <c r="W78" s="17" t="n">
        <v>103</v>
      </c>
      <c r="X78" s="14" t="n">
        <f aca="false">Y78/(1-0.15)/(1-0.6)</f>
        <v>3088.23529411765</v>
      </c>
      <c r="Y78" s="18" t="n">
        <v>1050</v>
      </c>
      <c r="Z78" s="19" t="n">
        <f aca="false">OFFSET(tbl_LoC,77,22,1,1)*OFFSET(tbl_LoC,77,20,1,1)</f>
        <v>0</v>
      </c>
      <c r="AA78" s="13" t="e">
        <f aca="false">VLOOKUP(OFFSET(tbl_LoC,77,10,1,1),'[1]List of components'!$C$1:$F$1048576,2,FALSE())</f>
        <v>#N/A</v>
      </c>
      <c r="AB78" s="13"/>
      <c r="AC78" s="13"/>
    </row>
    <row r="79" customFormat="false" ht="15" hidden="false" customHeight="false" outlineLevel="0" collapsed="false">
      <c r="A79" s="11"/>
      <c r="B79" s="11"/>
      <c r="C79" s="11" t="s">
        <v>2</v>
      </c>
      <c r="D79" s="11"/>
      <c r="E79" s="11"/>
      <c r="F79" s="11"/>
      <c r="G79" s="11" t="s">
        <v>6</v>
      </c>
      <c r="H79" s="11"/>
      <c r="I79" s="11"/>
      <c r="J79" s="13" t="s">
        <v>94</v>
      </c>
      <c r="K79" s="13" t="s">
        <v>170</v>
      </c>
      <c r="L79" s="13" t="s">
        <v>213</v>
      </c>
      <c r="M79" s="13" t="s">
        <v>214</v>
      </c>
      <c r="N79" s="14" t="n">
        <f aca="false">OFFSET(tbl_LoC,78,19,1,1)</f>
        <v>0</v>
      </c>
      <c r="O79" s="15"/>
      <c r="P79" s="13"/>
      <c r="Q79" s="13" t="n">
        <v>165</v>
      </c>
      <c r="R79" s="13"/>
      <c r="S79" s="16"/>
      <c r="T79" s="11"/>
      <c r="U79" s="11"/>
      <c r="V79" s="14" t="e">
        <f aca="false">OFFSET(tbl_LoC,78,21,1,1)*OFFSET(tbl_LoC,78,20,1,1)</f>
        <v>#VALUE!</v>
      </c>
      <c r="W79" s="17" t="n">
        <v>103</v>
      </c>
      <c r="X79" s="14" t="n">
        <f aca="false">Y79/(1-0.15)/(1-0.6)</f>
        <v>5000</v>
      </c>
      <c r="Y79" s="18" t="n">
        <v>1700</v>
      </c>
      <c r="Z79" s="19" t="n">
        <f aca="false">OFFSET(tbl_LoC,78,22,1,1)*OFFSET(tbl_LoC,78,20,1,1)</f>
        <v>0</v>
      </c>
      <c r="AA79" s="13" t="e">
        <f aca="false">VLOOKUP(OFFSET(tbl_LoC,78,10,1,1),'[1]List of components'!$C$1:$F$1048576,2,FALSE())</f>
        <v>#N/A</v>
      </c>
      <c r="AB79" s="13"/>
      <c r="AC79" s="13"/>
    </row>
    <row r="80" customFormat="false" ht="15" hidden="false" customHeight="false" outlineLevel="0" collapsed="false">
      <c r="A80" s="11"/>
      <c r="B80" s="11"/>
      <c r="C80" s="11" t="s">
        <v>2</v>
      </c>
      <c r="D80" s="11"/>
      <c r="E80" s="11"/>
      <c r="F80" s="11"/>
      <c r="G80" s="11" t="s">
        <v>6</v>
      </c>
      <c r="H80" s="11"/>
      <c r="I80" s="11"/>
      <c r="J80" s="13" t="s">
        <v>94</v>
      </c>
      <c r="K80" s="13" t="s">
        <v>170</v>
      </c>
      <c r="L80" s="13" t="s">
        <v>215</v>
      </c>
      <c r="M80" s="13" t="s">
        <v>216</v>
      </c>
      <c r="N80" s="14" t="n">
        <f aca="false">OFFSET(tbl_LoC,79,19,1,1)</f>
        <v>0</v>
      </c>
      <c r="O80" s="15"/>
      <c r="P80" s="13"/>
      <c r="Q80" s="13" t="n">
        <v>205</v>
      </c>
      <c r="R80" s="13"/>
      <c r="S80" s="16"/>
      <c r="T80" s="11"/>
      <c r="U80" s="11"/>
      <c r="V80" s="14" t="e">
        <f aca="false">OFFSET(tbl_LoC,79,21,1,1)*OFFSET(tbl_LoC,79,20,1,1)</f>
        <v>#VALUE!</v>
      </c>
      <c r="W80" s="17" t="n">
        <v>103</v>
      </c>
      <c r="X80" s="14" t="n">
        <f aca="false">Y80/(1-0.15)/(1-0.6)</f>
        <v>6029.41176470588</v>
      </c>
      <c r="Y80" s="18" t="n">
        <v>2050</v>
      </c>
      <c r="Z80" s="19" t="n">
        <f aca="false">OFFSET(tbl_LoC,79,22,1,1)*OFFSET(tbl_LoC,79,20,1,1)</f>
        <v>0</v>
      </c>
      <c r="AA80" s="13" t="e">
        <f aca="false">VLOOKUP(OFFSET(tbl_LoC,79,10,1,1),'[1]List of components'!$C$1:$F$1048576,2,FALSE())</f>
        <v>#N/A</v>
      </c>
      <c r="AB80" s="13"/>
      <c r="AC80" s="13"/>
    </row>
    <row r="81" customFormat="false" ht="15" hidden="false" customHeight="false" outlineLevel="0" collapsed="false">
      <c r="A81" s="11"/>
      <c r="B81" s="11"/>
      <c r="C81" s="11" t="s">
        <v>2</v>
      </c>
      <c r="D81" s="11"/>
      <c r="E81" s="11"/>
      <c r="F81" s="11"/>
      <c r="G81" s="11" t="s">
        <v>6</v>
      </c>
      <c r="H81" s="11"/>
      <c r="I81" s="11"/>
      <c r="J81" s="13" t="s">
        <v>94</v>
      </c>
      <c r="K81" s="13" t="s">
        <v>170</v>
      </c>
      <c r="L81" s="13" t="s">
        <v>217</v>
      </c>
      <c r="M81" s="13" t="s">
        <v>218</v>
      </c>
      <c r="N81" s="14" t="n">
        <f aca="false">OFFSET(tbl_LoC,80,19,1,1)</f>
        <v>0</v>
      </c>
      <c r="O81" s="15"/>
      <c r="P81" s="13"/>
      <c r="Q81" s="13" t="n">
        <v>230</v>
      </c>
      <c r="R81" s="13"/>
      <c r="S81" s="16"/>
      <c r="T81" s="11"/>
      <c r="U81" s="11"/>
      <c r="V81" s="14" t="e">
        <f aca="false">OFFSET(tbl_LoC,80,21,1,1)*OFFSET(tbl_LoC,80,20,1,1)</f>
        <v>#VALUE!</v>
      </c>
      <c r="W81" s="17" t="n">
        <v>103</v>
      </c>
      <c r="X81" s="14" t="e">
        <f aca="false">Y81/(1-0.15)/(1-0.6)</f>
        <v>#N/A</v>
      </c>
      <c r="Y81" s="18" t="e">
        <f aca="false">VLOOKUP(OFFSET(tbl_LoC,80,10,1,1),'[1]List of components'!$C$1:$F$1048576,3,FALSE())</f>
        <v>#N/A</v>
      </c>
      <c r="Z81" s="19" t="n">
        <f aca="false">OFFSET(tbl_LoC,80,22,1,1)*OFFSET(tbl_LoC,80,20,1,1)</f>
        <v>0</v>
      </c>
      <c r="AA81" s="13" t="e">
        <f aca="false">VLOOKUP(OFFSET(tbl_LoC,80,10,1,1),'[1]List of components'!$C$1:$F$1048576,2,FALSE())</f>
        <v>#N/A</v>
      </c>
      <c r="AB81" s="13"/>
      <c r="AC81" s="13"/>
    </row>
    <row r="82" customFormat="false" ht="15" hidden="false" customHeight="false" outlineLevel="0" collapsed="false">
      <c r="A82" s="11"/>
      <c r="B82" s="11"/>
      <c r="C82" s="11" t="s">
        <v>2</v>
      </c>
      <c r="D82" s="11"/>
      <c r="E82" s="11"/>
      <c r="F82" s="11"/>
      <c r="G82" s="11" t="s">
        <v>6</v>
      </c>
      <c r="H82" s="11"/>
      <c r="I82" s="11"/>
      <c r="J82" s="13" t="s">
        <v>94</v>
      </c>
      <c r="K82" s="13" t="s">
        <v>170</v>
      </c>
      <c r="L82" s="13" t="s">
        <v>219</v>
      </c>
      <c r="M82" s="13" t="s">
        <v>220</v>
      </c>
      <c r="N82" s="14" t="n">
        <f aca="false">OFFSET(tbl_LoC,81,19,1,1)</f>
        <v>0</v>
      </c>
      <c r="O82" s="15"/>
      <c r="P82" s="13"/>
      <c r="Q82" s="13" t="n">
        <v>235</v>
      </c>
      <c r="R82" s="13"/>
      <c r="S82" s="16"/>
      <c r="T82" s="11"/>
      <c r="U82" s="11"/>
      <c r="V82" s="14" t="e">
        <f aca="false">OFFSET(tbl_LoC,81,21,1,1)*OFFSET(tbl_LoC,81,20,1,1)</f>
        <v>#VALUE!</v>
      </c>
      <c r="W82" s="17" t="n">
        <v>103</v>
      </c>
      <c r="X82" s="14" t="n">
        <f aca="false">Y82/(1-0.15)/(1-0.6)</f>
        <v>7058.82352941176</v>
      </c>
      <c r="Y82" s="18" t="n">
        <v>2400</v>
      </c>
      <c r="Z82" s="19" t="n">
        <f aca="false">OFFSET(tbl_LoC,81,22,1,1)*OFFSET(tbl_LoC,81,20,1,1)</f>
        <v>0</v>
      </c>
      <c r="AA82" s="13" t="e">
        <f aca="false">VLOOKUP(OFFSET(tbl_LoC,81,10,1,1),'[1]List of components'!$C$1:$F$1048576,2,FALSE())</f>
        <v>#N/A</v>
      </c>
      <c r="AB82" s="13"/>
      <c r="AC82" s="13"/>
    </row>
    <row r="83" customFormat="false" ht="15" hidden="false" customHeight="false" outlineLevel="0" collapsed="false">
      <c r="A83" s="11"/>
      <c r="B83" s="11"/>
      <c r="C83" s="11" t="s">
        <v>2</v>
      </c>
      <c r="D83" s="11"/>
      <c r="E83" s="11"/>
      <c r="F83" s="11"/>
      <c r="G83" s="11" t="s">
        <v>6</v>
      </c>
      <c r="H83" s="11"/>
      <c r="I83" s="11"/>
      <c r="J83" s="13" t="s">
        <v>94</v>
      </c>
      <c r="K83" s="13" t="s">
        <v>170</v>
      </c>
      <c r="L83" s="13" t="s">
        <v>221</v>
      </c>
      <c r="M83" s="13" t="s">
        <v>222</v>
      </c>
      <c r="N83" s="14" t="n">
        <f aca="false">OFFSET(tbl_LoC,82,19,1,1)</f>
        <v>0</v>
      </c>
      <c r="O83" s="15"/>
      <c r="P83" s="13"/>
      <c r="Q83" s="13" t="n">
        <v>205</v>
      </c>
      <c r="R83" s="13"/>
      <c r="S83" s="16"/>
      <c r="T83" s="11"/>
      <c r="U83" s="11"/>
      <c r="V83" s="14" t="e">
        <f aca="false">OFFSET(tbl_LoC,82,21,1,1)*OFFSET(tbl_LoC,82,20,1,1)</f>
        <v>#VALUE!</v>
      </c>
      <c r="W83" s="17" t="n">
        <v>103</v>
      </c>
      <c r="X83" s="14" t="n">
        <f aca="false">Y83/(1-0.15)/(1-0.6)</f>
        <v>7205.88235294118</v>
      </c>
      <c r="Y83" s="18" t="n">
        <v>2450</v>
      </c>
      <c r="Z83" s="19" t="n">
        <f aca="false">OFFSET(tbl_LoC,82,22,1,1)*OFFSET(tbl_LoC,82,20,1,1)</f>
        <v>0</v>
      </c>
      <c r="AA83" s="13" t="e">
        <f aca="false">VLOOKUP(OFFSET(tbl_LoC,82,10,1,1),'[1]List of components'!$C$1:$F$1048576,2,FALSE())</f>
        <v>#N/A</v>
      </c>
      <c r="AB83" s="13"/>
      <c r="AC83" s="13"/>
    </row>
    <row r="84" customFormat="false" ht="15" hidden="false" customHeight="false" outlineLevel="0" collapsed="false">
      <c r="A84" s="11" t="s">
        <v>0</v>
      </c>
      <c r="B84" s="11" t="s">
        <v>1</v>
      </c>
      <c r="C84" s="11"/>
      <c r="D84" s="11"/>
      <c r="E84" s="11"/>
      <c r="F84" s="11"/>
      <c r="G84" s="11"/>
      <c r="H84" s="11"/>
      <c r="I84" s="11"/>
      <c r="J84" s="13" t="s">
        <v>94</v>
      </c>
      <c r="K84" s="13" t="s">
        <v>170</v>
      </c>
      <c r="L84" s="13" t="s">
        <v>223</v>
      </c>
      <c r="M84" s="13" t="s">
        <v>224</v>
      </c>
      <c r="N84" s="14" t="n">
        <f aca="false">OFFSET(tbl_LoC,83,19,1,1)</f>
        <v>0</v>
      </c>
      <c r="O84" s="15"/>
      <c r="P84" s="13"/>
      <c r="Q84" s="13" t="n">
        <v>85</v>
      </c>
      <c r="R84" s="13"/>
      <c r="S84" s="16"/>
      <c r="T84" s="11"/>
      <c r="U84" s="11"/>
      <c r="V84" s="14" t="e">
        <f aca="false">OFFSET(tbl_LoC,83,21,1,1)*OFFSET(tbl_LoC,83,20,1,1)</f>
        <v>#VALUE!</v>
      </c>
      <c r="W84" s="17" t="n">
        <v>103</v>
      </c>
      <c r="X84" s="14" t="e">
        <f aca="false">Y84/(1-0.15)/(1-0.6)</f>
        <v>#N/A</v>
      </c>
      <c r="Y84" s="18" t="e">
        <f aca="false">VLOOKUP(OFFSET(tbl_LoC,83,10,1,1),'[1]List of components'!$C$1:$F$1048576,3,FALSE())</f>
        <v>#N/A</v>
      </c>
      <c r="Z84" s="19" t="n">
        <f aca="false">OFFSET(tbl_LoC,83,22,1,1)*OFFSET(tbl_LoC,83,20,1,1)</f>
        <v>0</v>
      </c>
      <c r="AA84" s="13" t="e">
        <f aca="false">VLOOKUP(OFFSET(tbl_LoC,83,10,1,1),'[1]List of components'!$C$1:$F$1048576,2,FALSE())</f>
        <v>#N/A</v>
      </c>
      <c r="AB84" s="13"/>
      <c r="AC84" s="13"/>
    </row>
    <row r="85" customFormat="false" ht="15" hidden="false" customHeight="false" outlineLevel="0" collapsed="false">
      <c r="A85" s="11" t="s">
        <v>0</v>
      </c>
      <c r="B85" s="11" t="s">
        <v>1</v>
      </c>
      <c r="C85" s="11"/>
      <c r="D85" s="11"/>
      <c r="E85" s="11"/>
      <c r="F85" s="11"/>
      <c r="G85" s="11"/>
      <c r="H85" s="11"/>
      <c r="I85" s="11"/>
      <c r="J85" s="13" t="s">
        <v>94</v>
      </c>
      <c r="K85" s="13" t="s">
        <v>170</v>
      </c>
      <c r="L85" s="13" t="s">
        <v>225</v>
      </c>
      <c r="M85" s="13" t="s">
        <v>226</v>
      </c>
      <c r="N85" s="14" t="n">
        <f aca="false">OFFSET(tbl_LoC,84,19,1,1)</f>
        <v>0</v>
      </c>
      <c r="O85" s="15"/>
      <c r="P85" s="13"/>
      <c r="Q85" s="13" t="n">
        <v>85</v>
      </c>
      <c r="R85" s="13"/>
      <c r="S85" s="16"/>
      <c r="T85" s="11"/>
      <c r="U85" s="11"/>
      <c r="V85" s="14" t="e">
        <f aca="false">OFFSET(tbl_LoC,84,21,1,1)*OFFSET(tbl_LoC,84,20,1,1)</f>
        <v>#VALUE!</v>
      </c>
      <c r="W85" s="17" t="n">
        <v>103</v>
      </c>
      <c r="X85" s="14" t="e">
        <f aca="false">Y85/(1-0.15)/(1-0.6)</f>
        <v>#N/A</v>
      </c>
      <c r="Y85" s="18" t="e">
        <f aca="false">VLOOKUP(OFFSET(tbl_LoC,84,10,1,1),'[1]List of components'!$C$1:$F$1048576,3,FALSE())</f>
        <v>#N/A</v>
      </c>
      <c r="Z85" s="19" t="n">
        <f aca="false">OFFSET(tbl_LoC,84,22,1,1)*OFFSET(tbl_LoC,84,20,1,1)</f>
        <v>0</v>
      </c>
      <c r="AA85" s="13" t="e">
        <f aca="false">VLOOKUP(OFFSET(tbl_LoC,84,10,1,1),'[1]List of components'!$C$1:$F$1048576,2,FALSE())</f>
        <v>#N/A</v>
      </c>
      <c r="AB85" s="13"/>
      <c r="AC85" s="13"/>
    </row>
    <row r="86" customFormat="false" ht="15" hidden="false" customHeight="false" outlineLevel="0" collapsed="false">
      <c r="A86" s="11" t="s">
        <v>0</v>
      </c>
      <c r="B86" s="11" t="s">
        <v>1</v>
      </c>
      <c r="C86" s="11"/>
      <c r="D86" s="11"/>
      <c r="E86" s="11"/>
      <c r="F86" s="11"/>
      <c r="G86" s="11"/>
      <c r="H86" s="11"/>
      <c r="I86" s="11"/>
      <c r="J86" s="13" t="s">
        <v>94</v>
      </c>
      <c r="K86" s="13" t="s">
        <v>170</v>
      </c>
      <c r="L86" s="13" t="s">
        <v>227</v>
      </c>
      <c r="M86" s="13" t="s">
        <v>228</v>
      </c>
      <c r="N86" s="14" t="n">
        <f aca="false">OFFSET(tbl_LoC,85,19,1,1)</f>
        <v>0</v>
      </c>
      <c r="O86" s="15"/>
      <c r="P86" s="13"/>
      <c r="Q86" s="13" t="n">
        <v>100</v>
      </c>
      <c r="R86" s="13"/>
      <c r="S86" s="16"/>
      <c r="T86" s="11"/>
      <c r="U86" s="11"/>
      <c r="V86" s="14" t="e">
        <f aca="false">OFFSET(tbl_LoC,85,21,1,1)*OFFSET(tbl_LoC,85,20,1,1)</f>
        <v>#VALUE!</v>
      </c>
      <c r="W86" s="17" t="n">
        <v>103</v>
      </c>
      <c r="X86" s="14" t="e">
        <f aca="false">Y86/(1-0.15)/(1-0.6)</f>
        <v>#N/A</v>
      </c>
      <c r="Y86" s="18" t="e">
        <f aca="false">VLOOKUP(OFFSET(tbl_LoC,85,10,1,1),'[1]List of components'!$C$1:$F$1048576,3,FALSE())</f>
        <v>#N/A</v>
      </c>
      <c r="Z86" s="19" t="n">
        <f aca="false">OFFSET(tbl_LoC,85,22,1,1)*OFFSET(tbl_LoC,85,20,1,1)</f>
        <v>0</v>
      </c>
      <c r="AA86" s="13" t="e">
        <f aca="false">VLOOKUP(OFFSET(tbl_LoC,85,10,1,1),'[1]List of components'!$C$1:$F$1048576,2,FALSE())</f>
        <v>#N/A</v>
      </c>
      <c r="AB86" s="13"/>
      <c r="AC86" s="13"/>
    </row>
    <row r="87" customFormat="false" ht="15" hidden="false" customHeight="false" outlineLevel="0" collapsed="false">
      <c r="A87" s="11" t="s">
        <v>0</v>
      </c>
      <c r="B87" s="11" t="s">
        <v>1</v>
      </c>
      <c r="C87" s="11"/>
      <c r="D87" s="11"/>
      <c r="E87" s="11"/>
      <c r="F87" s="11"/>
      <c r="G87" s="11"/>
      <c r="H87" s="11"/>
      <c r="I87" s="11"/>
      <c r="J87" s="13" t="s">
        <v>94</v>
      </c>
      <c r="K87" s="13" t="s">
        <v>170</v>
      </c>
      <c r="L87" s="13" t="s">
        <v>229</v>
      </c>
      <c r="M87" s="13" t="s">
        <v>230</v>
      </c>
      <c r="N87" s="14" t="n">
        <f aca="false">OFFSET(tbl_LoC,86,19,1,1)</f>
        <v>0</v>
      </c>
      <c r="O87" s="15"/>
      <c r="P87" s="13"/>
      <c r="Q87" s="13" t="n">
        <v>85</v>
      </c>
      <c r="R87" s="13"/>
      <c r="S87" s="16"/>
      <c r="T87" s="11"/>
      <c r="U87" s="11"/>
      <c r="V87" s="14" t="e">
        <f aca="false">OFFSET(tbl_LoC,86,21,1,1)*OFFSET(tbl_LoC,86,20,1,1)</f>
        <v>#VALUE!</v>
      </c>
      <c r="W87" s="17" t="n">
        <v>103</v>
      </c>
      <c r="X87" s="14" t="n">
        <f aca="false">Y87/(1-0.15)/(1-0.6)</f>
        <v>1617.64705882353</v>
      </c>
      <c r="Y87" s="18" t="n">
        <v>550</v>
      </c>
      <c r="Z87" s="19" t="n">
        <f aca="false">OFFSET(tbl_LoC,86,22,1,1)*OFFSET(tbl_LoC,86,20,1,1)</f>
        <v>0</v>
      </c>
      <c r="AA87" s="13" t="e">
        <f aca="false">VLOOKUP(OFFSET(tbl_LoC,86,10,1,1),'[1]List of components'!$C$1:$F$1048576,2,FALSE())</f>
        <v>#N/A</v>
      </c>
      <c r="AB87" s="13"/>
      <c r="AC87" s="13"/>
    </row>
    <row r="88" customFormat="false" ht="15" hidden="false" customHeight="false" outlineLevel="0" collapsed="false">
      <c r="A88" s="11" t="s">
        <v>0</v>
      </c>
      <c r="B88" s="11" t="s">
        <v>1</v>
      </c>
      <c r="C88" s="11"/>
      <c r="D88" s="11"/>
      <c r="E88" s="11"/>
      <c r="F88" s="11"/>
      <c r="G88" s="11"/>
      <c r="H88" s="11"/>
      <c r="I88" s="11"/>
      <c r="J88" s="13" t="s">
        <v>94</v>
      </c>
      <c r="K88" s="13" t="s">
        <v>170</v>
      </c>
      <c r="L88" s="13" t="s">
        <v>231</v>
      </c>
      <c r="M88" s="13" t="s">
        <v>232</v>
      </c>
      <c r="N88" s="14" t="n">
        <f aca="false">OFFSET(tbl_LoC,87,19,1,1)</f>
        <v>0</v>
      </c>
      <c r="O88" s="15"/>
      <c r="P88" s="13"/>
      <c r="Q88" s="13" t="n">
        <v>100</v>
      </c>
      <c r="R88" s="13"/>
      <c r="S88" s="16"/>
      <c r="T88" s="11"/>
      <c r="U88" s="11"/>
      <c r="V88" s="14" t="e">
        <f aca="false">OFFSET(tbl_LoC,87,21,1,1)*OFFSET(tbl_LoC,87,20,1,1)</f>
        <v>#VALUE!</v>
      </c>
      <c r="W88" s="17" t="n">
        <v>103</v>
      </c>
      <c r="X88" s="14" t="n">
        <f aca="false">Y88/(1-0.15)/(1-0.6)</f>
        <v>1764.70588235294</v>
      </c>
      <c r="Y88" s="18" t="n">
        <v>600</v>
      </c>
      <c r="Z88" s="19" t="n">
        <f aca="false">OFFSET(tbl_LoC,87,22,1,1)*OFFSET(tbl_LoC,87,20,1,1)</f>
        <v>0</v>
      </c>
      <c r="AA88" s="13" t="e">
        <f aca="false">VLOOKUP(OFFSET(tbl_LoC,87,10,1,1),'[1]List of components'!$C$1:$F$1048576,2,FALSE())</f>
        <v>#N/A</v>
      </c>
      <c r="AB88" s="13"/>
      <c r="AC88" s="13"/>
    </row>
    <row r="89" customFormat="false" ht="15" hidden="false" customHeight="false" outlineLevel="0" collapsed="false">
      <c r="A89" s="11" t="s">
        <v>0</v>
      </c>
      <c r="B89" s="11" t="s">
        <v>1</v>
      </c>
      <c r="C89" s="11"/>
      <c r="D89" s="11"/>
      <c r="E89" s="11"/>
      <c r="F89" s="11"/>
      <c r="G89" s="11"/>
      <c r="H89" s="11"/>
      <c r="I89" s="11"/>
      <c r="J89" s="13" t="s">
        <v>94</v>
      </c>
      <c r="K89" s="13" t="s">
        <v>170</v>
      </c>
      <c r="L89" s="13" t="s">
        <v>233</v>
      </c>
      <c r="M89" s="13" t="s">
        <v>234</v>
      </c>
      <c r="N89" s="14" t="n">
        <f aca="false">OFFSET(tbl_LoC,88,19,1,1)</f>
        <v>0</v>
      </c>
      <c r="O89" s="15"/>
      <c r="P89" s="13"/>
      <c r="Q89" s="13" t="n">
        <v>85</v>
      </c>
      <c r="R89" s="13"/>
      <c r="S89" s="16"/>
      <c r="T89" s="11"/>
      <c r="U89" s="11"/>
      <c r="V89" s="14" t="e">
        <f aca="false">OFFSET(tbl_LoC,88,21,1,1)*OFFSET(tbl_LoC,88,20,1,1)</f>
        <v>#VALUE!</v>
      </c>
      <c r="W89" s="17" t="n">
        <v>103</v>
      </c>
      <c r="X89" s="14" t="n">
        <f aca="false">Y89/(1-0.15)/(1-0.6)</f>
        <v>1882.35294117647</v>
      </c>
      <c r="Y89" s="18" t="n">
        <v>640</v>
      </c>
      <c r="Z89" s="19" t="n">
        <f aca="false">OFFSET(tbl_LoC,88,22,1,1)*OFFSET(tbl_LoC,88,20,1,1)</f>
        <v>0</v>
      </c>
      <c r="AA89" s="13" t="e">
        <f aca="false">VLOOKUP(OFFSET(tbl_LoC,88,10,1,1),'[1]List of components'!$C$1:$F$1048576,2,FALSE())</f>
        <v>#N/A</v>
      </c>
      <c r="AB89" s="13"/>
      <c r="AC89" s="13"/>
    </row>
    <row r="90" customFormat="false" ht="15" hidden="false" customHeight="false" outlineLevel="0" collapsed="false">
      <c r="A90" s="11" t="s">
        <v>0</v>
      </c>
      <c r="B90" s="11" t="s">
        <v>1</v>
      </c>
      <c r="C90" s="11"/>
      <c r="D90" s="11"/>
      <c r="E90" s="11"/>
      <c r="F90" s="11"/>
      <c r="G90" s="11"/>
      <c r="H90" s="11"/>
      <c r="I90" s="11"/>
      <c r="J90" s="13" t="s">
        <v>94</v>
      </c>
      <c r="K90" s="13" t="s">
        <v>170</v>
      </c>
      <c r="L90" s="13" t="s">
        <v>235</v>
      </c>
      <c r="M90" s="13" t="s">
        <v>236</v>
      </c>
      <c r="N90" s="14" t="n">
        <f aca="false">OFFSET(tbl_LoC,89,19,1,1)</f>
        <v>0</v>
      </c>
      <c r="O90" s="15"/>
      <c r="P90" s="13"/>
      <c r="Q90" s="13" t="n">
        <v>130</v>
      </c>
      <c r="R90" s="13"/>
      <c r="S90" s="16"/>
      <c r="T90" s="11"/>
      <c r="U90" s="11"/>
      <c r="V90" s="14" t="e">
        <f aca="false">OFFSET(tbl_LoC,89,21,1,1)*OFFSET(tbl_LoC,89,20,1,1)</f>
        <v>#VALUE!</v>
      </c>
      <c r="W90" s="17" t="n">
        <v>103</v>
      </c>
      <c r="X90" s="14" t="e">
        <f aca="false">Y90/(1-0.15)/(1-0.6)</f>
        <v>#N/A</v>
      </c>
      <c r="Y90" s="18" t="e">
        <f aca="false">VLOOKUP(OFFSET(tbl_LoC,89,10,1,1),'[1]List of components'!$C$1:$F$1048576,3,FALSE())</f>
        <v>#N/A</v>
      </c>
      <c r="Z90" s="19" t="n">
        <f aca="false">OFFSET(tbl_LoC,89,22,1,1)*OFFSET(tbl_LoC,89,20,1,1)</f>
        <v>0</v>
      </c>
      <c r="AA90" s="13" t="e">
        <f aca="false">VLOOKUP(OFFSET(tbl_LoC,89,10,1,1),'[1]List of components'!$C$1:$F$1048576,2,FALSE())</f>
        <v>#N/A</v>
      </c>
      <c r="AB90" s="13"/>
      <c r="AC90" s="13"/>
    </row>
    <row r="91" customFormat="false" ht="15" hidden="false" customHeight="false" outlineLevel="0" collapsed="false">
      <c r="A91" s="11" t="s">
        <v>0</v>
      </c>
      <c r="B91" s="11" t="s">
        <v>1</v>
      </c>
      <c r="C91" s="11"/>
      <c r="D91" s="11"/>
      <c r="E91" s="11"/>
      <c r="F91" s="11"/>
      <c r="G91" s="11"/>
      <c r="H91" s="11"/>
      <c r="I91" s="11"/>
      <c r="J91" s="13" t="s">
        <v>94</v>
      </c>
      <c r="K91" s="13" t="s">
        <v>170</v>
      </c>
      <c r="L91" s="13" t="s">
        <v>237</v>
      </c>
      <c r="M91" s="13" t="s">
        <v>238</v>
      </c>
      <c r="N91" s="14" t="n">
        <f aca="false">OFFSET(tbl_LoC,90,19,1,1)</f>
        <v>0</v>
      </c>
      <c r="O91" s="15"/>
      <c r="P91" s="13"/>
      <c r="Q91" s="13" t="n">
        <v>100</v>
      </c>
      <c r="R91" s="13"/>
      <c r="S91" s="16"/>
      <c r="T91" s="11"/>
      <c r="U91" s="11"/>
      <c r="V91" s="14" t="e">
        <f aca="false">OFFSET(tbl_LoC,90,21,1,1)*OFFSET(tbl_LoC,90,20,1,1)</f>
        <v>#VALUE!</v>
      </c>
      <c r="W91" s="17" t="n">
        <v>103</v>
      </c>
      <c r="X91" s="14" t="n">
        <f aca="false">Y91/(1-0.15)/(1-0.6)</f>
        <v>2500</v>
      </c>
      <c r="Y91" s="18" t="n">
        <v>850</v>
      </c>
      <c r="Z91" s="19" t="n">
        <f aca="false">OFFSET(tbl_LoC,90,22,1,1)*OFFSET(tbl_LoC,90,20,1,1)</f>
        <v>0</v>
      </c>
      <c r="AA91" s="13" t="e">
        <f aca="false">VLOOKUP(OFFSET(tbl_LoC,90,10,1,1),'[1]List of components'!$C$1:$F$1048576,2,FALSE())</f>
        <v>#N/A</v>
      </c>
      <c r="AB91" s="13"/>
      <c r="AC91" s="13"/>
    </row>
    <row r="92" customFormat="false" ht="15" hidden="false" customHeight="false" outlineLevel="0" collapsed="false">
      <c r="A92" s="11"/>
      <c r="B92" s="11"/>
      <c r="C92" s="11" t="s">
        <v>2</v>
      </c>
      <c r="D92" s="11"/>
      <c r="E92" s="11"/>
      <c r="F92" s="11"/>
      <c r="G92" s="11" t="s">
        <v>6</v>
      </c>
      <c r="H92" s="11"/>
      <c r="I92" s="11"/>
      <c r="J92" s="13" t="s">
        <v>94</v>
      </c>
      <c r="K92" s="13" t="s">
        <v>170</v>
      </c>
      <c r="L92" s="13" t="s">
        <v>239</v>
      </c>
      <c r="M92" s="13" t="s">
        <v>240</v>
      </c>
      <c r="N92" s="14" t="n">
        <f aca="false">OFFSET(tbl_LoC,91,19,1,1)</f>
        <v>0</v>
      </c>
      <c r="O92" s="15"/>
      <c r="P92" s="13"/>
      <c r="Q92" s="13" t="n">
        <v>120</v>
      </c>
      <c r="R92" s="13"/>
      <c r="S92" s="16"/>
      <c r="T92" s="11"/>
      <c r="U92" s="11"/>
      <c r="V92" s="14" t="e">
        <f aca="false">OFFSET(tbl_LoC,91,21,1,1)*OFFSET(tbl_LoC,91,20,1,1)</f>
        <v>#VALUE!</v>
      </c>
      <c r="W92" s="17" t="n">
        <v>103</v>
      </c>
      <c r="X92" s="14" t="n">
        <f aca="false">Y92/(1-0.15)/(1-0.6)</f>
        <v>1617.64705882353</v>
      </c>
      <c r="Y92" s="18" t="n">
        <v>550</v>
      </c>
      <c r="Z92" s="19" t="n">
        <f aca="false">OFFSET(tbl_LoC,91,22,1,1)*OFFSET(tbl_LoC,91,20,1,1)</f>
        <v>0</v>
      </c>
      <c r="AA92" s="13" t="e">
        <f aca="false">VLOOKUP(OFFSET(tbl_LoC,91,10,1,1),'[1]List of components'!$C$1:$F$1048576,2,FALSE())</f>
        <v>#N/A</v>
      </c>
      <c r="AB92" s="13"/>
      <c r="AC92" s="13"/>
    </row>
    <row r="93" customFormat="false" ht="15" hidden="false" customHeight="false" outlineLevel="0" collapsed="false">
      <c r="A93" s="11"/>
      <c r="B93" s="11"/>
      <c r="C93" s="11" t="s">
        <v>2</v>
      </c>
      <c r="D93" s="11"/>
      <c r="E93" s="11"/>
      <c r="F93" s="11"/>
      <c r="G93" s="11" t="s">
        <v>6</v>
      </c>
      <c r="H93" s="11"/>
      <c r="I93" s="11"/>
      <c r="J93" s="13" t="s">
        <v>94</v>
      </c>
      <c r="K93" s="13" t="s">
        <v>170</v>
      </c>
      <c r="L93" s="13" t="s">
        <v>241</v>
      </c>
      <c r="M93" s="13" t="s">
        <v>242</v>
      </c>
      <c r="N93" s="14" t="n">
        <f aca="false">OFFSET(tbl_LoC,92,19,1,1)</f>
        <v>0</v>
      </c>
      <c r="O93" s="15"/>
      <c r="P93" s="13"/>
      <c r="Q93" s="13" t="n">
        <v>135</v>
      </c>
      <c r="R93" s="13"/>
      <c r="S93" s="16"/>
      <c r="T93" s="11"/>
      <c r="U93" s="11"/>
      <c r="V93" s="14" t="e">
        <f aca="false">OFFSET(tbl_LoC,92,21,1,1)*OFFSET(tbl_LoC,92,20,1,1)</f>
        <v>#VALUE!</v>
      </c>
      <c r="W93" s="17" t="n">
        <v>103</v>
      </c>
      <c r="X93" s="14" t="e">
        <f aca="false">Y93/(1-0.15)/(1-0.6)</f>
        <v>#N/A</v>
      </c>
      <c r="Y93" s="18" t="e">
        <f aca="false">VLOOKUP(OFFSET(tbl_LoC,92,10,1,1),'[1]List of components'!$C$1:$F$1048576,3,FALSE())</f>
        <v>#N/A</v>
      </c>
      <c r="Z93" s="19" t="n">
        <f aca="false">OFFSET(tbl_LoC,92,22,1,1)*OFFSET(tbl_LoC,92,20,1,1)</f>
        <v>0</v>
      </c>
      <c r="AA93" s="13" t="e">
        <f aca="false">VLOOKUP(OFFSET(tbl_LoC,92,10,1,1),'[1]List of components'!$C$1:$F$1048576,2,FALSE())</f>
        <v>#N/A</v>
      </c>
      <c r="AB93" s="13"/>
      <c r="AC93" s="13"/>
    </row>
    <row r="94" customFormat="false" ht="15" hidden="false" customHeight="false" outlineLevel="0" collapsed="false">
      <c r="A94" s="11"/>
      <c r="B94" s="11"/>
      <c r="C94" s="11" t="s">
        <v>2</v>
      </c>
      <c r="D94" s="11"/>
      <c r="E94" s="11"/>
      <c r="F94" s="11"/>
      <c r="G94" s="11" t="s">
        <v>6</v>
      </c>
      <c r="H94" s="11"/>
      <c r="I94" s="11"/>
      <c r="J94" s="13" t="s">
        <v>94</v>
      </c>
      <c r="K94" s="13" t="s">
        <v>170</v>
      </c>
      <c r="L94" s="13" t="s">
        <v>243</v>
      </c>
      <c r="M94" s="13" t="s">
        <v>244</v>
      </c>
      <c r="N94" s="14" t="n">
        <f aca="false">OFFSET(tbl_LoC,93,19,1,1)</f>
        <v>0</v>
      </c>
      <c r="O94" s="15"/>
      <c r="P94" s="13"/>
      <c r="Q94" s="13" t="n">
        <v>150</v>
      </c>
      <c r="R94" s="13"/>
      <c r="S94" s="16"/>
      <c r="T94" s="11"/>
      <c r="U94" s="11"/>
      <c r="V94" s="14" t="e">
        <f aca="false">OFFSET(tbl_LoC,93,21,1,1)*OFFSET(tbl_LoC,93,20,1,1)</f>
        <v>#VALUE!</v>
      </c>
      <c r="W94" s="17" t="n">
        <v>103</v>
      </c>
      <c r="X94" s="14" t="n">
        <f aca="false">Y94/(1-0.15)/(1-0.6)</f>
        <v>3205.88235294118</v>
      </c>
      <c r="Y94" s="18" t="n">
        <v>1090</v>
      </c>
      <c r="Z94" s="19" t="n">
        <f aca="false">OFFSET(tbl_LoC,93,22,1,1)*OFFSET(tbl_LoC,93,20,1,1)</f>
        <v>0</v>
      </c>
      <c r="AA94" s="13" t="e">
        <f aca="false">VLOOKUP(OFFSET(tbl_LoC,93,10,1,1),'[1]List of components'!$C$1:$F$1048576,2,FALSE())</f>
        <v>#N/A</v>
      </c>
      <c r="AB94" s="13"/>
      <c r="AC94" s="13"/>
    </row>
    <row r="95" customFormat="false" ht="15" hidden="false" customHeight="false" outlineLevel="0" collapsed="false">
      <c r="A95" s="11" t="s">
        <v>0</v>
      </c>
      <c r="B95" s="11" t="s">
        <v>1</v>
      </c>
      <c r="C95" s="11" t="s">
        <v>2</v>
      </c>
      <c r="D95" s="11" t="s">
        <v>3</v>
      </c>
      <c r="E95" s="11"/>
      <c r="F95" s="11"/>
      <c r="G95" s="11" t="s">
        <v>6</v>
      </c>
      <c r="H95" s="11"/>
      <c r="I95" s="11"/>
      <c r="J95" s="13" t="s">
        <v>245</v>
      </c>
      <c r="K95" s="13"/>
      <c r="L95" s="13" t="s">
        <v>246</v>
      </c>
      <c r="M95" s="13" t="s">
        <v>247</v>
      </c>
      <c r="N95" s="14" t="n">
        <f aca="false">OFFSET(tbl_LoC,94,19,1,1)</f>
        <v>0</v>
      </c>
      <c r="O95" s="15"/>
      <c r="P95" s="13"/>
      <c r="Q95" s="13" t="n">
        <v>6</v>
      </c>
      <c r="R95" s="13"/>
      <c r="S95" s="16"/>
      <c r="T95" s="11"/>
      <c r="U95" s="11"/>
      <c r="V95" s="14" t="e">
        <f aca="false">OFFSET(tbl_LoC,94,21,1,1)*OFFSET(tbl_LoC,94,20,1,1)</f>
        <v>#VALUE!</v>
      </c>
      <c r="W95" s="17" t="n">
        <v>103</v>
      </c>
      <c r="X95" s="14" t="n">
        <f aca="false">Y95/(1-0.15)/(1-0.6)</f>
        <v>2794.11764705882</v>
      </c>
      <c r="Y95" s="18" t="n">
        <v>950</v>
      </c>
      <c r="Z95" s="19" t="n">
        <f aca="false">OFFSET(tbl_LoC,94,22,1,1)*OFFSET(tbl_LoC,94,20,1,1)</f>
        <v>0</v>
      </c>
      <c r="AA95" s="13" t="str">
        <f aca="false">VLOOKUP(OFFSET(tbl_LoC,94,10,1,1),'[1]List of components'!$C$1:$F$1048576,2,FALSE())</f>
        <v/>
      </c>
      <c r="AB95" s="13"/>
      <c r="AC95" s="13"/>
    </row>
    <row r="96" customFormat="false" ht="15" hidden="false" customHeight="false" outlineLevel="0" collapsed="false">
      <c r="A96" s="11" t="s">
        <v>0</v>
      </c>
      <c r="B96" s="11" t="s">
        <v>1</v>
      </c>
      <c r="C96" s="11" t="s">
        <v>2</v>
      </c>
      <c r="D96" s="11" t="s">
        <v>3</v>
      </c>
      <c r="E96" s="11"/>
      <c r="F96" s="11" t="s">
        <v>5</v>
      </c>
      <c r="G96" s="11" t="s">
        <v>6</v>
      </c>
      <c r="H96" s="11"/>
      <c r="I96" s="11"/>
      <c r="J96" s="13" t="s">
        <v>245</v>
      </c>
      <c r="K96" s="13"/>
      <c r="L96" s="13" t="s">
        <v>248</v>
      </c>
      <c r="M96" s="13" t="s">
        <v>249</v>
      </c>
      <c r="N96" s="14" t="n">
        <f aca="false">OFFSET(tbl_LoC,95,19,1,1)</f>
        <v>0</v>
      </c>
      <c r="O96" s="15"/>
      <c r="P96" s="13"/>
      <c r="Q96" s="13" t="n">
        <v>6</v>
      </c>
      <c r="R96" s="13"/>
      <c r="S96" s="16"/>
      <c r="T96" s="11"/>
      <c r="U96" s="11"/>
      <c r="V96" s="14" t="e">
        <f aca="false">OFFSET(tbl_LoC,95,21,1,1)*OFFSET(tbl_LoC,95,20,1,1)</f>
        <v>#VALUE!</v>
      </c>
      <c r="W96" s="17" t="n">
        <v>103</v>
      </c>
      <c r="X96" s="14" t="n">
        <f aca="false">Y96/(1-0.15)/(1-0.6)</f>
        <v>191.176470588235</v>
      </c>
      <c r="Y96" s="18" t="n">
        <v>65</v>
      </c>
      <c r="Z96" s="19" t="n">
        <f aca="false">OFFSET(tbl_LoC,95,22,1,1)*OFFSET(tbl_LoC,95,20,1,1)</f>
        <v>0</v>
      </c>
      <c r="AA96" s="13" t="str">
        <f aca="false">VLOOKUP(OFFSET(tbl_LoC,95,10,1,1),'[1]List of components'!$C$1:$F$1048576,2,FALSE())</f>
        <v/>
      </c>
      <c r="AB96" s="13"/>
      <c r="AC96" s="13"/>
    </row>
    <row r="97" customFormat="false" ht="15" hidden="false" customHeight="false" outlineLevel="0" collapsed="false">
      <c r="A97" s="11" t="s">
        <v>0</v>
      </c>
      <c r="B97" s="11" t="s">
        <v>1</v>
      </c>
      <c r="C97" s="11" t="s">
        <v>2</v>
      </c>
      <c r="D97" s="11" t="s">
        <v>3</v>
      </c>
      <c r="E97" s="11"/>
      <c r="F97" s="11" t="s">
        <v>5</v>
      </c>
      <c r="G97" s="11" t="s">
        <v>6</v>
      </c>
      <c r="H97" s="11"/>
      <c r="I97" s="11"/>
      <c r="J97" s="13" t="s">
        <v>245</v>
      </c>
      <c r="K97" s="13"/>
      <c r="L97" s="13" t="s">
        <v>250</v>
      </c>
      <c r="M97" s="13" t="s">
        <v>251</v>
      </c>
      <c r="N97" s="14" t="n">
        <f aca="false">OFFSET(tbl_LoC,96,19,1,1)</f>
        <v>0</v>
      </c>
      <c r="O97" s="15"/>
      <c r="P97" s="13"/>
      <c r="Q97" s="13" t="n">
        <v>6</v>
      </c>
      <c r="R97" s="13"/>
      <c r="S97" s="16"/>
      <c r="T97" s="11"/>
      <c r="U97" s="11"/>
      <c r="V97" s="14" t="e">
        <f aca="false">OFFSET(tbl_LoC,96,21,1,1)*OFFSET(tbl_LoC,96,20,1,1)</f>
        <v>#VALUE!</v>
      </c>
      <c r="W97" s="17" t="n">
        <v>103</v>
      </c>
      <c r="X97" s="14" t="n">
        <f aca="false">Y97/(1-0.15)/(1-0.6)</f>
        <v>255.882352941176</v>
      </c>
      <c r="Y97" s="18" t="n">
        <v>87</v>
      </c>
      <c r="Z97" s="19" t="n">
        <f aca="false">OFFSET(tbl_LoC,96,22,1,1)*OFFSET(tbl_LoC,96,20,1,1)</f>
        <v>0</v>
      </c>
      <c r="AA97" s="13" t="str">
        <f aca="false">VLOOKUP(OFFSET(tbl_LoC,96,10,1,1),'[1]List of components'!$C$1:$F$1048576,2,FALSE())</f>
        <v/>
      </c>
      <c r="AB97" s="13"/>
      <c r="AC97" s="13"/>
    </row>
    <row r="98" customFormat="false" ht="15" hidden="false" customHeight="false" outlineLevel="0" collapsed="false">
      <c r="A98" s="11" t="s">
        <v>0</v>
      </c>
      <c r="B98" s="11" t="s">
        <v>1</v>
      </c>
      <c r="C98" s="11" t="s">
        <v>2</v>
      </c>
      <c r="D98" s="11" t="s">
        <v>3</v>
      </c>
      <c r="E98" s="11"/>
      <c r="F98" s="11" t="s">
        <v>5</v>
      </c>
      <c r="G98" s="11" t="s">
        <v>6</v>
      </c>
      <c r="H98" s="11"/>
      <c r="I98" s="11"/>
      <c r="J98" s="13" t="s">
        <v>245</v>
      </c>
      <c r="K98" s="13"/>
      <c r="L98" s="13" t="s">
        <v>252</v>
      </c>
      <c r="M98" s="13" t="s">
        <v>253</v>
      </c>
      <c r="N98" s="14" t="n">
        <f aca="false">OFFSET(tbl_LoC,97,19,1,1)</f>
        <v>0</v>
      </c>
      <c r="O98" s="15"/>
      <c r="P98" s="13"/>
      <c r="Q98" s="13" t="n">
        <v>6</v>
      </c>
      <c r="R98" s="13"/>
      <c r="S98" s="16"/>
      <c r="T98" s="11"/>
      <c r="U98" s="11"/>
      <c r="V98" s="14" t="e">
        <f aca="false">OFFSET(tbl_LoC,97,21,1,1)*OFFSET(tbl_LoC,97,20,1,1)</f>
        <v>#VALUE!</v>
      </c>
      <c r="W98" s="17" t="n">
        <v>103</v>
      </c>
      <c r="X98" s="14" t="n">
        <f aca="false">Y98/(1-0.15)/(1-0.6)</f>
        <v>538.235294117647</v>
      </c>
      <c r="Y98" s="18" t="n">
        <v>183</v>
      </c>
      <c r="Z98" s="19" t="n">
        <f aca="false">OFFSET(tbl_LoC,97,22,1,1)*OFFSET(tbl_LoC,97,20,1,1)</f>
        <v>0</v>
      </c>
      <c r="AA98" s="13" t="str">
        <f aca="false">VLOOKUP(OFFSET(tbl_LoC,97,10,1,1),'[1]List of components'!$C$1:$F$1048576,2,FALSE())</f>
        <v/>
      </c>
      <c r="AB98" s="13"/>
      <c r="AC98" s="13"/>
    </row>
    <row r="99" customFormat="false" ht="15" hidden="false" customHeight="false" outlineLevel="0" collapsed="false">
      <c r="A99" s="11" t="s">
        <v>0</v>
      </c>
      <c r="B99" s="11" t="s">
        <v>1</v>
      </c>
      <c r="C99" s="11" t="s">
        <v>2</v>
      </c>
      <c r="D99" s="11" t="s">
        <v>3</v>
      </c>
      <c r="E99" s="11"/>
      <c r="F99" s="11" t="s">
        <v>5</v>
      </c>
      <c r="G99" s="11" t="s">
        <v>6</v>
      </c>
      <c r="H99" s="11"/>
      <c r="I99" s="11"/>
      <c r="J99" s="13" t="s">
        <v>245</v>
      </c>
      <c r="K99" s="13"/>
      <c r="L99" s="13" t="s">
        <v>254</v>
      </c>
      <c r="M99" s="13" t="s">
        <v>255</v>
      </c>
      <c r="N99" s="14" t="n">
        <f aca="false">OFFSET(tbl_LoC,98,19,1,1)</f>
        <v>0</v>
      </c>
      <c r="O99" s="15"/>
      <c r="P99" s="13"/>
      <c r="Q99" s="13" t="n">
        <v>6</v>
      </c>
      <c r="R99" s="13"/>
      <c r="S99" s="16"/>
      <c r="T99" s="11"/>
      <c r="U99" s="11"/>
      <c r="V99" s="14" t="e">
        <f aca="false">OFFSET(tbl_LoC,98,21,1,1)*OFFSET(tbl_LoC,98,20,1,1)</f>
        <v>#VALUE!</v>
      </c>
      <c r="W99" s="17" t="n">
        <v>103</v>
      </c>
      <c r="X99" s="14" t="n">
        <f aca="false">Y99/(1-0.15)/(1-0.6)</f>
        <v>102.941176470588</v>
      </c>
      <c r="Y99" s="18" t="n">
        <v>35</v>
      </c>
      <c r="Z99" s="19" t="n">
        <f aca="false">OFFSET(tbl_LoC,98,22,1,1)*OFFSET(tbl_LoC,98,20,1,1)</f>
        <v>0</v>
      </c>
      <c r="AA99" s="13" t="str">
        <f aca="false">VLOOKUP(OFFSET(tbl_LoC,98,10,1,1),'[1]List of components'!$C$1:$F$1048576,2,FALSE())</f>
        <v/>
      </c>
      <c r="AB99" s="13"/>
      <c r="AC99" s="13"/>
    </row>
    <row r="100" customFormat="false" ht="15" hidden="false" customHeight="false" outlineLevel="0" collapsed="false">
      <c r="A100" s="11" t="s">
        <v>0</v>
      </c>
      <c r="B100" s="11" t="s">
        <v>1</v>
      </c>
      <c r="C100" s="11" t="s">
        <v>2</v>
      </c>
      <c r="D100" s="11" t="s">
        <v>3</v>
      </c>
      <c r="E100" s="11"/>
      <c r="F100" s="11" t="s">
        <v>5</v>
      </c>
      <c r="G100" s="11" t="s">
        <v>6</v>
      </c>
      <c r="H100" s="11"/>
      <c r="I100" s="11"/>
      <c r="J100" s="13" t="s">
        <v>256</v>
      </c>
      <c r="K100" s="13" t="s">
        <v>257</v>
      </c>
      <c r="L100" s="13" t="s">
        <v>258</v>
      </c>
      <c r="M100" s="13" t="s">
        <v>259</v>
      </c>
      <c r="N100" s="14" t="n">
        <f aca="false">OFFSET(tbl_LoC,99,19,1,1)</f>
        <v>0</v>
      </c>
      <c r="O100" s="15"/>
      <c r="P100" s="13"/>
      <c r="Q100" s="13" t="n">
        <v>9</v>
      </c>
      <c r="R100" s="13"/>
      <c r="S100" s="16"/>
      <c r="T100" s="11"/>
      <c r="U100" s="11"/>
      <c r="V100" s="14" t="e">
        <f aca="false">OFFSET(tbl_LoC,99,21,1,1)*OFFSET(tbl_LoC,99,20,1,1)</f>
        <v>#VALUE!</v>
      </c>
      <c r="W100" s="17" t="n">
        <v>103</v>
      </c>
      <c r="X100" s="14" t="n">
        <f aca="false">Y100/(1-0.15)/(1-0.6)</f>
        <v>882.352941176471</v>
      </c>
      <c r="Y100" s="18" t="n">
        <v>300</v>
      </c>
      <c r="Z100" s="19" t="n">
        <f aca="false">OFFSET(tbl_LoC,99,22,1,1)*OFFSET(tbl_LoC,99,20,1,1)</f>
        <v>0</v>
      </c>
      <c r="AA100" s="13" t="e">
        <f aca="false">VLOOKUP(OFFSET(tbl_LoC,99,10,1,1),'[1]List of components'!$C$1:$F$1048576,2,FALSE())</f>
        <v>#N/A</v>
      </c>
      <c r="AB100" s="13"/>
      <c r="AC100" s="13"/>
    </row>
    <row r="101" customFormat="false" ht="15" hidden="false" customHeight="false" outlineLevel="0" collapsed="false">
      <c r="A101" s="11" t="s">
        <v>0</v>
      </c>
      <c r="B101" s="11" t="s">
        <v>1</v>
      </c>
      <c r="C101" s="11" t="s">
        <v>2</v>
      </c>
      <c r="D101" s="11" t="s">
        <v>3</v>
      </c>
      <c r="E101" s="11"/>
      <c r="F101" s="11" t="s">
        <v>5</v>
      </c>
      <c r="G101" s="11" t="s">
        <v>6</v>
      </c>
      <c r="H101" s="11"/>
      <c r="I101" s="11"/>
      <c r="J101" s="13" t="s">
        <v>256</v>
      </c>
      <c r="K101" s="13" t="s">
        <v>257</v>
      </c>
      <c r="L101" s="13" t="s">
        <v>260</v>
      </c>
      <c r="M101" s="13" t="s">
        <v>261</v>
      </c>
      <c r="N101" s="14" t="n">
        <f aca="false">OFFSET(tbl_LoC,100,19,1,1)</f>
        <v>0</v>
      </c>
      <c r="O101" s="15"/>
      <c r="P101" s="13"/>
      <c r="Q101" s="13" t="n">
        <v>13</v>
      </c>
      <c r="R101" s="13"/>
      <c r="S101" s="16"/>
      <c r="T101" s="11"/>
      <c r="U101" s="11"/>
      <c r="V101" s="14" t="e">
        <f aca="false">OFFSET(tbl_LoC,100,21,1,1)*OFFSET(tbl_LoC,100,20,1,1)</f>
        <v>#VALUE!</v>
      </c>
      <c r="W101" s="17" t="n">
        <v>103</v>
      </c>
      <c r="X101" s="14" t="n">
        <f aca="false">Y101/(1-0.15)/(1-0.6)</f>
        <v>1882.35294117647</v>
      </c>
      <c r="Y101" s="18" t="n">
        <v>640</v>
      </c>
      <c r="Z101" s="19" t="n">
        <f aca="false">OFFSET(tbl_LoC,100,22,1,1)*OFFSET(tbl_LoC,100,20,1,1)</f>
        <v>0</v>
      </c>
      <c r="AA101" s="13" t="e">
        <f aca="false">VLOOKUP(OFFSET(tbl_LoC,100,10,1,1),'[1]List of components'!$C$1:$F$1048576,2,FALSE())</f>
        <v>#N/A</v>
      </c>
      <c r="AB101" s="13"/>
      <c r="AC101" s="13"/>
    </row>
    <row r="102" customFormat="false" ht="15" hidden="false" customHeight="false" outlineLevel="0" collapsed="false">
      <c r="A102" s="11" t="s">
        <v>0</v>
      </c>
      <c r="B102" s="11" t="s">
        <v>1</v>
      </c>
      <c r="C102" s="11" t="s">
        <v>2</v>
      </c>
      <c r="D102" s="11" t="s">
        <v>3</v>
      </c>
      <c r="E102" s="11"/>
      <c r="F102" s="11"/>
      <c r="G102" s="11" t="s">
        <v>6</v>
      </c>
      <c r="H102" s="11"/>
      <c r="I102" s="11"/>
      <c r="J102" s="13" t="s">
        <v>256</v>
      </c>
      <c r="K102" s="13" t="s">
        <v>262</v>
      </c>
      <c r="L102" s="13" t="s">
        <v>263</v>
      </c>
      <c r="M102" s="13" t="s">
        <v>264</v>
      </c>
      <c r="N102" s="14" t="n">
        <f aca="false">OFFSET(tbl_LoC,101,19,1,1)</f>
        <v>0</v>
      </c>
      <c r="O102" s="15"/>
      <c r="P102" s="13"/>
      <c r="Q102" s="13" t="n">
        <v>38</v>
      </c>
      <c r="R102" s="13"/>
      <c r="S102" s="16"/>
      <c r="T102" s="11"/>
      <c r="U102" s="11"/>
      <c r="V102" s="14" t="e">
        <f aca="false">OFFSET(tbl_LoC,101,21,1,1)*OFFSET(tbl_LoC,101,20,1,1)</f>
        <v>#VALUE!</v>
      </c>
      <c r="W102" s="17" t="n">
        <v>103</v>
      </c>
      <c r="X102" s="14" t="e">
        <f aca="false">Y102/(1-0.15)/(1-0.6)</f>
        <v>#N/A</v>
      </c>
      <c r="Y102" s="18" t="e">
        <f aca="false">VLOOKUP(OFFSET(tbl_LoC,101,10,1,1),'[1]List of components'!$C$1:$F$1048576,3,FALSE())</f>
        <v>#N/A</v>
      </c>
      <c r="Z102" s="19" t="n">
        <f aca="false">OFFSET(tbl_LoC,101,22,1,1)*OFFSET(tbl_LoC,101,20,1,1)</f>
        <v>0</v>
      </c>
      <c r="AA102" s="13" t="e">
        <f aca="false">VLOOKUP(OFFSET(tbl_LoC,101,10,1,1),'[1]List of components'!$C$1:$F$1048576,2,FALSE())</f>
        <v>#N/A</v>
      </c>
      <c r="AB102" s="13"/>
      <c r="AC102" s="13"/>
    </row>
    <row r="103" customFormat="false" ht="15" hidden="false" customHeight="false" outlineLevel="0" collapsed="false">
      <c r="A103" s="11" t="s">
        <v>0</v>
      </c>
      <c r="B103" s="11" t="s">
        <v>1</v>
      </c>
      <c r="C103" s="11" t="s">
        <v>2</v>
      </c>
      <c r="D103" s="11" t="s">
        <v>3</v>
      </c>
      <c r="E103" s="11"/>
      <c r="F103" s="11"/>
      <c r="G103" s="11" t="s">
        <v>6</v>
      </c>
      <c r="H103" s="11"/>
      <c r="I103" s="11"/>
      <c r="J103" s="13" t="s">
        <v>256</v>
      </c>
      <c r="K103" s="13" t="s">
        <v>262</v>
      </c>
      <c r="L103" s="13" t="s">
        <v>265</v>
      </c>
      <c r="M103" s="0" t="s">
        <v>266</v>
      </c>
      <c r="N103" s="14" t="n">
        <f aca="false">OFFSET(tbl_LoC,102,19,1,1)</f>
        <v>0</v>
      </c>
      <c r="O103" s="15"/>
      <c r="P103" s="13"/>
      <c r="Q103" s="13" t="n">
        <v>140</v>
      </c>
      <c r="R103" s="13"/>
      <c r="S103" s="16"/>
      <c r="T103" s="11"/>
      <c r="U103" s="11" t="n">
        <v>2</v>
      </c>
      <c r="V103" s="14" t="e">
        <f aca="false">OFFSET(tbl_LoC,102,21,1,1)*OFFSET(tbl_LoC,102,20,1,1)</f>
        <v>#VALUE!</v>
      </c>
      <c r="W103" s="17" t="n">
        <v>103</v>
      </c>
      <c r="X103" s="14" t="n">
        <f aca="false">Y103/(1-0.15)/(1-0.6)</f>
        <v>588.235294117647</v>
      </c>
      <c r="Y103" s="18" t="n">
        <v>200</v>
      </c>
      <c r="Z103" s="19" t="n">
        <f aca="false">OFFSET(tbl_LoC,102,22,1,1)*OFFSET(tbl_LoC,102,20,1,1)</f>
        <v>206</v>
      </c>
      <c r="AA103" s="13" t="e">
        <f aca="false">VLOOKUP(OFFSET(tbl_LoC,102,10,1,1),'[1]List of components'!$C$1:$F$1048576,2,FALSE())</f>
        <v>#N/A</v>
      </c>
      <c r="AB103" s="13"/>
      <c r="AC103" s="13"/>
    </row>
    <row r="104" customFormat="false" ht="15" hidden="false" customHeight="false" outlineLevel="0" collapsed="false">
      <c r="A104" s="11" t="s">
        <v>0</v>
      </c>
      <c r="B104" s="11" t="s">
        <v>1</v>
      </c>
      <c r="C104" s="11" t="s">
        <v>2</v>
      </c>
      <c r="D104" s="11" t="s">
        <v>3</v>
      </c>
      <c r="E104" s="11"/>
      <c r="F104" s="11"/>
      <c r="G104" s="11" t="s">
        <v>6</v>
      </c>
      <c r="H104" s="11"/>
      <c r="I104" s="11"/>
      <c r="J104" s="13" t="s">
        <v>256</v>
      </c>
      <c r="K104" s="13" t="s">
        <v>262</v>
      </c>
      <c r="L104" s="13" t="s">
        <v>267</v>
      </c>
      <c r="M104" s="13" t="s">
        <v>268</v>
      </c>
      <c r="N104" s="14" t="n">
        <f aca="false">OFFSET(tbl_LoC,103,19,1,1)</f>
        <v>0</v>
      </c>
      <c r="O104" s="15"/>
      <c r="P104" s="13"/>
      <c r="Q104" s="13" t="n">
        <v>40</v>
      </c>
      <c r="R104" s="13"/>
      <c r="S104" s="16"/>
      <c r="T104" s="11"/>
      <c r="U104" s="11"/>
      <c r="V104" s="14" t="e">
        <f aca="false">OFFSET(tbl_LoC,103,21,1,1)*OFFSET(tbl_LoC,103,20,1,1)</f>
        <v>#VALUE!</v>
      </c>
      <c r="W104" s="17" t="n">
        <v>103</v>
      </c>
      <c r="X104" s="14" t="e">
        <f aca="false">Y104/(1-0.15)/(1-0.6)</f>
        <v>#N/A</v>
      </c>
      <c r="Y104" s="18" t="e">
        <f aca="false">VLOOKUP(OFFSET(tbl_LoC,103,10,1,1),'[1]List of components'!$C$1:$F$1048576,3,FALSE())</f>
        <v>#N/A</v>
      </c>
      <c r="Z104" s="19" t="n">
        <f aca="false">OFFSET(tbl_LoC,103,22,1,1)*OFFSET(tbl_LoC,103,20,1,1)</f>
        <v>0</v>
      </c>
      <c r="AA104" s="13" t="e">
        <f aca="false">VLOOKUP(OFFSET(tbl_LoC,103,10,1,1),'[1]List of components'!$C$1:$F$1048576,2,FALSE())</f>
        <v>#N/A</v>
      </c>
      <c r="AB104" s="13"/>
      <c r="AC104" s="13"/>
    </row>
    <row r="105" customFormat="false" ht="15" hidden="false" customHeight="false" outlineLevel="0" collapsed="false">
      <c r="A105" s="11" t="s">
        <v>0</v>
      </c>
      <c r="B105" s="11" t="s">
        <v>1</v>
      </c>
      <c r="C105" s="11" t="s">
        <v>2</v>
      </c>
      <c r="D105" s="11" t="s">
        <v>3</v>
      </c>
      <c r="E105" s="11"/>
      <c r="F105" s="11"/>
      <c r="G105" s="11" t="s">
        <v>6</v>
      </c>
      <c r="H105" s="11"/>
      <c r="I105" s="11"/>
      <c r="J105" s="13" t="s">
        <v>256</v>
      </c>
      <c r="K105" s="13" t="s">
        <v>262</v>
      </c>
      <c r="L105" s="13" t="s">
        <v>269</v>
      </c>
      <c r="M105" s="13" t="s">
        <v>270</v>
      </c>
      <c r="N105" s="14" t="n">
        <f aca="false">OFFSET(tbl_LoC,104,19,1,1)</f>
        <v>0</v>
      </c>
      <c r="O105" s="15"/>
      <c r="P105" s="13"/>
      <c r="Q105" s="13" t="n">
        <v>160</v>
      </c>
      <c r="R105" s="13"/>
      <c r="S105" s="16"/>
      <c r="T105" s="11"/>
      <c r="U105" s="11" t="n">
        <v>2</v>
      </c>
      <c r="V105" s="14" t="e">
        <f aca="false">OFFSET(tbl_LoC,104,21,1,1)*OFFSET(tbl_LoC,104,20,1,1)</f>
        <v>#VALUE!</v>
      </c>
      <c r="W105" s="17" t="n">
        <v>103</v>
      </c>
      <c r="X105" s="14" t="e">
        <f aca="false">Y105/(1-0.15)/(1-0.6)</f>
        <v>#N/A</v>
      </c>
      <c r="Y105" s="18" t="e">
        <f aca="false">VLOOKUP(OFFSET(tbl_LoC,104,10,1,1),'[1]List of components'!$C$1:$F$1048576,3,FALSE())</f>
        <v>#N/A</v>
      </c>
      <c r="Z105" s="19" t="n">
        <f aca="false">OFFSET(tbl_LoC,104,22,1,1)*OFFSET(tbl_LoC,104,20,1,1)</f>
        <v>206</v>
      </c>
      <c r="AA105" s="13" t="e">
        <f aca="false">VLOOKUP(OFFSET(tbl_LoC,104,10,1,1),'[1]List of components'!$C$1:$F$1048576,2,FALSE())</f>
        <v>#N/A</v>
      </c>
      <c r="AB105" s="13"/>
      <c r="AC105" s="13"/>
    </row>
    <row r="106" customFormat="false" ht="15" hidden="false" customHeight="false" outlineLevel="0" collapsed="false">
      <c r="A106" s="11" t="s">
        <v>0</v>
      </c>
      <c r="B106" s="11" t="s">
        <v>1</v>
      </c>
      <c r="C106" s="11" t="s">
        <v>2</v>
      </c>
      <c r="D106" s="11" t="s">
        <v>3</v>
      </c>
      <c r="E106" s="11"/>
      <c r="F106" s="11"/>
      <c r="G106" s="11" t="s">
        <v>6</v>
      </c>
      <c r="H106" s="11"/>
      <c r="I106" s="11"/>
      <c r="J106" s="13" t="s">
        <v>256</v>
      </c>
      <c r="K106" s="13" t="s">
        <v>262</v>
      </c>
      <c r="L106" s="13" t="s">
        <v>271</v>
      </c>
      <c r="M106" s="13" t="s">
        <v>272</v>
      </c>
      <c r="N106" s="14" t="n">
        <f aca="false">OFFSET(tbl_LoC,105,19,1,1)</f>
        <v>0</v>
      </c>
      <c r="O106" s="15"/>
      <c r="P106" s="13"/>
      <c r="Q106" s="13" t="n">
        <v>250</v>
      </c>
      <c r="R106" s="13"/>
      <c r="S106" s="16"/>
      <c r="T106" s="11"/>
      <c r="U106" s="11" t="n">
        <v>2</v>
      </c>
      <c r="V106" s="14" t="e">
        <f aca="false">OFFSET(tbl_LoC,105,21,1,1)*OFFSET(tbl_LoC,105,20,1,1)</f>
        <v>#VALUE!</v>
      </c>
      <c r="W106" s="17" t="n">
        <v>103</v>
      </c>
      <c r="X106" s="14" t="e">
        <f aca="false">Y106/(1-0.15)/(1-0.6)</f>
        <v>#N/A</v>
      </c>
      <c r="Y106" s="18" t="e">
        <f aca="false">VLOOKUP(OFFSET(tbl_LoC,105,10,1,1),'[1]List of components'!$C$1:$F$1048576,3,FALSE())</f>
        <v>#N/A</v>
      </c>
      <c r="Z106" s="19" t="n">
        <f aca="false">OFFSET(tbl_LoC,105,22,1,1)*OFFSET(tbl_LoC,105,20,1,1)</f>
        <v>206</v>
      </c>
      <c r="AA106" s="13" t="e">
        <f aca="false">VLOOKUP(OFFSET(tbl_LoC,105,10,1,1),'[1]List of components'!$C$1:$F$1048576,2,FALSE())</f>
        <v>#N/A</v>
      </c>
      <c r="AB106" s="13"/>
      <c r="AC106" s="13"/>
    </row>
    <row r="107" customFormat="false" ht="15" hidden="false" customHeight="false" outlineLevel="0" collapsed="false">
      <c r="A107" s="11" t="s">
        <v>0</v>
      </c>
      <c r="B107" s="11" t="s">
        <v>1</v>
      </c>
      <c r="C107" s="11" t="s">
        <v>2</v>
      </c>
      <c r="D107" s="11" t="s">
        <v>3</v>
      </c>
      <c r="E107" s="11"/>
      <c r="F107" s="11"/>
      <c r="G107" s="11" t="s">
        <v>6</v>
      </c>
      <c r="H107" s="11"/>
      <c r="I107" s="11"/>
      <c r="J107" s="13" t="s">
        <v>256</v>
      </c>
      <c r="K107" s="13" t="s">
        <v>262</v>
      </c>
      <c r="L107" s="13" t="s">
        <v>273</v>
      </c>
      <c r="M107" s="13" t="s">
        <v>274</v>
      </c>
      <c r="N107" s="14" t="n">
        <f aca="false">OFFSET(tbl_LoC,106,19,1,1)</f>
        <v>0</v>
      </c>
      <c r="O107" s="15"/>
      <c r="P107" s="13"/>
      <c r="Q107" s="13" t="n">
        <v>300</v>
      </c>
      <c r="R107" s="13"/>
      <c r="S107" s="16"/>
      <c r="T107" s="11"/>
      <c r="U107" s="11" t="n">
        <v>2</v>
      </c>
      <c r="V107" s="14" t="e">
        <f aca="false">OFFSET(tbl_LoC,106,21,1,1)*OFFSET(tbl_LoC,106,20,1,1)</f>
        <v>#VALUE!</v>
      </c>
      <c r="W107" s="17" t="n">
        <v>103</v>
      </c>
      <c r="X107" s="14" t="n">
        <f aca="false">Y107/(1-0.15)/(1-0.6)</f>
        <v>3823.52941176471</v>
      </c>
      <c r="Y107" s="18" t="n">
        <v>1300</v>
      </c>
      <c r="Z107" s="19" t="n">
        <f aca="false">OFFSET(tbl_LoC,106,22,1,1)*OFFSET(tbl_LoC,106,20,1,1)</f>
        <v>206</v>
      </c>
      <c r="AA107" s="13" t="e">
        <f aca="false">VLOOKUP(OFFSET(tbl_LoC,106,10,1,1),'[1]List of components'!$C$1:$F$1048576,2,FALSE())</f>
        <v>#N/A</v>
      </c>
      <c r="AB107" s="13"/>
      <c r="AC107" s="13"/>
    </row>
    <row r="108" customFormat="false" ht="15" hidden="false" customHeight="false" outlineLevel="0" collapsed="false">
      <c r="A108" s="11" t="s">
        <v>0</v>
      </c>
      <c r="B108" s="11" t="s">
        <v>1</v>
      </c>
      <c r="C108" s="11" t="s">
        <v>2</v>
      </c>
      <c r="D108" s="11" t="s">
        <v>3</v>
      </c>
      <c r="E108" s="11"/>
      <c r="F108" s="11"/>
      <c r="G108" s="11" t="s">
        <v>6</v>
      </c>
      <c r="H108" s="11"/>
      <c r="I108" s="11"/>
      <c r="J108" s="13" t="s">
        <v>256</v>
      </c>
      <c r="K108" s="13" t="s">
        <v>262</v>
      </c>
      <c r="L108" s="13" t="s">
        <v>275</v>
      </c>
      <c r="M108" s="13" t="s">
        <v>276</v>
      </c>
      <c r="N108" s="14" t="n">
        <f aca="false">OFFSET(tbl_LoC,107,19,1,1)</f>
        <v>0</v>
      </c>
      <c r="O108" s="15"/>
      <c r="P108" s="13"/>
      <c r="Q108" s="13" t="n">
        <v>70</v>
      </c>
      <c r="R108" s="13"/>
      <c r="S108" s="16"/>
      <c r="T108" s="11"/>
      <c r="U108" s="11"/>
      <c r="V108" s="14" t="e">
        <f aca="false">OFFSET(tbl_LoC,107,21,1,1)*OFFSET(tbl_LoC,107,20,1,1)</f>
        <v>#VALUE!</v>
      </c>
      <c r="W108" s="17" t="n">
        <v>103</v>
      </c>
      <c r="X108" s="14" t="n">
        <f aca="false">Y108/(1-0.15)/(1-0.6)</f>
        <v>3882.35294117647</v>
      </c>
      <c r="Y108" s="18" t="n">
        <v>1320</v>
      </c>
      <c r="Z108" s="19" t="n">
        <f aca="false">OFFSET(tbl_LoC,107,22,1,1)*OFFSET(tbl_LoC,107,20,1,1)</f>
        <v>0</v>
      </c>
      <c r="AA108" s="13" t="e">
        <f aca="false">VLOOKUP(OFFSET(tbl_LoC,107,10,1,1),'[1]List of components'!$C$1:$F$1048576,2,FALSE())</f>
        <v>#N/A</v>
      </c>
      <c r="AB108" s="13"/>
      <c r="AC108" s="13"/>
    </row>
    <row r="109" customFormat="false" ht="15" hidden="false" customHeight="false" outlineLevel="0" collapsed="false">
      <c r="A109" s="11" t="s">
        <v>0</v>
      </c>
      <c r="B109" s="11" t="s">
        <v>1</v>
      </c>
      <c r="C109" s="11" t="s">
        <v>2</v>
      </c>
      <c r="D109" s="11" t="s">
        <v>3</v>
      </c>
      <c r="E109" s="11"/>
      <c r="F109" s="11"/>
      <c r="G109" s="11" t="s">
        <v>6</v>
      </c>
      <c r="H109" s="11"/>
      <c r="I109" s="11"/>
      <c r="J109" s="13" t="s">
        <v>256</v>
      </c>
      <c r="K109" s="13" t="s">
        <v>262</v>
      </c>
      <c r="L109" s="13" t="s">
        <v>277</v>
      </c>
      <c r="M109" s="13" t="s">
        <v>278</v>
      </c>
      <c r="N109" s="14" t="n">
        <f aca="false">OFFSET(tbl_LoC,108,19,1,1)</f>
        <v>0</v>
      </c>
      <c r="O109" s="15"/>
      <c r="P109" s="13"/>
      <c r="Q109" s="13" t="n">
        <v>160</v>
      </c>
      <c r="R109" s="13"/>
      <c r="S109" s="16"/>
      <c r="T109" s="11"/>
      <c r="U109" s="11"/>
      <c r="V109" s="14" t="e">
        <f aca="false">OFFSET(tbl_LoC,108,21,1,1)*OFFSET(tbl_LoC,108,20,1,1)</f>
        <v>#VALUE!</v>
      </c>
      <c r="W109" s="17" t="n">
        <v>103</v>
      </c>
      <c r="X109" s="14" t="n">
        <f aca="false">Y109/(1-0.15)/(1-0.6)</f>
        <v>9117.64705882353</v>
      </c>
      <c r="Y109" s="18" t="n">
        <v>3100</v>
      </c>
      <c r="Z109" s="19" t="n">
        <f aca="false">OFFSET(tbl_LoC,108,22,1,1)*OFFSET(tbl_LoC,108,20,1,1)</f>
        <v>0</v>
      </c>
      <c r="AA109" s="13" t="e">
        <f aca="false">VLOOKUP(OFFSET(tbl_LoC,108,10,1,1),'[1]List of components'!$C$1:$F$1048576,2,FALSE())</f>
        <v>#N/A</v>
      </c>
      <c r="AB109" s="13"/>
      <c r="AC109" s="13"/>
    </row>
    <row r="110" customFormat="false" ht="15" hidden="false" customHeight="false" outlineLevel="0" collapsed="false">
      <c r="A110" s="11" t="s">
        <v>0</v>
      </c>
      <c r="B110" s="11" t="s">
        <v>1</v>
      </c>
      <c r="C110" s="11" t="s">
        <v>2</v>
      </c>
      <c r="D110" s="11" t="s">
        <v>3</v>
      </c>
      <c r="E110" s="11"/>
      <c r="F110" s="11"/>
      <c r="G110" s="11" t="s">
        <v>6</v>
      </c>
      <c r="H110" s="11"/>
      <c r="I110" s="11"/>
      <c r="J110" s="13" t="s">
        <v>256</v>
      </c>
      <c r="K110" s="13" t="s">
        <v>279</v>
      </c>
      <c r="L110" s="13" t="s">
        <v>280</v>
      </c>
      <c r="M110" s="13" t="s">
        <v>281</v>
      </c>
      <c r="N110" s="14" t="n">
        <f aca="false">OFFSET(tbl_LoC,109,19,1,1)</f>
        <v>0</v>
      </c>
      <c r="O110" s="15"/>
      <c r="P110" s="13"/>
      <c r="Q110" s="13" t="n">
        <v>7</v>
      </c>
      <c r="R110" s="13"/>
      <c r="S110" s="16"/>
      <c r="T110" s="11"/>
      <c r="U110" s="11"/>
      <c r="V110" s="14" t="e">
        <f aca="false">OFFSET(tbl_LoC,109,21,1,1)*OFFSET(tbl_LoC,109,20,1,1)</f>
        <v>#VALUE!</v>
      </c>
      <c r="W110" s="17" t="n">
        <v>103</v>
      </c>
      <c r="X110" s="14" t="n">
        <f aca="false">Y110/(1-0.15)/(1-0.6)</f>
        <v>1911.76470588235</v>
      </c>
      <c r="Y110" s="18" t="n">
        <v>650</v>
      </c>
      <c r="Z110" s="19" t="n">
        <f aca="false">OFFSET(tbl_LoC,109,22,1,1)*OFFSET(tbl_LoC,109,20,1,1)</f>
        <v>0</v>
      </c>
      <c r="AA110" s="13" t="e">
        <f aca="false">VLOOKUP(OFFSET(tbl_LoC,109,10,1,1),'[1]List of components'!$C$1:$F$1048576,2,FALSE())</f>
        <v>#N/A</v>
      </c>
      <c r="AB110" s="13"/>
      <c r="AC110" s="13"/>
    </row>
    <row r="111" customFormat="false" ht="15" hidden="false" customHeight="false" outlineLevel="0" collapsed="false">
      <c r="A111" s="11" t="s">
        <v>0</v>
      </c>
      <c r="B111" s="11" t="s">
        <v>1</v>
      </c>
      <c r="C111" s="11" t="s">
        <v>2</v>
      </c>
      <c r="D111" s="11" t="s">
        <v>3</v>
      </c>
      <c r="E111" s="11"/>
      <c r="F111" s="11" t="s">
        <v>5</v>
      </c>
      <c r="G111" s="11" t="s">
        <v>6</v>
      </c>
      <c r="H111" s="11"/>
      <c r="I111" s="11"/>
      <c r="J111" s="13" t="s">
        <v>256</v>
      </c>
      <c r="K111" s="13" t="s">
        <v>279</v>
      </c>
      <c r="L111" s="13" t="s">
        <v>282</v>
      </c>
      <c r="M111" s="13" t="s">
        <v>283</v>
      </c>
      <c r="N111" s="14" t="n">
        <f aca="false">OFFSET(tbl_LoC,110,19,1,1)</f>
        <v>0</v>
      </c>
      <c r="O111" s="15"/>
      <c r="P111" s="13"/>
      <c r="Q111" s="13" t="n">
        <v>5</v>
      </c>
      <c r="R111" s="13"/>
      <c r="S111" s="16"/>
      <c r="T111" s="11"/>
      <c r="U111" s="11"/>
      <c r="V111" s="14" t="e">
        <f aca="false">OFFSET(tbl_LoC,110,21,1,1)*OFFSET(tbl_LoC,110,20,1,1)</f>
        <v>#VALUE!</v>
      </c>
      <c r="W111" s="17" t="n">
        <v>103</v>
      </c>
      <c r="X111" s="14" t="n">
        <f aca="false">Y111/(1-0.15)/(1-0.6)</f>
        <v>500</v>
      </c>
      <c r="Y111" s="18" t="n">
        <v>170</v>
      </c>
      <c r="Z111" s="19" t="n">
        <f aca="false">OFFSET(tbl_LoC,110,22,1,1)*OFFSET(tbl_LoC,110,20,1,1)</f>
        <v>0</v>
      </c>
      <c r="AA111" s="13" t="e">
        <f aca="false">VLOOKUP(OFFSET(tbl_LoC,110,10,1,1),'[1]List of components'!$C$1:$F$1048576,2,FALSE())</f>
        <v>#N/A</v>
      </c>
      <c r="AB111" s="13"/>
      <c r="AC111" s="13"/>
    </row>
    <row r="112" customFormat="false" ht="15" hidden="false" customHeight="false" outlineLevel="0" collapsed="false">
      <c r="A112" s="11" t="s">
        <v>0</v>
      </c>
      <c r="B112" s="11" t="s">
        <v>1</v>
      </c>
      <c r="C112" s="11" t="s">
        <v>2</v>
      </c>
      <c r="D112" s="11" t="s">
        <v>3</v>
      </c>
      <c r="E112" s="11"/>
      <c r="F112" s="11" t="s">
        <v>5</v>
      </c>
      <c r="G112" s="11" t="s">
        <v>6</v>
      </c>
      <c r="H112" s="11"/>
      <c r="I112" s="11"/>
      <c r="J112" s="13" t="s">
        <v>256</v>
      </c>
      <c r="K112" s="13" t="s">
        <v>279</v>
      </c>
      <c r="L112" s="13" t="s">
        <v>284</v>
      </c>
      <c r="M112" s="13" t="s">
        <v>285</v>
      </c>
      <c r="N112" s="14" t="n">
        <f aca="false">OFFSET(tbl_LoC,111,19,1,1)</f>
        <v>0</v>
      </c>
      <c r="O112" s="15"/>
      <c r="P112" s="13"/>
      <c r="Q112" s="13" t="n">
        <v>5</v>
      </c>
      <c r="R112" s="13"/>
      <c r="S112" s="16"/>
      <c r="T112" s="11"/>
      <c r="U112" s="11"/>
      <c r="V112" s="14" t="e">
        <f aca="false">OFFSET(tbl_LoC,111,21,1,1)*OFFSET(tbl_LoC,111,20,1,1)</f>
        <v>#VALUE!</v>
      </c>
      <c r="W112" s="17" t="n">
        <v>103</v>
      </c>
      <c r="X112" s="14" t="n">
        <f aca="false">Y112/(1-0.15)/(1-0.6)</f>
        <v>514.705882352941</v>
      </c>
      <c r="Y112" s="18" t="n">
        <v>175</v>
      </c>
      <c r="Z112" s="19" t="n">
        <f aca="false">OFFSET(tbl_LoC,111,22,1,1)*OFFSET(tbl_LoC,111,20,1,1)</f>
        <v>0</v>
      </c>
      <c r="AA112" s="13" t="e">
        <f aca="false">VLOOKUP(OFFSET(tbl_LoC,111,10,1,1),'[1]List of components'!$C$1:$F$1048576,2,FALSE())</f>
        <v>#N/A</v>
      </c>
      <c r="AB112" s="13"/>
      <c r="AC112" s="13"/>
    </row>
    <row r="113" customFormat="false" ht="15" hidden="false" customHeight="false" outlineLevel="0" collapsed="false">
      <c r="A113" s="11" t="s">
        <v>0</v>
      </c>
      <c r="B113" s="11" t="s">
        <v>1</v>
      </c>
      <c r="C113" s="11" t="s">
        <v>2</v>
      </c>
      <c r="D113" s="11" t="s">
        <v>3</v>
      </c>
      <c r="E113" s="11"/>
      <c r="F113" s="11" t="s">
        <v>5</v>
      </c>
      <c r="G113" s="11" t="s">
        <v>6</v>
      </c>
      <c r="H113" s="11"/>
      <c r="I113" s="11"/>
      <c r="J113" s="13" t="s">
        <v>256</v>
      </c>
      <c r="K113" s="13" t="s">
        <v>279</v>
      </c>
      <c r="L113" s="13" t="s">
        <v>286</v>
      </c>
      <c r="M113" s="13" t="s">
        <v>287</v>
      </c>
      <c r="N113" s="14" t="n">
        <f aca="false">OFFSET(tbl_LoC,112,19,1,1)</f>
        <v>0</v>
      </c>
      <c r="O113" s="15"/>
      <c r="P113" s="13"/>
      <c r="Q113" s="13" t="n">
        <v>5</v>
      </c>
      <c r="R113" s="13"/>
      <c r="S113" s="16"/>
      <c r="T113" s="11"/>
      <c r="U113" s="11"/>
      <c r="V113" s="14" t="e">
        <f aca="false">OFFSET(tbl_LoC,112,21,1,1)*OFFSET(tbl_LoC,112,20,1,1)</f>
        <v>#VALUE!</v>
      </c>
      <c r="W113" s="17" t="n">
        <v>103</v>
      </c>
      <c r="X113" s="14" t="e">
        <f aca="false">Y113/(1-0.15)/(1-0.6)</f>
        <v>#N/A</v>
      </c>
      <c r="Y113" s="18" t="e">
        <f aca="false">VLOOKUP(OFFSET(tbl_LoC,112,10,1,1),'[1]List of components'!$C$1:$F$1048576,3,FALSE())</f>
        <v>#N/A</v>
      </c>
      <c r="Z113" s="19" t="n">
        <f aca="false">OFFSET(tbl_LoC,112,22,1,1)*OFFSET(tbl_LoC,112,20,1,1)</f>
        <v>0</v>
      </c>
      <c r="AA113" s="13" t="e">
        <f aca="false">VLOOKUP(OFFSET(tbl_LoC,112,10,1,1),'[1]List of components'!$C$1:$F$1048576,2,FALSE())</f>
        <v>#N/A</v>
      </c>
      <c r="AB113" s="13"/>
      <c r="AC113" s="13"/>
    </row>
    <row r="114" customFormat="false" ht="15" hidden="false" customHeight="false" outlineLevel="0" collapsed="false">
      <c r="A114" s="11" t="s">
        <v>0</v>
      </c>
      <c r="B114" s="11" t="s">
        <v>1</v>
      </c>
      <c r="C114" s="11" t="s">
        <v>2</v>
      </c>
      <c r="D114" s="11" t="s">
        <v>3</v>
      </c>
      <c r="E114" s="11"/>
      <c r="F114" s="11" t="s">
        <v>5</v>
      </c>
      <c r="G114" s="11" t="s">
        <v>6</v>
      </c>
      <c r="H114" s="11"/>
      <c r="I114" s="11"/>
      <c r="J114" s="13" t="s">
        <v>256</v>
      </c>
      <c r="K114" s="13" t="s">
        <v>279</v>
      </c>
      <c r="L114" s="13" t="s">
        <v>288</v>
      </c>
      <c r="M114" s="13" t="s">
        <v>289</v>
      </c>
      <c r="N114" s="14" t="n">
        <f aca="false">OFFSET(tbl_LoC,113,19,1,1)</f>
        <v>0</v>
      </c>
      <c r="O114" s="15"/>
      <c r="P114" s="13"/>
      <c r="Q114" s="13" t="n">
        <v>5</v>
      </c>
      <c r="R114" s="13"/>
      <c r="S114" s="16"/>
      <c r="T114" s="11"/>
      <c r="U114" s="11"/>
      <c r="V114" s="14" t="e">
        <f aca="false">OFFSET(tbl_LoC,113,21,1,1)*OFFSET(tbl_LoC,113,20,1,1)</f>
        <v>#VALUE!</v>
      </c>
      <c r="W114" s="17" t="n">
        <v>103</v>
      </c>
      <c r="X114" s="14" t="n">
        <f aca="false">Y114/(1-0.15)/(1-0.6)</f>
        <v>529.411764705882</v>
      </c>
      <c r="Y114" s="18" t="n">
        <v>180</v>
      </c>
      <c r="Z114" s="19" t="n">
        <f aca="false">OFFSET(tbl_LoC,113,22,1,1)*OFFSET(tbl_LoC,113,20,1,1)</f>
        <v>0</v>
      </c>
      <c r="AA114" s="13" t="e">
        <f aca="false">VLOOKUP(OFFSET(tbl_LoC,113,10,1,1),'[1]List of components'!$C$1:$F$1048576,2,FALSE())</f>
        <v>#N/A</v>
      </c>
      <c r="AB114" s="13"/>
      <c r="AC114" s="13"/>
    </row>
    <row r="115" customFormat="false" ht="15" hidden="false" customHeight="false" outlineLevel="0" collapsed="false">
      <c r="A115" s="11" t="s">
        <v>0</v>
      </c>
      <c r="B115" s="11" t="s">
        <v>1</v>
      </c>
      <c r="C115" s="11" t="s">
        <v>2</v>
      </c>
      <c r="D115" s="11" t="s">
        <v>3</v>
      </c>
      <c r="E115" s="11"/>
      <c r="F115" s="11" t="s">
        <v>5</v>
      </c>
      <c r="G115" s="11" t="s">
        <v>6</v>
      </c>
      <c r="H115" s="11"/>
      <c r="I115" s="11"/>
      <c r="J115" s="13" t="s">
        <v>256</v>
      </c>
      <c r="K115" s="13" t="s">
        <v>279</v>
      </c>
      <c r="L115" s="13" t="s">
        <v>290</v>
      </c>
      <c r="M115" s="13" t="s">
        <v>291</v>
      </c>
      <c r="N115" s="14" t="n">
        <f aca="false">OFFSET(tbl_LoC,114,19,1,1)</f>
        <v>0</v>
      </c>
      <c r="O115" s="15"/>
      <c r="P115" s="13"/>
      <c r="Q115" s="13" t="n">
        <v>5</v>
      </c>
      <c r="R115" s="13"/>
      <c r="S115" s="16"/>
      <c r="T115" s="11"/>
      <c r="U115" s="11"/>
      <c r="V115" s="14" t="e">
        <f aca="false">OFFSET(tbl_LoC,114,21,1,1)*OFFSET(tbl_LoC,114,20,1,1)</f>
        <v>#VALUE!</v>
      </c>
      <c r="W115" s="17" t="n">
        <v>103</v>
      </c>
      <c r="X115" s="14" t="n">
        <f aca="false">Y115/(1-0.15)/(1-0.6)</f>
        <v>1000</v>
      </c>
      <c r="Y115" s="18" t="n">
        <v>340</v>
      </c>
      <c r="Z115" s="19" t="n">
        <f aca="false">OFFSET(tbl_LoC,114,22,1,1)*OFFSET(tbl_LoC,114,20,1,1)</f>
        <v>0</v>
      </c>
      <c r="AA115" s="13" t="e">
        <f aca="false">VLOOKUP(OFFSET(tbl_LoC,114,10,1,1),'[1]List of components'!$C$1:$F$1048576,2,FALSE())</f>
        <v>#N/A</v>
      </c>
      <c r="AB115" s="13"/>
      <c r="AC115" s="13"/>
    </row>
    <row r="116" customFormat="false" ht="15" hidden="false" customHeight="false" outlineLevel="0" collapsed="false">
      <c r="A116" s="11" t="s">
        <v>0</v>
      </c>
      <c r="B116" s="11" t="s">
        <v>1</v>
      </c>
      <c r="C116" s="11" t="s">
        <v>2</v>
      </c>
      <c r="D116" s="11" t="s">
        <v>3</v>
      </c>
      <c r="E116" s="11"/>
      <c r="F116" s="11" t="s">
        <v>5</v>
      </c>
      <c r="G116" s="11" t="s">
        <v>6</v>
      </c>
      <c r="H116" s="11"/>
      <c r="I116" s="11"/>
      <c r="J116" s="13" t="s">
        <v>256</v>
      </c>
      <c r="K116" s="13" t="s">
        <v>279</v>
      </c>
      <c r="L116" s="13" t="s">
        <v>292</v>
      </c>
      <c r="M116" s="13" t="s">
        <v>293</v>
      </c>
      <c r="N116" s="14" t="n">
        <f aca="false">OFFSET(tbl_LoC,115,19,1,1)</f>
        <v>0</v>
      </c>
      <c r="O116" s="15"/>
      <c r="P116" s="13"/>
      <c r="Q116" s="13" t="n">
        <v>7</v>
      </c>
      <c r="R116" s="13"/>
      <c r="S116" s="16"/>
      <c r="T116" s="11"/>
      <c r="U116" s="11"/>
      <c r="V116" s="14" t="e">
        <f aca="false">OFFSET(tbl_LoC,115,21,1,1)*OFFSET(tbl_LoC,115,20,1,1)</f>
        <v>#VALUE!</v>
      </c>
      <c r="W116" s="17" t="n">
        <v>103</v>
      </c>
      <c r="X116" s="14" t="n">
        <f aca="false">Y116/(1-0.15)/(1-0.6)</f>
        <v>823.529411764706</v>
      </c>
      <c r="Y116" s="18" t="n">
        <v>280</v>
      </c>
      <c r="Z116" s="19" t="n">
        <f aca="false">OFFSET(tbl_LoC,115,22,1,1)*OFFSET(tbl_LoC,115,20,1,1)</f>
        <v>0</v>
      </c>
      <c r="AA116" s="13" t="e">
        <f aca="false">VLOOKUP(OFFSET(tbl_LoC,115,10,1,1),'[1]List of components'!$C$1:$F$1048576,2,FALSE())</f>
        <v>#N/A</v>
      </c>
      <c r="AB116" s="13"/>
      <c r="AC116" s="13"/>
    </row>
    <row r="117" customFormat="false" ht="15" hidden="false" customHeight="false" outlineLevel="0" collapsed="false">
      <c r="A117" s="11" t="s">
        <v>0</v>
      </c>
      <c r="B117" s="11" t="s">
        <v>1</v>
      </c>
      <c r="C117" s="11" t="s">
        <v>2</v>
      </c>
      <c r="D117" s="11" t="s">
        <v>3</v>
      </c>
      <c r="E117" s="11"/>
      <c r="F117" s="11" t="s">
        <v>5</v>
      </c>
      <c r="G117" s="11" t="s">
        <v>6</v>
      </c>
      <c r="H117" s="11"/>
      <c r="I117" s="11"/>
      <c r="J117" s="13" t="s">
        <v>256</v>
      </c>
      <c r="K117" s="13" t="s">
        <v>279</v>
      </c>
      <c r="L117" s="13" t="s">
        <v>294</v>
      </c>
      <c r="M117" s="13" t="s">
        <v>295</v>
      </c>
      <c r="N117" s="14" t="n">
        <f aca="false">OFFSET(tbl_LoC,116,19,1,1)</f>
        <v>0</v>
      </c>
      <c r="O117" s="15"/>
      <c r="P117" s="13"/>
      <c r="Q117" s="13" t="n">
        <v>5</v>
      </c>
      <c r="R117" s="13"/>
      <c r="S117" s="16"/>
      <c r="T117" s="11"/>
      <c r="U117" s="11"/>
      <c r="V117" s="14" t="e">
        <f aca="false">OFFSET(tbl_LoC,116,21,1,1)*OFFSET(tbl_LoC,116,20,1,1)</f>
        <v>#VALUE!</v>
      </c>
      <c r="W117" s="17" t="n">
        <v>103</v>
      </c>
      <c r="X117" s="14" t="e">
        <f aca="false">Y117/(1-0.15)/(1-0.6)</f>
        <v>#N/A</v>
      </c>
      <c r="Y117" s="18" t="e">
        <f aca="false">VLOOKUP(OFFSET(tbl_LoC,116,10,1,1),'[1]List of components'!$C$1:$F$1048576,3,FALSE())</f>
        <v>#N/A</v>
      </c>
      <c r="Z117" s="19" t="n">
        <f aca="false">OFFSET(tbl_LoC,116,22,1,1)*OFFSET(tbl_LoC,116,20,1,1)</f>
        <v>0</v>
      </c>
      <c r="AA117" s="13" t="e">
        <f aca="false">VLOOKUP(OFFSET(tbl_LoC,116,10,1,1),'[1]List of components'!$C$1:$F$1048576,2,FALSE())</f>
        <v>#N/A</v>
      </c>
      <c r="AB117" s="13"/>
      <c r="AC117" s="13"/>
    </row>
    <row r="118" customFormat="false" ht="15" hidden="false" customHeight="false" outlineLevel="0" collapsed="false">
      <c r="A118" s="11" t="s">
        <v>0</v>
      </c>
      <c r="B118" s="11" t="s">
        <v>1</v>
      </c>
      <c r="C118" s="11" t="s">
        <v>2</v>
      </c>
      <c r="D118" s="11" t="s">
        <v>3</v>
      </c>
      <c r="E118" s="11"/>
      <c r="F118" s="11" t="s">
        <v>5</v>
      </c>
      <c r="G118" s="11" t="s">
        <v>6</v>
      </c>
      <c r="H118" s="11"/>
      <c r="I118" s="11"/>
      <c r="J118" s="13" t="s">
        <v>256</v>
      </c>
      <c r="K118" s="13" t="s">
        <v>296</v>
      </c>
      <c r="L118" s="13" t="s">
        <v>297</v>
      </c>
      <c r="M118" s="13" t="s">
        <v>298</v>
      </c>
      <c r="N118" s="14" t="n">
        <f aca="false">OFFSET(tbl_LoC,117,19,1,1)</f>
        <v>0</v>
      </c>
      <c r="O118" s="15"/>
      <c r="P118" s="13"/>
      <c r="Q118" s="13" t="n">
        <v>0</v>
      </c>
      <c r="R118" s="13"/>
      <c r="S118" s="16"/>
      <c r="T118" s="11"/>
      <c r="U118" s="11"/>
      <c r="V118" s="14" t="e">
        <f aca="false">OFFSET(tbl_LoC,117,21,1,1)*OFFSET(tbl_LoC,117,20,1,1)</f>
        <v>#VALUE!</v>
      </c>
      <c r="W118" s="17" t="n">
        <v>103</v>
      </c>
      <c r="X118" s="14" t="n">
        <f aca="false">Y118/(1-0.15)/(1-0.6)</f>
        <v>73.5294117647059</v>
      </c>
      <c r="Y118" s="18" t="n">
        <v>25</v>
      </c>
      <c r="Z118" s="19" t="n">
        <f aca="false">OFFSET(tbl_LoC,117,22,1,1)*OFFSET(tbl_LoC,117,20,1,1)</f>
        <v>0</v>
      </c>
      <c r="AA118" s="13" t="e">
        <f aca="false">VLOOKUP(OFFSET(tbl_LoC,117,10,1,1),'[1]List of components'!$C$1:$F$1048576,2,FALSE())</f>
        <v>#N/A</v>
      </c>
      <c r="AB118" s="13"/>
      <c r="AC118" s="13"/>
    </row>
    <row r="119" customFormat="false" ht="15" hidden="false" customHeight="false" outlineLevel="0" collapsed="false">
      <c r="A119" s="11" t="s">
        <v>0</v>
      </c>
      <c r="B119" s="11" t="s">
        <v>1</v>
      </c>
      <c r="C119" s="11" t="s">
        <v>2</v>
      </c>
      <c r="D119" s="11" t="s">
        <v>3</v>
      </c>
      <c r="E119" s="11"/>
      <c r="F119" s="11" t="s">
        <v>5</v>
      </c>
      <c r="G119" s="11" t="s">
        <v>6</v>
      </c>
      <c r="H119" s="11"/>
      <c r="I119" s="11"/>
      <c r="J119" s="13" t="s">
        <v>256</v>
      </c>
      <c r="K119" s="13" t="s">
        <v>296</v>
      </c>
      <c r="L119" s="13" t="s">
        <v>299</v>
      </c>
      <c r="M119" s="13" t="s">
        <v>300</v>
      </c>
      <c r="N119" s="14" t="n">
        <f aca="false">OFFSET(tbl_LoC,118,19,1,1)</f>
        <v>0</v>
      </c>
      <c r="O119" s="15"/>
      <c r="P119" s="13"/>
      <c r="Q119" s="13" t="n">
        <v>0</v>
      </c>
      <c r="R119" s="13"/>
      <c r="S119" s="16"/>
      <c r="T119" s="11"/>
      <c r="U119" s="11"/>
      <c r="V119" s="14" t="e">
        <f aca="false">OFFSET(tbl_LoC,118,21,1,1)*OFFSET(tbl_LoC,118,20,1,1)</f>
        <v>#VALUE!</v>
      </c>
      <c r="W119" s="17" t="n">
        <v>103</v>
      </c>
      <c r="X119" s="14" t="n">
        <f aca="false">Y119/(1-0.15)/(1-0.6)</f>
        <v>88.2352941176471</v>
      </c>
      <c r="Y119" s="18" t="n">
        <v>30</v>
      </c>
      <c r="Z119" s="19" t="n">
        <f aca="false">OFFSET(tbl_LoC,118,22,1,1)*OFFSET(tbl_LoC,118,20,1,1)</f>
        <v>0</v>
      </c>
      <c r="AA119" s="13" t="e">
        <f aca="false">VLOOKUP(OFFSET(tbl_LoC,118,10,1,1),'[1]List of components'!$C$1:$F$1048576,2,FALSE())</f>
        <v>#N/A</v>
      </c>
      <c r="AB119" s="13"/>
      <c r="AC119" s="13"/>
    </row>
    <row r="120" customFormat="false" ht="15" hidden="false" customHeight="false" outlineLevel="0" collapsed="false">
      <c r="A120" s="11" t="s">
        <v>0</v>
      </c>
      <c r="B120" s="11" t="s">
        <v>1</v>
      </c>
      <c r="C120" s="11" t="s">
        <v>2</v>
      </c>
      <c r="D120" s="11" t="s">
        <v>3</v>
      </c>
      <c r="E120" s="11"/>
      <c r="F120" s="11" t="s">
        <v>5</v>
      </c>
      <c r="G120" s="11" t="s">
        <v>6</v>
      </c>
      <c r="H120" s="11"/>
      <c r="I120" s="11"/>
      <c r="J120" s="13" t="s">
        <v>256</v>
      </c>
      <c r="K120" s="13" t="s">
        <v>296</v>
      </c>
      <c r="L120" s="13" t="s">
        <v>301</v>
      </c>
      <c r="M120" s="13" t="s">
        <v>302</v>
      </c>
      <c r="N120" s="14" t="n">
        <f aca="false">OFFSET(tbl_LoC,119,19,1,1)</f>
        <v>0</v>
      </c>
      <c r="O120" s="15"/>
      <c r="P120" s="13"/>
      <c r="Q120" s="13" t="n">
        <v>0</v>
      </c>
      <c r="R120" s="13"/>
      <c r="S120" s="16"/>
      <c r="T120" s="11"/>
      <c r="U120" s="11"/>
      <c r="V120" s="14" t="e">
        <f aca="false">OFFSET(tbl_LoC,119,21,1,1)*OFFSET(tbl_LoC,119,20,1,1)</f>
        <v>#VALUE!</v>
      </c>
      <c r="W120" s="17" t="n">
        <v>103</v>
      </c>
      <c r="X120" s="14" t="n">
        <f aca="false">Y120/(1-0.15)/(1-0.6)</f>
        <v>97.0588235294118</v>
      </c>
      <c r="Y120" s="18" t="n">
        <v>33</v>
      </c>
      <c r="Z120" s="19" t="n">
        <f aca="false">OFFSET(tbl_LoC,119,22,1,1)*OFFSET(tbl_LoC,119,20,1,1)</f>
        <v>0</v>
      </c>
      <c r="AA120" s="13" t="e">
        <f aca="false">VLOOKUP(OFFSET(tbl_LoC,119,10,1,1),'[1]List of components'!$C$1:$F$1048576,2,FALSE())</f>
        <v>#N/A</v>
      </c>
      <c r="AB120" s="13"/>
      <c r="AC120" s="13"/>
    </row>
    <row r="121" customFormat="false" ht="15" hidden="false" customHeight="false" outlineLevel="0" collapsed="false">
      <c r="A121" s="11" t="s">
        <v>0</v>
      </c>
      <c r="B121" s="11" t="s">
        <v>1</v>
      </c>
      <c r="C121" s="11" t="s">
        <v>2</v>
      </c>
      <c r="D121" s="11" t="s">
        <v>3</v>
      </c>
      <c r="E121" s="11"/>
      <c r="F121" s="11" t="s">
        <v>5</v>
      </c>
      <c r="G121" s="11" t="s">
        <v>6</v>
      </c>
      <c r="H121" s="11"/>
      <c r="I121" s="11"/>
      <c r="J121" s="13" t="s">
        <v>256</v>
      </c>
      <c r="K121" s="13" t="s">
        <v>296</v>
      </c>
      <c r="L121" s="13" t="s">
        <v>303</v>
      </c>
      <c r="M121" s="13" t="s">
        <v>304</v>
      </c>
      <c r="N121" s="14" t="n">
        <f aca="false">OFFSET(tbl_LoC,120,19,1,1)</f>
        <v>0</v>
      </c>
      <c r="O121" s="15"/>
      <c r="P121" s="13"/>
      <c r="Q121" s="13" t="n">
        <v>0</v>
      </c>
      <c r="R121" s="13"/>
      <c r="S121" s="16"/>
      <c r="T121" s="11"/>
      <c r="U121" s="11"/>
      <c r="V121" s="14" t="e">
        <f aca="false">OFFSET(tbl_LoC,120,21,1,1)*OFFSET(tbl_LoC,120,20,1,1)</f>
        <v>#VALUE!</v>
      </c>
      <c r="W121" s="17" t="n">
        <v>103</v>
      </c>
      <c r="X121" s="14" t="n">
        <f aca="false">Y121/(1-0.15)/(1-0.6)</f>
        <v>91.1764705882353</v>
      </c>
      <c r="Y121" s="18" t="n">
        <v>31</v>
      </c>
      <c r="Z121" s="19" t="n">
        <f aca="false">OFFSET(tbl_LoC,120,22,1,1)*OFFSET(tbl_LoC,120,20,1,1)</f>
        <v>0</v>
      </c>
      <c r="AA121" s="13" t="e">
        <f aca="false">VLOOKUP(OFFSET(tbl_LoC,120,10,1,1),'[1]List of components'!$C$1:$F$1048576,2,FALSE())</f>
        <v>#N/A</v>
      </c>
      <c r="AB121" s="13"/>
      <c r="AC121" s="13"/>
    </row>
    <row r="122" customFormat="false" ht="15" hidden="false" customHeight="false" outlineLevel="0" collapsed="false">
      <c r="A122" s="11" t="s">
        <v>0</v>
      </c>
      <c r="B122" s="11" t="s">
        <v>1</v>
      </c>
      <c r="C122" s="11" t="s">
        <v>2</v>
      </c>
      <c r="D122" s="11" t="s">
        <v>3</v>
      </c>
      <c r="E122" s="11"/>
      <c r="F122" s="11" t="s">
        <v>5</v>
      </c>
      <c r="G122" s="11" t="s">
        <v>6</v>
      </c>
      <c r="H122" s="11"/>
      <c r="I122" s="11"/>
      <c r="J122" s="13" t="s">
        <v>256</v>
      </c>
      <c r="K122" s="13" t="s">
        <v>296</v>
      </c>
      <c r="L122" s="13" t="s">
        <v>305</v>
      </c>
      <c r="M122" s="13" t="s">
        <v>306</v>
      </c>
      <c r="N122" s="14" t="n">
        <f aca="false">OFFSET(tbl_LoC,121,19,1,1)</f>
        <v>0</v>
      </c>
      <c r="O122" s="15"/>
      <c r="P122" s="13"/>
      <c r="Q122" s="13" t="n">
        <v>0</v>
      </c>
      <c r="R122" s="13"/>
      <c r="S122" s="16"/>
      <c r="T122" s="11"/>
      <c r="U122" s="11"/>
      <c r="V122" s="14" t="e">
        <f aca="false">OFFSET(tbl_LoC,121,21,1,1)*OFFSET(tbl_LoC,121,20,1,1)</f>
        <v>#VALUE!</v>
      </c>
      <c r="W122" s="17" t="n">
        <v>103</v>
      </c>
      <c r="X122" s="14" t="n">
        <f aca="false">Y122/(1-0.15)/(1-0.6)</f>
        <v>102.941176470588</v>
      </c>
      <c r="Y122" s="18" t="n">
        <v>35</v>
      </c>
      <c r="Z122" s="19" t="n">
        <f aca="false">OFFSET(tbl_LoC,121,22,1,1)*OFFSET(tbl_LoC,121,20,1,1)</f>
        <v>0</v>
      </c>
      <c r="AA122" s="13" t="e">
        <f aca="false">VLOOKUP(OFFSET(tbl_LoC,121,10,1,1),'[1]List of components'!$C$1:$F$1048576,2,FALSE())</f>
        <v>#N/A</v>
      </c>
      <c r="AB122" s="13"/>
      <c r="AC122" s="13"/>
    </row>
    <row r="123" customFormat="false" ht="15" hidden="false" customHeight="false" outlineLevel="0" collapsed="false">
      <c r="A123" s="11" t="s">
        <v>0</v>
      </c>
      <c r="B123" s="11" t="s">
        <v>1</v>
      </c>
      <c r="C123" s="11" t="s">
        <v>2</v>
      </c>
      <c r="D123" s="11" t="s">
        <v>3</v>
      </c>
      <c r="E123" s="11"/>
      <c r="F123" s="11" t="s">
        <v>5</v>
      </c>
      <c r="G123" s="11" t="s">
        <v>6</v>
      </c>
      <c r="H123" s="11"/>
      <c r="I123" s="11"/>
      <c r="J123" s="13" t="s">
        <v>256</v>
      </c>
      <c r="K123" s="13" t="s">
        <v>296</v>
      </c>
      <c r="L123" s="13" t="s">
        <v>307</v>
      </c>
      <c r="M123" s="13" t="s">
        <v>308</v>
      </c>
      <c r="N123" s="14" t="n">
        <f aca="false">OFFSET(tbl_LoC,122,19,1,1)</f>
        <v>0</v>
      </c>
      <c r="O123" s="15"/>
      <c r="P123" s="13"/>
      <c r="Q123" s="13" t="n">
        <v>0</v>
      </c>
      <c r="R123" s="13"/>
      <c r="S123" s="16"/>
      <c r="T123" s="11"/>
      <c r="U123" s="11"/>
      <c r="V123" s="14" t="e">
        <f aca="false">OFFSET(tbl_LoC,122,21,1,1)*OFFSET(tbl_LoC,122,20,1,1)</f>
        <v>#VALUE!</v>
      </c>
      <c r="W123" s="17" t="n">
        <v>103</v>
      </c>
      <c r="X123" s="14" t="n">
        <f aca="false">Y123/(1-0.15)/(1-0.6)</f>
        <v>73.5294117647059</v>
      </c>
      <c r="Y123" s="18" t="n">
        <v>25</v>
      </c>
      <c r="Z123" s="19" t="n">
        <f aca="false">OFFSET(tbl_LoC,122,22,1,1)*OFFSET(tbl_LoC,122,20,1,1)</f>
        <v>0</v>
      </c>
      <c r="AA123" s="13" t="e">
        <f aca="false">VLOOKUP(OFFSET(tbl_LoC,122,10,1,1),'[1]List of components'!$C$1:$F$1048576,2,FALSE())</f>
        <v>#N/A</v>
      </c>
      <c r="AB123" s="13"/>
      <c r="AC123" s="13"/>
    </row>
    <row r="124" customFormat="false" ht="15" hidden="false" customHeight="false" outlineLevel="0" collapsed="false">
      <c r="A124" s="11" t="s">
        <v>0</v>
      </c>
      <c r="B124" s="11" t="s">
        <v>1</v>
      </c>
      <c r="C124" s="11" t="s">
        <v>2</v>
      </c>
      <c r="D124" s="11" t="s">
        <v>3</v>
      </c>
      <c r="E124" s="11"/>
      <c r="F124" s="11" t="s">
        <v>5</v>
      </c>
      <c r="G124" s="11" t="s">
        <v>6</v>
      </c>
      <c r="H124" s="11"/>
      <c r="I124" s="11"/>
      <c r="J124" s="13" t="s">
        <v>256</v>
      </c>
      <c r="K124" s="13" t="s">
        <v>296</v>
      </c>
      <c r="L124" s="13" t="s">
        <v>309</v>
      </c>
      <c r="M124" s="13" t="s">
        <v>310</v>
      </c>
      <c r="N124" s="14" t="n">
        <f aca="false">OFFSET(tbl_LoC,123,19,1,1)</f>
        <v>0</v>
      </c>
      <c r="O124" s="15"/>
      <c r="P124" s="13"/>
      <c r="Q124" s="13" t="n">
        <v>0</v>
      </c>
      <c r="R124" s="13"/>
      <c r="S124" s="16"/>
      <c r="T124" s="11"/>
      <c r="U124" s="11"/>
      <c r="V124" s="14" t="e">
        <f aca="false">OFFSET(tbl_LoC,123,21,1,1)*OFFSET(tbl_LoC,123,20,1,1)</f>
        <v>#VALUE!</v>
      </c>
      <c r="W124" s="17" t="n">
        <v>103</v>
      </c>
      <c r="X124" s="14" t="n">
        <f aca="false">Y124/(1-0.15)/(1-0.6)</f>
        <v>79.4117647058824</v>
      </c>
      <c r="Y124" s="18" t="n">
        <v>27</v>
      </c>
      <c r="Z124" s="19" t="n">
        <f aca="false">OFFSET(tbl_LoC,123,22,1,1)*OFFSET(tbl_LoC,123,20,1,1)</f>
        <v>0</v>
      </c>
      <c r="AA124" s="13" t="e">
        <f aca="false">VLOOKUP(OFFSET(tbl_LoC,123,10,1,1),'[1]List of components'!$C$1:$F$1048576,2,FALSE())</f>
        <v>#N/A</v>
      </c>
      <c r="AB124" s="13"/>
      <c r="AC124" s="13"/>
    </row>
    <row r="125" customFormat="false" ht="15" hidden="false" customHeight="false" outlineLevel="0" collapsed="false">
      <c r="A125" s="11" t="s">
        <v>0</v>
      </c>
      <c r="B125" s="11" t="s">
        <v>1</v>
      </c>
      <c r="C125" s="11" t="s">
        <v>2</v>
      </c>
      <c r="D125" s="11" t="s">
        <v>3</v>
      </c>
      <c r="E125" s="11"/>
      <c r="F125" s="11" t="s">
        <v>5</v>
      </c>
      <c r="G125" s="11" t="s">
        <v>6</v>
      </c>
      <c r="H125" s="11"/>
      <c r="I125" s="11"/>
      <c r="J125" s="13" t="s">
        <v>256</v>
      </c>
      <c r="K125" s="13" t="s">
        <v>296</v>
      </c>
      <c r="L125" s="13" t="s">
        <v>311</v>
      </c>
      <c r="M125" s="13" t="s">
        <v>312</v>
      </c>
      <c r="N125" s="14" t="n">
        <f aca="false">OFFSET(tbl_LoC,124,19,1,1)</f>
        <v>0</v>
      </c>
      <c r="O125" s="15"/>
      <c r="P125" s="13"/>
      <c r="Q125" s="13" t="n">
        <v>0</v>
      </c>
      <c r="R125" s="13"/>
      <c r="S125" s="16"/>
      <c r="T125" s="11"/>
      <c r="U125" s="11"/>
      <c r="V125" s="14" t="e">
        <f aca="false">OFFSET(tbl_LoC,124,21,1,1)*OFFSET(tbl_LoC,124,20,1,1)</f>
        <v>#VALUE!</v>
      </c>
      <c r="W125" s="17" t="n">
        <v>103</v>
      </c>
      <c r="X125" s="14" t="n">
        <f aca="false">Y125/(1-0.15)/(1-0.6)</f>
        <v>85.2941176470588</v>
      </c>
      <c r="Y125" s="18" t="n">
        <v>29</v>
      </c>
      <c r="Z125" s="19" t="n">
        <f aca="false">OFFSET(tbl_LoC,124,22,1,1)*OFFSET(tbl_LoC,124,20,1,1)</f>
        <v>0</v>
      </c>
      <c r="AA125" s="13" t="e">
        <f aca="false">VLOOKUP(OFFSET(tbl_LoC,124,10,1,1),'[1]List of components'!$C$1:$F$1048576,2,FALSE())</f>
        <v>#N/A</v>
      </c>
      <c r="AB125" s="13"/>
      <c r="AC125" s="13"/>
    </row>
    <row r="126" customFormat="false" ht="15" hidden="false" customHeight="false" outlineLevel="0" collapsed="false">
      <c r="A126" s="11" t="s">
        <v>0</v>
      </c>
      <c r="B126" s="11" t="s">
        <v>1</v>
      </c>
      <c r="C126" s="11" t="s">
        <v>2</v>
      </c>
      <c r="D126" s="11" t="s">
        <v>3</v>
      </c>
      <c r="E126" s="11"/>
      <c r="F126" s="11" t="s">
        <v>5</v>
      </c>
      <c r="G126" s="11" t="s">
        <v>6</v>
      </c>
      <c r="H126" s="11"/>
      <c r="I126" s="11"/>
      <c r="J126" s="13" t="s">
        <v>256</v>
      </c>
      <c r="K126" s="13" t="s">
        <v>296</v>
      </c>
      <c r="L126" s="13" t="s">
        <v>313</v>
      </c>
      <c r="M126" s="13" t="s">
        <v>314</v>
      </c>
      <c r="N126" s="14" t="n">
        <f aca="false">OFFSET(tbl_LoC,125,19,1,1)</f>
        <v>0</v>
      </c>
      <c r="O126" s="15"/>
      <c r="P126" s="13"/>
      <c r="Q126" s="13" t="n">
        <v>0</v>
      </c>
      <c r="R126" s="13"/>
      <c r="S126" s="16"/>
      <c r="T126" s="11"/>
      <c r="U126" s="11"/>
      <c r="V126" s="14" t="e">
        <f aca="false">OFFSET(tbl_LoC,125,21,1,1)*OFFSET(tbl_LoC,125,20,1,1)</f>
        <v>#VALUE!</v>
      </c>
      <c r="W126" s="17" t="n">
        <v>103</v>
      </c>
      <c r="X126" s="14" t="n">
        <f aca="false">Y126/(1-0.15)/(1-0.6)</f>
        <v>97.0588235294118</v>
      </c>
      <c r="Y126" s="18" t="n">
        <v>33</v>
      </c>
      <c r="Z126" s="19" t="n">
        <f aca="false">OFFSET(tbl_LoC,125,22,1,1)*OFFSET(tbl_LoC,125,20,1,1)</f>
        <v>0</v>
      </c>
      <c r="AA126" s="13" t="e">
        <f aca="false">VLOOKUP(OFFSET(tbl_LoC,125,10,1,1),'[1]List of components'!$C$1:$F$1048576,2,FALSE())</f>
        <v>#N/A</v>
      </c>
      <c r="AB126" s="13"/>
      <c r="AC126" s="13"/>
    </row>
    <row r="127" customFormat="false" ht="15" hidden="false" customHeight="false" outlineLevel="0" collapsed="false">
      <c r="A127" s="11" t="s">
        <v>0</v>
      </c>
      <c r="B127" s="11" t="s">
        <v>1</v>
      </c>
      <c r="C127" s="11" t="s">
        <v>2</v>
      </c>
      <c r="D127" s="11" t="s">
        <v>3</v>
      </c>
      <c r="E127" s="11"/>
      <c r="F127" s="11" t="s">
        <v>5</v>
      </c>
      <c r="G127" s="11" t="s">
        <v>6</v>
      </c>
      <c r="H127" s="11"/>
      <c r="I127" s="11"/>
      <c r="J127" s="13" t="s">
        <v>256</v>
      </c>
      <c r="K127" s="13" t="s">
        <v>296</v>
      </c>
      <c r="L127" s="13" t="s">
        <v>315</v>
      </c>
      <c r="M127" s="13" t="s">
        <v>316</v>
      </c>
      <c r="N127" s="14" t="n">
        <f aca="false">OFFSET(tbl_LoC,126,19,1,1)</f>
        <v>0</v>
      </c>
      <c r="O127" s="15"/>
      <c r="P127" s="13"/>
      <c r="Q127" s="13" t="n">
        <v>0</v>
      </c>
      <c r="R127" s="13"/>
      <c r="S127" s="16"/>
      <c r="T127" s="11"/>
      <c r="U127" s="11"/>
      <c r="V127" s="14" t="e">
        <f aca="false">OFFSET(tbl_LoC,126,21,1,1)*OFFSET(tbl_LoC,126,20,1,1)</f>
        <v>#VALUE!</v>
      </c>
      <c r="W127" s="17" t="n">
        <v>103</v>
      </c>
      <c r="X127" s="14" t="n">
        <f aca="false">Y127/(1-0.15)/(1-0.6)</f>
        <v>58.8235294117647</v>
      </c>
      <c r="Y127" s="18" t="n">
        <v>20</v>
      </c>
      <c r="Z127" s="19" t="n">
        <f aca="false">OFFSET(tbl_LoC,126,22,1,1)*OFFSET(tbl_LoC,126,20,1,1)</f>
        <v>0</v>
      </c>
      <c r="AA127" s="13" t="e">
        <f aca="false">VLOOKUP(OFFSET(tbl_LoC,126,10,1,1),'[1]List of components'!$C$1:$F$1048576,2,FALSE())</f>
        <v>#N/A</v>
      </c>
      <c r="AB127" s="13"/>
      <c r="AC127" s="13"/>
    </row>
    <row r="128" customFormat="false" ht="15" hidden="false" customHeight="false" outlineLevel="0" collapsed="false">
      <c r="A128" s="11" t="s">
        <v>0</v>
      </c>
      <c r="B128" s="11" t="s">
        <v>1</v>
      </c>
      <c r="C128" s="11" t="s">
        <v>2</v>
      </c>
      <c r="D128" s="11" t="s">
        <v>3</v>
      </c>
      <c r="E128" s="11"/>
      <c r="F128" s="11" t="s">
        <v>5</v>
      </c>
      <c r="G128" s="11" t="s">
        <v>6</v>
      </c>
      <c r="H128" s="11"/>
      <c r="I128" s="11"/>
      <c r="J128" s="13" t="s">
        <v>256</v>
      </c>
      <c r="K128" s="13" t="s">
        <v>296</v>
      </c>
      <c r="L128" s="13" t="s">
        <v>317</v>
      </c>
      <c r="M128" s="13" t="s">
        <v>318</v>
      </c>
      <c r="N128" s="14" t="n">
        <f aca="false">OFFSET(tbl_LoC,127,19,1,1)</f>
        <v>0</v>
      </c>
      <c r="O128" s="15"/>
      <c r="P128" s="13"/>
      <c r="Q128" s="13" t="n">
        <v>0</v>
      </c>
      <c r="R128" s="13"/>
      <c r="S128" s="16"/>
      <c r="T128" s="11"/>
      <c r="U128" s="11"/>
      <c r="V128" s="14" t="e">
        <f aca="false">OFFSET(tbl_LoC,127,21,1,1)*OFFSET(tbl_LoC,127,20,1,1)</f>
        <v>#VALUE!</v>
      </c>
      <c r="W128" s="17" t="n">
        <v>103</v>
      </c>
      <c r="X128" s="14" t="n">
        <f aca="false">Y128/(1-0.15)/(1-0.6)</f>
        <v>73.5294117647059</v>
      </c>
      <c r="Y128" s="18" t="n">
        <v>25</v>
      </c>
      <c r="Z128" s="19" t="n">
        <f aca="false">OFFSET(tbl_LoC,127,22,1,1)*OFFSET(tbl_LoC,127,20,1,1)</f>
        <v>0</v>
      </c>
      <c r="AA128" s="13" t="e">
        <f aca="false">VLOOKUP(OFFSET(tbl_LoC,127,10,1,1),'[1]List of components'!$C$1:$F$1048576,2,FALSE())</f>
        <v>#N/A</v>
      </c>
      <c r="AB128" s="13"/>
      <c r="AC128" s="13"/>
    </row>
    <row r="129" customFormat="false" ht="15" hidden="false" customHeight="false" outlineLevel="0" collapsed="false">
      <c r="A129" s="11" t="s">
        <v>0</v>
      </c>
      <c r="B129" s="11" t="s">
        <v>1</v>
      </c>
      <c r="C129" s="11" t="s">
        <v>2</v>
      </c>
      <c r="D129" s="11" t="s">
        <v>3</v>
      </c>
      <c r="E129" s="11"/>
      <c r="F129" s="11" t="s">
        <v>5</v>
      </c>
      <c r="G129" s="11" t="s">
        <v>6</v>
      </c>
      <c r="H129" s="11"/>
      <c r="I129" s="11"/>
      <c r="J129" s="13" t="s">
        <v>256</v>
      </c>
      <c r="K129" s="13" t="s">
        <v>296</v>
      </c>
      <c r="L129" s="13" t="s">
        <v>319</v>
      </c>
      <c r="M129" s="13" t="s">
        <v>320</v>
      </c>
      <c r="N129" s="14" t="n">
        <f aca="false">OFFSET(tbl_LoC,128,19,1,1)</f>
        <v>0</v>
      </c>
      <c r="O129" s="15"/>
      <c r="P129" s="13"/>
      <c r="Q129" s="13" t="n">
        <v>0</v>
      </c>
      <c r="R129" s="13"/>
      <c r="S129" s="16"/>
      <c r="T129" s="11"/>
      <c r="U129" s="11"/>
      <c r="V129" s="14" t="e">
        <f aca="false">OFFSET(tbl_LoC,128,21,1,1)*OFFSET(tbl_LoC,128,20,1,1)</f>
        <v>#VALUE!</v>
      </c>
      <c r="W129" s="17" t="n">
        <v>103</v>
      </c>
      <c r="X129" s="14" t="n">
        <f aca="false">Y129/(1-0.15)/(1-0.6)</f>
        <v>61.7647058823529</v>
      </c>
      <c r="Y129" s="18" t="n">
        <v>21</v>
      </c>
      <c r="Z129" s="19" t="n">
        <f aca="false">OFFSET(tbl_LoC,128,22,1,1)*OFFSET(tbl_LoC,128,20,1,1)</f>
        <v>0</v>
      </c>
      <c r="AA129" s="13" t="e">
        <f aca="false">VLOOKUP(OFFSET(tbl_LoC,128,10,1,1),'[1]List of components'!$C$1:$F$1048576,2,FALSE())</f>
        <v>#N/A</v>
      </c>
      <c r="AB129" s="13"/>
      <c r="AC129" s="13"/>
    </row>
    <row r="130" customFormat="false" ht="15" hidden="false" customHeight="false" outlineLevel="0" collapsed="false">
      <c r="A130" s="11" t="s">
        <v>0</v>
      </c>
      <c r="B130" s="11" t="s">
        <v>1</v>
      </c>
      <c r="C130" s="11" t="s">
        <v>2</v>
      </c>
      <c r="D130" s="11" t="s">
        <v>3</v>
      </c>
      <c r="E130" s="11"/>
      <c r="F130" s="11" t="s">
        <v>5</v>
      </c>
      <c r="G130" s="11" t="s">
        <v>6</v>
      </c>
      <c r="H130" s="11"/>
      <c r="I130" s="11"/>
      <c r="J130" s="13" t="s">
        <v>256</v>
      </c>
      <c r="K130" s="13" t="s">
        <v>296</v>
      </c>
      <c r="L130" s="13" t="s">
        <v>321</v>
      </c>
      <c r="M130" s="13" t="s">
        <v>322</v>
      </c>
      <c r="N130" s="14" t="n">
        <f aca="false">OFFSET(tbl_LoC,129,19,1,1)</f>
        <v>0</v>
      </c>
      <c r="O130" s="15"/>
      <c r="P130" s="13"/>
      <c r="Q130" s="13" t="n">
        <v>0</v>
      </c>
      <c r="R130" s="13"/>
      <c r="S130" s="16"/>
      <c r="T130" s="11"/>
      <c r="U130" s="11"/>
      <c r="V130" s="14" t="e">
        <f aca="false">OFFSET(tbl_LoC,129,21,1,1)*OFFSET(tbl_LoC,129,20,1,1)</f>
        <v>#VALUE!</v>
      </c>
      <c r="W130" s="17" t="n">
        <v>103</v>
      </c>
      <c r="X130" s="14" t="n">
        <f aca="false">Y130/(1-0.15)/(1-0.6)</f>
        <v>64.7058823529412</v>
      </c>
      <c r="Y130" s="18" t="n">
        <v>22</v>
      </c>
      <c r="Z130" s="19" t="n">
        <f aca="false">OFFSET(tbl_LoC,129,22,1,1)*OFFSET(tbl_LoC,129,20,1,1)</f>
        <v>0</v>
      </c>
      <c r="AA130" s="13" t="e">
        <f aca="false">VLOOKUP(OFFSET(tbl_LoC,129,10,1,1),'[1]List of components'!$C$1:$F$1048576,2,FALSE())</f>
        <v>#N/A</v>
      </c>
      <c r="AB130" s="13"/>
      <c r="AC130" s="13"/>
    </row>
    <row r="131" customFormat="false" ht="15" hidden="false" customHeight="false" outlineLevel="0" collapsed="false">
      <c r="A131" s="11" t="s">
        <v>0</v>
      </c>
      <c r="B131" s="11" t="s">
        <v>1</v>
      </c>
      <c r="C131" s="11" t="s">
        <v>2</v>
      </c>
      <c r="D131" s="11" t="s">
        <v>3</v>
      </c>
      <c r="E131" s="11"/>
      <c r="F131" s="11" t="s">
        <v>5</v>
      </c>
      <c r="G131" s="11" t="s">
        <v>6</v>
      </c>
      <c r="H131" s="11"/>
      <c r="I131" s="11"/>
      <c r="J131" s="13" t="s">
        <v>256</v>
      </c>
      <c r="K131" s="13" t="s">
        <v>296</v>
      </c>
      <c r="L131" s="13" t="s">
        <v>323</v>
      </c>
      <c r="M131" s="13" t="s">
        <v>324</v>
      </c>
      <c r="N131" s="14" t="n">
        <f aca="false">OFFSET(tbl_LoC,130,19,1,1)</f>
        <v>0</v>
      </c>
      <c r="O131" s="15"/>
      <c r="P131" s="13"/>
      <c r="Q131" s="13" t="n">
        <v>0</v>
      </c>
      <c r="R131" s="13"/>
      <c r="S131" s="16"/>
      <c r="T131" s="11"/>
      <c r="U131" s="11"/>
      <c r="V131" s="14" t="e">
        <f aca="false">OFFSET(tbl_LoC,130,21,1,1)*OFFSET(tbl_LoC,130,20,1,1)</f>
        <v>#VALUE!</v>
      </c>
      <c r="W131" s="17" t="n">
        <v>103</v>
      </c>
      <c r="X131" s="14" t="n">
        <f aca="false">Y131/(1-0.15)/(1-0.6)</f>
        <v>76.4705882352941</v>
      </c>
      <c r="Y131" s="18" t="n">
        <v>26</v>
      </c>
      <c r="Z131" s="19" t="n">
        <f aca="false">OFFSET(tbl_LoC,130,22,1,1)*OFFSET(tbl_LoC,130,20,1,1)</f>
        <v>0</v>
      </c>
      <c r="AA131" s="13" t="e">
        <f aca="false">VLOOKUP(OFFSET(tbl_LoC,130,10,1,1),'[1]List of components'!$C$1:$F$1048576,2,FALSE())</f>
        <v>#N/A</v>
      </c>
      <c r="AB131" s="13"/>
      <c r="AC131" s="13"/>
    </row>
    <row r="132" customFormat="false" ht="15" hidden="false" customHeight="false" outlineLevel="0" collapsed="false">
      <c r="A132" s="11" t="s">
        <v>0</v>
      </c>
      <c r="B132" s="11" t="s">
        <v>1</v>
      </c>
      <c r="C132" s="11" t="s">
        <v>2</v>
      </c>
      <c r="D132" s="11" t="s">
        <v>3</v>
      </c>
      <c r="E132" s="11"/>
      <c r="F132" s="11" t="s">
        <v>5</v>
      </c>
      <c r="G132" s="11" t="s">
        <v>6</v>
      </c>
      <c r="H132" s="11"/>
      <c r="I132" s="11"/>
      <c r="J132" s="13" t="s">
        <v>256</v>
      </c>
      <c r="K132" s="13" t="s">
        <v>296</v>
      </c>
      <c r="L132" s="13" t="s">
        <v>325</v>
      </c>
      <c r="M132" s="13" t="s">
        <v>326</v>
      </c>
      <c r="N132" s="14" t="n">
        <f aca="false">OFFSET(tbl_LoC,131,19,1,1)</f>
        <v>0</v>
      </c>
      <c r="O132" s="15"/>
      <c r="P132" s="13"/>
      <c r="Q132" s="13" t="n">
        <v>0</v>
      </c>
      <c r="R132" s="13"/>
      <c r="S132" s="16"/>
      <c r="T132" s="11"/>
      <c r="U132" s="11"/>
      <c r="V132" s="14" t="e">
        <f aca="false">OFFSET(tbl_LoC,131,21,1,1)*OFFSET(tbl_LoC,131,20,1,1)</f>
        <v>#VALUE!</v>
      </c>
      <c r="W132" s="17" t="n">
        <v>103</v>
      </c>
      <c r="X132" s="14" t="n">
        <f aca="false">Y132/(1-0.15)/(1-0.6)</f>
        <v>82.3529411764706</v>
      </c>
      <c r="Y132" s="18" t="n">
        <v>28</v>
      </c>
      <c r="Z132" s="19" t="n">
        <f aca="false">OFFSET(tbl_LoC,131,22,1,1)*OFFSET(tbl_LoC,131,20,1,1)</f>
        <v>0</v>
      </c>
      <c r="AA132" s="13" t="e">
        <f aca="false">VLOOKUP(OFFSET(tbl_LoC,131,10,1,1),'[1]List of components'!$C$1:$F$1048576,2,FALSE())</f>
        <v>#N/A</v>
      </c>
      <c r="AB132" s="13"/>
      <c r="AC132" s="13"/>
    </row>
    <row r="133" customFormat="false" ht="15" hidden="false" customHeight="false" outlineLevel="0" collapsed="false">
      <c r="A133" s="11" t="s">
        <v>0</v>
      </c>
      <c r="B133" s="11" t="s">
        <v>1</v>
      </c>
      <c r="C133" s="11" t="s">
        <v>2</v>
      </c>
      <c r="D133" s="11" t="s">
        <v>3</v>
      </c>
      <c r="E133" s="11"/>
      <c r="F133" s="11" t="s">
        <v>5</v>
      </c>
      <c r="G133" s="11" t="s">
        <v>6</v>
      </c>
      <c r="H133" s="11"/>
      <c r="I133" s="11"/>
      <c r="J133" s="13" t="s">
        <v>256</v>
      </c>
      <c r="K133" s="13" t="s">
        <v>296</v>
      </c>
      <c r="L133" s="13" t="s">
        <v>327</v>
      </c>
      <c r="M133" s="13" t="s">
        <v>328</v>
      </c>
      <c r="N133" s="14" t="n">
        <f aca="false">OFFSET(tbl_LoC,132,19,1,1)</f>
        <v>0</v>
      </c>
      <c r="O133" s="15"/>
      <c r="P133" s="13"/>
      <c r="Q133" s="13" t="n">
        <v>0</v>
      </c>
      <c r="R133" s="13"/>
      <c r="S133" s="16"/>
      <c r="T133" s="11"/>
      <c r="U133" s="11"/>
      <c r="V133" s="14" t="e">
        <f aca="false">OFFSET(tbl_LoC,132,21,1,1)*OFFSET(tbl_LoC,132,20,1,1)</f>
        <v>#VALUE!</v>
      </c>
      <c r="W133" s="17" t="n">
        <v>103</v>
      </c>
      <c r="X133" s="14" t="n">
        <f aca="false">Y133/(1-0.15)/(1-0.6)</f>
        <v>70.5882352941176</v>
      </c>
      <c r="Y133" s="18" t="n">
        <v>24</v>
      </c>
      <c r="Z133" s="19" t="n">
        <f aca="false">OFFSET(tbl_LoC,132,22,1,1)*OFFSET(tbl_LoC,132,20,1,1)</f>
        <v>0</v>
      </c>
      <c r="AA133" s="13" t="e">
        <f aca="false">VLOOKUP(OFFSET(tbl_LoC,132,10,1,1),'[1]List of components'!$C$1:$F$1048576,2,FALSE())</f>
        <v>#N/A</v>
      </c>
      <c r="AB133" s="13"/>
      <c r="AC133" s="13"/>
    </row>
    <row r="134" customFormat="false" ht="15" hidden="false" customHeight="false" outlineLevel="0" collapsed="false">
      <c r="A134" s="11" t="s">
        <v>0</v>
      </c>
      <c r="B134" s="11" t="s">
        <v>1</v>
      </c>
      <c r="C134" s="11" t="s">
        <v>2</v>
      </c>
      <c r="D134" s="11" t="s">
        <v>3</v>
      </c>
      <c r="E134" s="11"/>
      <c r="F134" s="11" t="s">
        <v>5</v>
      </c>
      <c r="G134" s="11" t="s">
        <v>6</v>
      </c>
      <c r="H134" s="11"/>
      <c r="I134" s="11"/>
      <c r="J134" s="13" t="s">
        <v>256</v>
      </c>
      <c r="K134" s="13" t="s">
        <v>296</v>
      </c>
      <c r="L134" s="13" t="s">
        <v>329</v>
      </c>
      <c r="M134" s="13" t="s">
        <v>330</v>
      </c>
      <c r="N134" s="14" t="n">
        <f aca="false">OFFSET(tbl_LoC,133,19,1,1)</f>
        <v>0</v>
      </c>
      <c r="O134" s="15"/>
      <c r="P134" s="13"/>
      <c r="Q134" s="13" t="n">
        <v>0</v>
      </c>
      <c r="R134" s="13"/>
      <c r="S134" s="16"/>
      <c r="T134" s="11"/>
      <c r="U134" s="11"/>
      <c r="V134" s="14" t="e">
        <f aca="false">OFFSET(tbl_LoC,133,21,1,1)*OFFSET(tbl_LoC,133,20,1,1)</f>
        <v>#VALUE!</v>
      </c>
      <c r="W134" s="17" t="n">
        <v>103</v>
      </c>
      <c r="X134" s="14" t="n">
        <f aca="false">Y134/(1-0.15)/(1-0.6)</f>
        <v>76.4705882352941</v>
      </c>
      <c r="Y134" s="18" t="n">
        <v>26</v>
      </c>
      <c r="Z134" s="19" t="n">
        <f aca="false">OFFSET(tbl_LoC,133,22,1,1)*OFFSET(tbl_LoC,133,20,1,1)</f>
        <v>0</v>
      </c>
      <c r="AA134" s="13" t="e">
        <f aca="false">VLOOKUP(OFFSET(tbl_LoC,133,10,1,1),'[1]List of components'!$C$1:$F$1048576,2,FALSE())</f>
        <v>#N/A</v>
      </c>
      <c r="AB134" s="13"/>
      <c r="AC134" s="13"/>
    </row>
    <row r="135" customFormat="false" ht="15" hidden="false" customHeight="false" outlineLevel="0" collapsed="false">
      <c r="A135" s="11" t="s">
        <v>0</v>
      </c>
      <c r="B135" s="11" t="s">
        <v>1</v>
      </c>
      <c r="C135" s="11" t="s">
        <v>2</v>
      </c>
      <c r="D135" s="11" t="s">
        <v>3</v>
      </c>
      <c r="E135" s="11"/>
      <c r="F135" s="11" t="s">
        <v>5</v>
      </c>
      <c r="G135" s="11" t="s">
        <v>6</v>
      </c>
      <c r="H135" s="11"/>
      <c r="I135" s="11"/>
      <c r="J135" s="13" t="s">
        <v>256</v>
      </c>
      <c r="K135" s="13" t="s">
        <v>296</v>
      </c>
      <c r="L135" s="13" t="s">
        <v>331</v>
      </c>
      <c r="M135" s="13" t="s">
        <v>332</v>
      </c>
      <c r="N135" s="14" t="n">
        <f aca="false">OFFSET(tbl_LoC,134,19,1,1)</f>
        <v>0</v>
      </c>
      <c r="O135" s="15"/>
      <c r="P135" s="13"/>
      <c r="Q135" s="13" t="n">
        <v>0</v>
      </c>
      <c r="R135" s="13"/>
      <c r="S135" s="16"/>
      <c r="T135" s="11"/>
      <c r="U135" s="11"/>
      <c r="V135" s="14" t="e">
        <f aca="false">OFFSET(tbl_LoC,134,21,1,1)*OFFSET(tbl_LoC,134,20,1,1)</f>
        <v>#VALUE!</v>
      </c>
      <c r="W135" s="17" t="n">
        <v>103</v>
      </c>
      <c r="X135" s="14" t="n">
        <f aca="false">Y135/(1-0.15)/(1-0.6)</f>
        <v>82.3529411764706</v>
      </c>
      <c r="Y135" s="18" t="n">
        <v>28</v>
      </c>
      <c r="Z135" s="19" t="n">
        <f aca="false">OFFSET(tbl_LoC,134,22,1,1)*OFFSET(tbl_LoC,134,20,1,1)</f>
        <v>0</v>
      </c>
      <c r="AA135" s="13" t="e">
        <f aca="false">VLOOKUP(OFFSET(tbl_LoC,134,10,1,1),'[1]List of components'!$C$1:$F$1048576,2,FALSE())</f>
        <v>#N/A</v>
      </c>
      <c r="AB135" s="13"/>
      <c r="AC135" s="13"/>
    </row>
    <row r="136" customFormat="false" ht="15" hidden="false" customHeight="false" outlineLevel="0" collapsed="false">
      <c r="A136" s="11" t="s">
        <v>0</v>
      </c>
      <c r="B136" s="11" t="s">
        <v>1</v>
      </c>
      <c r="C136" s="11" t="s">
        <v>2</v>
      </c>
      <c r="D136" s="11" t="s">
        <v>3</v>
      </c>
      <c r="E136" s="11"/>
      <c r="F136" s="11" t="s">
        <v>5</v>
      </c>
      <c r="G136" s="11" t="s">
        <v>6</v>
      </c>
      <c r="H136" s="11"/>
      <c r="I136" s="11"/>
      <c r="J136" s="13" t="s">
        <v>256</v>
      </c>
      <c r="K136" s="13" t="s">
        <v>296</v>
      </c>
      <c r="L136" s="13" t="s">
        <v>333</v>
      </c>
      <c r="M136" s="13" t="s">
        <v>334</v>
      </c>
      <c r="N136" s="14" t="n">
        <f aca="false">OFFSET(tbl_LoC,135,19,1,1)</f>
        <v>0</v>
      </c>
      <c r="O136" s="15"/>
      <c r="P136" s="13"/>
      <c r="Q136" s="13" t="n">
        <v>0</v>
      </c>
      <c r="R136" s="13"/>
      <c r="S136" s="16"/>
      <c r="T136" s="11"/>
      <c r="U136" s="11"/>
      <c r="V136" s="14" t="e">
        <f aca="false">OFFSET(tbl_LoC,135,21,1,1)*OFFSET(tbl_LoC,135,20,1,1)</f>
        <v>#VALUE!</v>
      </c>
      <c r="W136" s="17" t="n">
        <v>103</v>
      </c>
      <c r="X136" s="14" t="n">
        <f aca="false">Y136/(1-0.15)/(1-0.6)</f>
        <v>91.1764705882353</v>
      </c>
      <c r="Y136" s="18" t="n">
        <v>31</v>
      </c>
      <c r="Z136" s="19" t="n">
        <f aca="false">OFFSET(tbl_LoC,135,22,1,1)*OFFSET(tbl_LoC,135,20,1,1)</f>
        <v>0</v>
      </c>
      <c r="AA136" s="13" t="e">
        <f aca="false">VLOOKUP(OFFSET(tbl_LoC,135,10,1,1),'[1]List of components'!$C$1:$F$1048576,2,FALSE())</f>
        <v>#N/A</v>
      </c>
      <c r="AB136" s="13"/>
      <c r="AC136" s="13"/>
    </row>
    <row r="137" customFormat="false" ht="15" hidden="false" customHeight="false" outlineLevel="0" collapsed="false">
      <c r="A137" s="11" t="s">
        <v>0</v>
      </c>
      <c r="B137" s="11" t="s">
        <v>1</v>
      </c>
      <c r="C137" s="11" t="s">
        <v>2</v>
      </c>
      <c r="D137" s="11" t="s">
        <v>3</v>
      </c>
      <c r="E137" s="11"/>
      <c r="F137" s="11" t="s">
        <v>5</v>
      </c>
      <c r="G137" s="11" t="s">
        <v>6</v>
      </c>
      <c r="H137" s="11"/>
      <c r="I137" s="11"/>
      <c r="J137" s="13" t="s">
        <v>256</v>
      </c>
      <c r="K137" s="13" t="s">
        <v>296</v>
      </c>
      <c r="L137" s="13" t="s">
        <v>335</v>
      </c>
      <c r="M137" s="13" t="s">
        <v>336</v>
      </c>
      <c r="N137" s="14" t="n">
        <f aca="false">OFFSET(tbl_LoC,136,19,1,1)</f>
        <v>0</v>
      </c>
      <c r="O137" s="15"/>
      <c r="P137" s="13"/>
      <c r="Q137" s="13" t="n">
        <v>0</v>
      </c>
      <c r="R137" s="13"/>
      <c r="S137" s="16"/>
      <c r="T137" s="11"/>
      <c r="U137" s="11"/>
      <c r="V137" s="14" t="e">
        <f aca="false">OFFSET(tbl_LoC,136,21,1,1)*OFFSET(tbl_LoC,136,20,1,1)</f>
        <v>#VALUE!</v>
      </c>
      <c r="W137" s="17" t="n">
        <v>103</v>
      </c>
      <c r="X137" s="14" t="n">
        <f aca="false">Y137/(1-0.15)/(1-0.6)</f>
        <v>73.5294117647059</v>
      </c>
      <c r="Y137" s="18" t="n">
        <v>25</v>
      </c>
      <c r="Z137" s="19" t="n">
        <f aca="false">OFFSET(tbl_LoC,136,22,1,1)*OFFSET(tbl_LoC,136,20,1,1)</f>
        <v>0</v>
      </c>
      <c r="AA137" s="13" t="e">
        <f aca="false">VLOOKUP(OFFSET(tbl_LoC,136,10,1,1),'[1]List of components'!$C$1:$F$1048576,2,FALSE())</f>
        <v>#N/A</v>
      </c>
      <c r="AB137" s="13"/>
      <c r="AC137" s="13"/>
    </row>
    <row r="138" customFormat="false" ht="15" hidden="false" customHeight="false" outlineLevel="0" collapsed="false">
      <c r="A138" s="11" t="s">
        <v>0</v>
      </c>
      <c r="B138" s="11" t="s">
        <v>1</v>
      </c>
      <c r="C138" s="11" t="s">
        <v>2</v>
      </c>
      <c r="D138" s="11" t="s">
        <v>3</v>
      </c>
      <c r="E138" s="11"/>
      <c r="F138" s="11"/>
      <c r="G138" s="11" t="s">
        <v>6</v>
      </c>
      <c r="H138" s="11"/>
      <c r="I138" s="11"/>
      <c r="J138" s="13" t="s">
        <v>256</v>
      </c>
      <c r="K138" s="13" t="s">
        <v>296</v>
      </c>
      <c r="L138" s="13" t="s">
        <v>337</v>
      </c>
      <c r="M138" s="21" t="s">
        <v>338</v>
      </c>
      <c r="N138" s="14" t="n">
        <f aca="false">OFFSET(tbl_LoC,137,19,1,1)</f>
        <v>0</v>
      </c>
      <c r="O138" s="15"/>
      <c r="P138" s="13"/>
      <c r="Q138" s="13" t="n">
        <v>0</v>
      </c>
      <c r="R138" s="13"/>
      <c r="S138" s="16"/>
      <c r="T138" s="11"/>
      <c r="U138" s="11"/>
      <c r="V138" s="14" t="e">
        <f aca="false">OFFSET(tbl_LoC,137,21,1,1)*OFFSET(tbl_LoC,137,20,1,1)</f>
        <v>#VALUE!</v>
      </c>
      <c r="W138" s="17" t="n">
        <v>103</v>
      </c>
      <c r="X138" s="14" t="n">
        <f aca="false">Y138/(1-0.15)/(1-0.6)</f>
        <v>735.294117647059</v>
      </c>
      <c r="Y138" s="18" t="n">
        <v>250</v>
      </c>
      <c r="Z138" s="19" t="n">
        <f aca="false">OFFSET(tbl_LoC,137,22,1,1)*OFFSET(tbl_LoC,137,20,1,1)</f>
        <v>0</v>
      </c>
      <c r="AA138" s="13" t="e">
        <f aca="false">VLOOKUP(OFFSET(tbl_LoC,137,10,1,1),'[1]List of components'!$C$1:$F$1048576,2,FALSE())</f>
        <v>#N/A</v>
      </c>
      <c r="AB138" s="13"/>
      <c r="AC138" s="13"/>
    </row>
    <row r="139" customFormat="false" ht="15" hidden="false" customHeight="false" outlineLevel="0" collapsed="false">
      <c r="A139" s="11" t="s">
        <v>0</v>
      </c>
      <c r="B139" s="11" t="s">
        <v>1</v>
      </c>
      <c r="C139" s="11" t="s">
        <v>2</v>
      </c>
      <c r="D139" s="11" t="s">
        <v>3</v>
      </c>
      <c r="E139" s="11"/>
      <c r="F139" s="11"/>
      <c r="G139" s="11" t="s">
        <v>6</v>
      </c>
      <c r="H139" s="11"/>
      <c r="I139" s="11"/>
      <c r="J139" s="13" t="s">
        <v>256</v>
      </c>
      <c r="K139" s="13" t="s">
        <v>296</v>
      </c>
      <c r="L139" s="13" t="s">
        <v>339</v>
      </c>
      <c r="M139" s="21" t="s">
        <v>340</v>
      </c>
      <c r="N139" s="14" t="n">
        <f aca="false">OFFSET(tbl_LoC,138,19,1,1)</f>
        <v>0</v>
      </c>
      <c r="O139" s="15"/>
      <c r="P139" s="13"/>
      <c r="Q139" s="13" t="n">
        <v>0</v>
      </c>
      <c r="R139" s="13"/>
      <c r="S139" s="16"/>
      <c r="T139" s="11"/>
      <c r="U139" s="11"/>
      <c r="V139" s="14" t="e">
        <f aca="false">OFFSET(tbl_LoC,138,21,1,1)*OFFSET(tbl_LoC,138,20,1,1)</f>
        <v>#VALUE!</v>
      </c>
      <c r="W139" s="17" t="n">
        <v>103</v>
      </c>
      <c r="X139" s="14" t="n">
        <f aca="false">Y139/(1-0.15)/(1-0.6)</f>
        <v>1470.58823529412</v>
      </c>
      <c r="Y139" s="18" t="n">
        <v>500</v>
      </c>
      <c r="Z139" s="19" t="n">
        <f aca="false">OFFSET(tbl_LoC,138,22,1,1)*OFFSET(tbl_LoC,138,20,1,1)</f>
        <v>0</v>
      </c>
      <c r="AA139" s="13" t="e">
        <f aca="false">VLOOKUP(OFFSET(tbl_LoC,138,10,1,1),'[1]List of components'!$C$1:$F$1048576,2,FALSE())</f>
        <v>#N/A</v>
      </c>
      <c r="AB139" s="13"/>
      <c r="AC139" s="13"/>
    </row>
    <row r="140" customFormat="false" ht="15" hidden="false" customHeight="false" outlineLevel="0" collapsed="false">
      <c r="A140" s="11" t="s">
        <v>0</v>
      </c>
      <c r="B140" s="11" t="s">
        <v>1</v>
      </c>
      <c r="C140" s="11" t="s">
        <v>2</v>
      </c>
      <c r="D140" s="11" t="s">
        <v>3</v>
      </c>
      <c r="E140" s="11"/>
      <c r="F140" s="11" t="s">
        <v>5</v>
      </c>
      <c r="G140" s="11" t="s">
        <v>6</v>
      </c>
      <c r="H140" s="11"/>
      <c r="I140" s="11"/>
      <c r="J140" s="13" t="s">
        <v>256</v>
      </c>
      <c r="K140" s="13" t="s">
        <v>296</v>
      </c>
      <c r="L140" s="13" t="s">
        <v>341</v>
      </c>
      <c r="M140" s="21" t="s">
        <v>342</v>
      </c>
      <c r="N140" s="14" t="n">
        <f aca="false">OFFSET(tbl_LoC,139,19,1,1)</f>
        <v>0</v>
      </c>
      <c r="O140" s="15"/>
      <c r="P140" s="13"/>
      <c r="Q140" s="13" t="n">
        <v>0</v>
      </c>
      <c r="R140" s="13"/>
      <c r="S140" s="16"/>
      <c r="T140" s="11"/>
      <c r="U140" s="11"/>
      <c r="V140" s="14" t="e">
        <f aca="false">OFFSET(tbl_LoC,139,21,1,1)*OFFSET(tbl_LoC,139,20,1,1)</f>
        <v>#VALUE!</v>
      </c>
      <c r="W140" s="17" t="n">
        <v>103</v>
      </c>
      <c r="X140" s="14" t="n">
        <f aca="false">Y140/(1-0.15)/(1-0.6)</f>
        <v>1176.47058823529</v>
      </c>
      <c r="Y140" s="18" t="n">
        <v>400</v>
      </c>
      <c r="Z140" s="19" t="n">
        <f aca="false">OFFSET(tbl_LoC,139,22,1,1)*OFFSET(tbl_LoC,139,20,1,1)</f>
        <v>0</v>
      </c>
      <c r="AA140" s="13" t="e">
        <f aca="false">VLOOKUP(OFFSET(tbl_LoC,139,10,1,1),'[1]List of components'!$C$1:$F$1048576,2,FALSE())</f>
        <v>#N/A</v>
      </c>
      <c r="AB140" s="13"/>
      <c r="AC140" s="13"/>
    </row>
    <row r="141" customFormat="false" ht="15" hidden="false" customHeight="false" outlineLevel="0" collapsed="false">
      <c r="A141" s="11" t="s">
        <v>0</v>
      </c>
      <c r="B141" s="11" t="s">
        <v>1</v>
      </c>
      <c r="C141" s="11" t="s">
        <v>2</v>
      </c>
      <c r="D141" s="11" t="s">
        <v>3</v>
      </c>
      <c r="E141" s="11"/>
      <c r="F141" s="11" t="s">
        <v>5</v>
      </c>
      <c r="G141" s="11" t="s">
        <v>6</v>
      </c>
      <c r="H141" s="11"/>
      <c r="I141" s="11"/>
      <c r="J141" s="13" t="s">
        <v>256</v>
      </c>
      <c r="K141" s="13" t="s">
        <v>296</v>
      </c>
      <c r="L141" s="13" t="s">
        <v>343</v>
      </c>
      <c r="M141" s="21" t="s">
        <v>344</v>
      </c>
      <c r="N141" s="14" t="n">
        <f aca="false">OFFSET(tbl_LoC,140,19,1,1)</f>
        <v>0</v>
      </c>
      <c r="O141" s="15"/>
      <c r="P141" s="13"/>
      <c r="Q141" s="13" t="n">
        <v>0</v>
      </c>
      <c r="R141" s="13"/>
      <c r="S141" s="16"/>
      <c r="T141" s="11"/>
      <c r="U141" s="11"/>
      <c r="V141" s="14" t="e">
        <f aca="false">OFFSET(tbl_LoC,140,21,1,1)*OFFSET(tbl_LoC,140,20,1,1)</f>
        <v>#VALUE!</v>
      </c>
      <c r="W141" s="17" t="n">
        <v>103</v>
      </c>
      <c r="X141" s="14" t="n">
        <f aca="false">Y141/(1-0.15)/(1-0.6)</f>
        <v>588.235294117647</v>
      </c>
      <c r="Y141" s="18" t="n">
        <v>200</v>
      </c>
      <c r="Z141" s="19" t="n">
        <f aca="false">OFFSET(tbl_LoC,140,22,1,1)*OFFSET(tbl_LoC,140,20,1,1)</f>
        <v>0</v>
      </c>
      <c r="AA141" s="13" t="e">
        <f aca="false">VLOOKUP(OFFSET(tbl_LoC,140,10,1,1),'[1]List of components'!$C$1:$F$1048576,2,FALSE())</f>
        <v>#N/A</v>
      </c>
      <c r="AB141" s="13"/>
      <c r="AC141" s="13"/>
    </row>
    <row r="142" customFormat="false" ht="15" hidden="false" customHeight="false" outlineLevel="0" collapsed="false">
      <c r="A142" s="11" t="s">
        <v>0</v>
      </c>
      <c r="B142" s="11" t="s">
        <v>1</v>
      </c>
      <c r="C142" s="11" t="s">
        <v>2</v>
      </c>
      <c r="D142" s="11" t="s">
        <v>3</v>
      </c>
      <c r="E142" s="11"/>
      <c r="F142" s="11" t="s">
        <v>5</v>
      </c>
      <c r="G142" s="11" t="s">
        <v>6</v>
      </c>
      <c r="H142" s="11"/>
      <c r="I142" s="11"/>
      <c r="J142" s="13" t="s">
        <v>256</v>
      </c>
      <c r="K142" s="13" t="s">
        <v>296</v>
      </c>
      <c r="L142" s="13" t="s">
        <v>345</v>
      </c>
      <c r="M142" s="21" t="s">
        <v>346</v>
      </c>
      <c r="N142" s="14" t="n">
        <f aca="false">OFFSET(tbl_LoC,141,19,1,1)</f>
        <v>0</v>
      </c>
      <c r="O142" s="15"/>
      <c r="P142" s="13"/>
      <c r="Q142" s="13" t="n">
        <v>0</v>
      </c>
      <c r="R142" s="13"/>
      <c r="S142" s="16"/>
      <c r="T142" s="11"/>
      <c r="U142" s="11"/>
      <c r="V142" s="14" t="e">
        <f aca="false">OFFSET(tbl_LoC,141,21,1,1)*OFFSET(tbl_LoC,141,20,1,1)</f>
        <v>#VALUE!</v>
      </c>
      <c r="W142" s="17" t="n">
        <v>103</v>
      </c>
      <c r="X142" s="14" t="n">
        <f aca="false">Y142/(1-0.15)/(1-0.6)</f>
        <v>882.352941176471</v>
      </c>
      <c r="Y142" s="18" t="n">
        <v>300</v>
      </c>
      <c r="Z142" s="19" t="n">
        <f aca="false">OFFSET(tbl_LoC,141,22,1,1)*OFFSET(tbl_LoC,141,20,1,1)</f>
        <v>0</v>
      </c>
      <c r="AA142" s="13" t="e">
        <f aca="false">VLOOKUP(OFFSET(tbl_LoC,141,10,1,1),'[1]List of components'!$C$1:$F$1048576,2,FALSE())</f>
        <v>#N/A</v>
      </c>
      <c r="AB142" s="13"/>
      <c r="AC142" s="13"/>
    </row>
    <row r="143" customFormat="false" ht="15" hidden="false" customHeight="false" outlineLevel="0" collapsed="false">
      <c r="A143" s="11" t="s">
        <v>0</v>
      </c>
      <c r="B143" s="11" t="s">
        <v>1</v>
      </c>
      <c r="C143" s="11" t="s">
        <v>2</v>
      </c>
      <c r="D143" s="11" t="s">
        <v>3</v>
      </c>
      <c r="E143" s="11"/>
      <c r="F143" s="11" t="s">
        <v>5</v>
      </c>
      <c r="G143" s="11" t="s">
        <v>6</v>
      </c>
      <c r="H143" s="11"/>
      <c r="I143" s="11"/>
      <c r="J143" s="13" t="s">
        <v>256</v>
      </c>
      <c r="K143" s="13" t="s">
        <v>296</v>
      </c>
      <c r="L143" s="13" t="s">
        <v>347</v>
      </c>
      <c r="M143" s="21" t="s">
        <v>348</v>
      </c>
      <c r="N143" s="14" t="n">
        <f aca="false">OFFSET(tbl_LoC,142,19,1,1)</f>
        <v>0</v>
      </c>
      <c r="O143" s="15"/>
      <c r="P143" s="13"/>
      <c r="Q143" s="13" t="n">
        <v>0</v>
      </c>
      <c r="R143" s="13"/>
      <c r="S143" s="16"/>
      <c r="T143" s="11"/>
      <c r="U143" s="11"/>
      <c r="V143" s="14" t="e">
        <f aca="false">OFFSET(tbl_LoC,142,21,1,1)*OFFSET(tbl_LoC,142,20,1,1)</f>
        <v>#VALUE!</v>
      </c>
      <c r="W143" s="17" t="n">
        <v>103</v>
      </c>
      <c r="X143" s="14" t="n">
        <f aca="false">Y143/(1-0.15)/(1-0.6)</f>
        <v>44.1176470588235</v>
      </c>
      <c r="Y143" s="18" t="n">
        <v>15</v>
      </c>
      <c r="Z143" s="19" t="n">
        <f aca="false">OFFSET(tbl_LoC,142,22,1,1)*OFFSET(tbl_LoC,142,20,1,1)</f>
        <v>0</v>
      </c>
      <c r="AA143" s="13" t="e">
        <f aca="false">VLOOKUP(OFFSET(tbl_LoC,142,10,1,1),'[1]List of components'!$C$1:$F$1048576,2,FALSE())</f>
        <v>#N/A</v>
      </c>
      <c r="AB143" s="13"/>
      <c r="AC143" s="13"/>
    </row>
    <row r="144" customFormat="false" ht="15" hidden="false" customHeight="false" outlineLevel="0" collapsed="false">
      <c r="A144" s="11" t="s">
        <v>0</v>
      </c>
      <c r="B144" s="11" t="s">
        <v>1</v>
      </c>
      <c r="C144" s="11" t="s">
        <v>2</v>
      </c>
      <c r="D144" s="11" t="s">
        <v>3</v>
      </c>
      <c r="E144" s="11"/>
      <c r="F144" s="11" t="s">
        <v>5</v>
      </c>
      <c r="G144" s="11" t="s">
        <v>6</v>
      </c>
      <c r="H144" s="11"/>
      <c r="I144" s="11"/>
      <c r="J144" s="13" t="s">
        <v>256</v>
      </c>
      <c r="K144" s="13" t="s">
        <v>296</v>
      </c>
      <c r="L144" s="13" t="s">
        <v>349</v>
      </c>
      <c r="M144" s="21" t="s">
        <v>350</v>
      </c>
      <c r="N144" s="14" t="n">
        <f aca="false">OFFSET(tbl_LoC,143,19,1,1)</f>
        <v>0</v>
      </c>
      <c r="O144" s="15"/>
      <c r="P144" s="13"/>
      <c r="Q144" s="13" t="n">
        <v>0</v>
      </c>
      <c r="R144" s="13"/>
      <c r="S144" s="16"/>
      <c r="T144" s="11"/>
      <c r="U144" s="11"/>
      <c r="V144" s="14" t="e">
        <f aca="false">OFFSET(tbl_LoC,143,21,1,1)*OFFSET(tbl_LoC,143,20,1,1)</f>
        <v>#VALUE!</v>
      </c>
      <c r="W144" s="17" t="n">
        <v>103</v>
      </c>
      <c r="X144" s="14" t="n">
        <f aca="false">Y144/(1-0.15)/(1-0.6)</f>
        <v>47.0588235294118</v>
      </c>
      <c r="Y144" s="18" t="n">
        <v>16</v>
      </c>
      <c r="Z144" s="19" t="n">
        <f aca="false">OFFSET(tbl_LoC,143,22,1,1)*OFFSET(tbl_LoC,143,20,1,1)</f>
        <v>0</v>
      </c>
      <c r="AA144" s="13" t="e">
        <f aca="false">VLOOKUP(OFFSET(tbl_LoC,143,10,1,1),'[1]List of components'!$C$1:$F$1048576,2,FALSE())</f>
        <v>#N/A</v>
      </c>
      <c r="AB144" s="13"/>
      <c r="AC144" s="13"/>
    </row>
    <row r="145" customFormat="false" ht="15" hidden="false" customHeight="false" outlineLevel="0" collapsed="false">
      <c r="A145" s="11" t="s">
        <v>0</v>
      </c>
      <c r="B145" s="11" t="s">
        <v>1</v>
      </c>
      <c r="C145" s="11" t="s">
        <v>2</v>
      </c>
      <c r="D145" s="11" t="s">
        <v>3</v>
      </c>
      <c r="E145" s="11"/>
      <c r="F145" s="11" t="s">
        <v>5</v>
      </c>
      <c r="G145" s="11" t="s">
        <v>6</v>
      </c>
      <c r="H145" s="11"/>
      <c r="I145" s="11"/>
      <c r="J145" s="13" t="s">
        <v>256</v>
      </c>
      <c r="K145" s="13" t="s">
        <v>296</v>
      </c>
      <c r="L145" s="13" t="s">
        <v>351</v>
      </c>
      <c r="M145" s="21" t="s">
        <v>352</v>
      </c>
      <c r="N145" s="14" t="n">
        <f aca="false">OFFSET(tbl_LoC,144,19,1,1)</f>
        <v>0</v>
      </c>
      <c r="O145" s="15"/>
      <c r="P145" s="13"/>
      <c r="Q145" s="13" t="n">
        <v>0</v>
      </c>
      <c r="R145" s="13"/>
      <c r="S145" s="16"/>
      <c r="T145" s="11"/>
      <c r="U145" s="11"/>
      <c r="V145" s="14" t="e">
        <f aca="false">OFFSET(tbl_LoC,144,21,1,1)*OFFSET(tbl_LoC,144,20,1,1)</f>
        <v>#VALUE!</v>
      </c>
      <c r="W145" s="17" t="n">
        <v>103</v>
      </c>
      <c r="X145" s="14" t="n">
        <f aca="false">Y145/(1-0.15)/(1-0.6)</f>
        <v>50</v>
      </c>
      <c r="Y145" s="18" t="n">
        <v>17</v>
      </c>
      <c r="Z145" s="19" t="n">
        <f aca="false">OFFSET(tbl_LoC,144,22,1,1)*OFFSET(tbl_LoC,144,20,1,1)</f>
        <v>0</v>
      </c>
      <c r="AA145" s="13" t="e">
        <f aca="false">VLOOKUP(OFFSET(tbl_LoC,144,10,1,1),'[1]List of components'!$C$1:$F$1048576,2,FALSE())</f>
        <v>#N/A</v>
      </c>
      <c r="AB145" s="13"/>
      <c r="AC145" s="13"/>
    </row>
    <row r="146" customFormat="false" ht="15" hidden="false" customHeight="false" outlineLevel="0" collapsed="false">
      <c r="A146" s="11" t="s">
        <v>0</v>
      </c>
      <c r="B146" s="11" t="s">
        <v>1</v>
      </c>
      <c r="C146" s="11" t="s">
        <v>2</v>
      </c>
      <c r="D146" s="11" t="s">
        <v>3</v>
      </c>
      <c r="E146" s="11"/>
      <c r="F146" s="11" t="s">
        <v>5</v>
      </c>
      <c r="G146" s="11" t="s">
        <v>6</v>
      </c>
      <c r="H146" s="11"/>
      <c r="I146" s="11"/>
      <c r="J146" s="13" t="s">
        <v>256</v>
      </c>
      <c r="K146" s="13" t="s">
        <v>296</v>
      </c>
      <c r="L146" s="13" t="s">
        <v>353</v>
      </c>
      <c r="M146" s="21" t="s">
        <v>336</v>
      </c>
      <c r="N146" s="14" t="n">
        <f aca="false">OFFSET(tbl_LoC,145,19,1,1)</f>
        <v>0</v>
      </c>
      <c r="O146" s="15"/>
      <c r="P146" s="13"/>
      <c r="Q146" s="13" t="n">
        <v>0</v>
      </c>
      <c r="R146" s="13"/>
      <c r="S146" s="16"/>
      <c r="T146" s="11"/>
      <c r="U146" s="11"/>
      <c r="V146" s="14" t="e">
        <f aca="false">OFFSET(tbl_LoC,145,21,1,1)*OFFSET(tbl_LoC,145,20,1,1)</f>
        <v>#VALUE!</v>
      </c>
      <c r="W146" s="17" t="n">
        <v>103</v>
      </c>
      <c r="X146" s="14" t="n">
        <f aca="false">Y146/(1-0.15)/(1-0.6)</f>
        <v>73.5294117647059</v>
      </c>
      <c r="Y146" s="18" t="n">
        <v>25</v>
      </c>
      <c r="Z146" s="19" t="n">
        <f aca="false">OFFSET(tbl_LoC,145,22,1,1)*OFFSET(tbl_LoC,145,20,1,1)</f>
        <v>0</v>
      </c>
      <c r="AA146" s="13" t="e">
        <f aca="false">VLOOKUP(OFFSET(tbl_LoC,145,10,1,1),'[1]List of components'!$C$1:$F$1048576,2,FALSE())</f>
        <v>#N/A</v>
      </c>
      <c r="AB146" s="13"/>
      <c r="AC146" s="13"/>
    </row>
    <row r="147" customFormat="false" ht="15" hidden="false" customHeight="false" outlineLevel="0" collapsed="false">
      <c r="A147" s="11" t="s">
        <v>0</v>
      </c>
      <c r="B147" s="11" t="s">
        <v>1</v>
      </c>
      <c r="C147" s="11" t="s">
        <v>2</v>
      </c>
      <c r="D147" s="11" t="s">
        <v>3</v>
      </c>
      <c r="E147" s="11"/>
      <c r="F147" s="11" t="s">
        <v>5</v>
      </c>
      <c r="G147" s="11" t="s">
        <v>6</v>
      </c>
      <c r="H147" s="11"/>
      <c r="I147" s="11"/>
      <c r="J147" s="13" t="s">
        <v>256</v>
      </c>
      <c r="K147" s="13" t="s">
        <v>296</v>
      </c>
      <c r="L147" s="13" t="s">
        <v>354</v>
      </c>
      <c r="M147" s="21" t="s">
        <v>355</v>
      </c>
      <c r="N147" s="14" t="n">
        <f aca="false">OFFSET(tbl_LoC,146,19,1,1)</f>
        <v>0</v>
      </c>
      <c r="O147" s="15"/>
      <c r="P147" s="13"/>
      <c r="Q147" s="13" t="n">
        <v>0</v>
      </c>
      <c r="R147" s="13"/>
      <c r="S147" s="16"/>
      <c r="T147" s="11"/>
      <c r="U147" s="11"/>
      <c r="V147" s="14" t="e">
        <f aca="false">OFFSET(tbl_LoC,146,21,1,1)*OFFSET(tbl_LoC,146,20,1,1)</f>
        <v>#VALUE!</v>
      </c>
      <c r="W147" s="17" t="n">
        <v>103</v>
      </c>
      <c r="X147" s="14" t="n">
        <f aca="false">Y147/(1-0.15)/(1-0.6)</f>
        <v>441.176470588235</v>
      </c>
      <c r="Y147" s="18" t="n">
        <v>150</v>
      </c>
      <c r="Z147" s="19" t="n">
        <f aca="false">OFFSET(tbl_LoC,146,22,1,1)*OFFSET(tbl_LoC,146,20,1,1)</f>
        <v>0</v>
      </c>
      <c r="AA147" s="13" t="e">
        <f aca="false">VLOOKUP(OFFSET(tbl_LoC,146,10,1,1),'[1]List of components'!$C$1:$F$1048576,2,FALSE())</f>
        <v>#N/A</v>
      </c>
      <c r="AB147" s="13"/>
      <c r="AC147" s="13"/>
    </row>
    <row r="148" customFormat="false" ht="15" hidden="false" customHeight="false" outlineLevel="0" collapsed="false">
      <c r="A148" s="11" t="s">
        <v>0</v>
      </c>
      <c r="B148" s="11" t="s">
        <v>1</v>
      </c>
      <c r="C148" s="11" t="s">
        <v>2</v>
      </c>
      <c r="D148" s="11" t="s">
        <v>3</v>
      </c>
      <c r="E148" s="11"/>
      <c r="F148" s="11" t="s">
        <v>5</v>
      </c>
      <c r="G148" s="11" t="s">
        <v>6</v>
      </c>
      <c r="H148" s="11"/>
      <c r="I148" s="11"/>
      <c r="J148" s="13" t="s">
        <v>256</v>
      </c>
      <c r="K148" s="13" t="s">
        <v>296</v>
      </c>
      <c r="L148" s="13" t="s">
        <v>356</v>
      </c>
      <c r="M148" s="21" t="s">
        <v>357</v>
      </c>
      <c r="N148" s="14" t="n">
        <f aca="false">OFFSET(tbl_LoC,147,19,1,1)</f>
        <v>0</v>
      </c>
      <c r="O148" s="15"/>
      <c r="P148" s="13"/>
      <c r="Q148" s="13" t="n">
        <v>0</v>
      </c>
      <c r="R148" s="13"/>
      <c r="S148" s="16"/>
      <c r="T148" s="11"/>
      <c r="U148" s="11"/>
      <c r="V148" s="14" t="e">
        <f aca="false">OFFSET(tbl_LoC,147,21,1,1)*OFFSET(tbl_LoC,147,20,1,1)</f>
        <v>#VALUE!</v>
      </c>
      <c r="W148" s="17" t="n">
        <v>103</v>
      </c>
      <c r="X148" s="14" t="n">
        <f aca="false">Y148/(1-0.15)/(1-0.6)</f>
        <v>58.8235294117647</v>
      </c>
      <c r="Y148" s="18" t="n">
        <v>20</v>
      </c>
      <c r="Z148" s="19" t="n">
        <f aca="false">OFFSET(tbl_LoC,147,22,1,1)*OFFSET(tbl_LoC,147,20,1,1)</f>
        <v>0</v>
      </c>
      <c r="AA148" s="13" t="e">
        <f aca="false">VLOOKUP(OFFSET(tbl_LoC,147,10,1,1),'[1]List of components'!$C$1:$F$1048576,2,FALSE())</f>
        <v>#N/A</v>
      </c>
      <c r="AB148" s="13"/>
      <c r="AC148" s="13"/>
    </row>
    <row r="149" customFormat="false" ht="15" hidden="false" customHeight="false" outlineLevel="0" collapsed="false">
      <c r="A149" s="11" t="s">
        <v>0</v>
      </c>
      <c r="B149" s="11" t="s">
        <v>1</v>
      </c>
      <c r="C149" s="11" t="s">
        <v>2</v>
      </c>
      <c r="D149" s="11" t="s">
        <v>3</v>
      </c>
      <c r="E149" s="11"/>
      <c r="F149" s="11" t="s">
        <v>5</v>
      </c>
      <c r="G149" s="11" t="s">
        <v>6</v>
      </c>
      <c r="H149" s="11"/>
      <c r="I149" s="11"/>
      <c r="J149" s="13" t="s">
        <v>256</v>
      </c>
      <c r="K149" s="13" t="s">
        <v>296</v>
      </c>
      <c r="L149" s="13" t="s">
        <v>358</v>
      </c>
      <c r="M149" s="21" t="s">
        <v>359</v>
      </c>
      <c r="N149" s="14" t="n">
        <f aca="false">OFFSET(tbl_LoC,148,19,1,1)</f>
        <v>0</v>
      </c>
      <c r="O149" s="15"/>
      <c r="P149" s="13"/>
      <c r="Q149" s="13" t="n">
        <v>0</v>
      </c>
      <c r="R149" s="13"/>
      <c r="S149" s="16"/>
      <c r="T149" s="11"/>
      <c r="U149" s="11"/>
      <c r="V149" s="14" t="e">
        <f aca="false">OFFSET(tbl_LoC,148,21,1,1)*OFFSET(tbl_LoC,148,20,1,1)</f>
        <v>#VALUE!</v>
      </c>
      <c r="W149" s="17" t="n">
        <v>103</v>
      </c>
      <c r="X149" s="14" t="n">
        <f aca="false">Y149/(1-0.15)/(1-0.6)</f>
        <v>61.7647058823529</v>
      </c>
      <c r="Y149" s="18" t="n">
        <v>21</v>
      </c>
      <c r="Z149" s="19" t="n">
        <f aca="false">OFFSET(tbl_LoC,148,22,1,1)*OFFSET(tbl_LoC,148,20,1,1)</f>
        <v>0</v>
      </c>
      <c r="AA149" s="13" t="e">
        <f aca="false">VLOOKUP(OFFSET(tbl_LoC,148,10,1,1),'[1]List of components'!$C$1:$F$1048576,2,FALSE())</f>
        <v>#N/A</v>
      </c>
      <c r="AB149" s="13"/>
      <c r="AC149" s="13"/>
    </row>
    <row r="150" customFormat="false" ht="15" hidden="false" customHeight="false" outlineLevel="0" collapsed="false">
      <c r="A150" s="11" t="s">
        <v>0</v>
      </c>
      <c r="B150" s="11" t="s">
        <v>1</v>
      </c>
      <c r="C150" s="11" t="s">
        <v>2</v>
      </c>
      <c r="D150" s="11" t="s">
        <v>3</v>
      </c>
      <c r="E150" s="11"/>
      <c r="F150" s="11" t="s">
        <v>5</v>
      </c>
      <c r="G150" s="11" t="s">
        <v>6</v>
      </c>
      <c r="H150" s="11"/>
      <c r="I150" s="11"/>
      <c r="J150" s="13" t="s">
        <v>256</v>
      </c>
      <c r="K150" s="13" t="s">
        <v>296</v>
      </c>
      <c r="L150" s="13" t="s">
        <v>360</v>
      </c>
      <c r="M150" s="21" t="s">
        <v>361</v>
      </c>
      <c r="N150" s="14" t="n">
        <f aca="false">OFFSET(tbl_LoC,149,19,1,1)</f>
        <v>0</v>
      </c>
      <c r="O150" s="15"/>
      <c r="P150" s="13"/>
      <c r="Q150" s="13" t="n">
        <v>0</v>
      </c>
      <c r="R150" s="13"/>
      <c r="S150" s="16"/>
      <c r="T150" s="11"/>
      <c r="U150" s="11"/>
      <c r="V150" s="14" t="e">
        <f aca="false">OFFSET(tbl_LoC,149,21,1,1)*OFFSET(tbl_LoC,149,20,1,1)</f>
        <v>#VALUE!</v>
      </c>
      <c r="W150" s="17" t="n">
        <v>103</v>
      </c>
      <c r="X150" s="14" t="n">
        <f aca="false">Y150/(1-0.15)/(1-0.6)</f>
        <v>64.7058823529412</v>
      </c>
      <c r="Y150" s="18" t="n">
        <v>22</v>
      </c>
      <c r="Z150" s="19" t="n">
        <f aca="false">OFFSET(tbl_LoC,149,22,1,1)*OFFSET(tbl_LoC,149,20,1,1)</f>
        <v>0</v>
      </c>
      <c r="AA150" s="13" t="e">
        <f aca="false">VLOOKUP(OFFSET(tbl_LoC,149,10,1,1),'[1]List of components'!$C$1:$F$1048576,2,FALSE())</f>
        <v>#N/A</v>
      </c>
      <c r="AB150" s="13"/>
      <c r="AC150" s="13"/>
    </row>
    <row r="151" customFormat="false" ht="15" hidden="false" customHeight="false" outlineLevel="0" collapsed="false">
      <c r="A151" s="11" t="s">
        <v>0</v>
      </c>
      <c r="B151" s="11" t="s">
        <v>1</v>
      </c>
      <c r="C151" s="11" t="s">
        <v>2</v>
      </c>
      <c r="D151" s="11" t="s">
        <v>3</v>
      </c>
      <c r="E151" s="11"/>
      <c r="F151" s="11"/>
      <c r="G151" s="11" t="s">
        <v>6</v>
      </c>
      <c r="H151" s="11"/>
      <c r="I151" s="11"/>
      <c r="J151" s="13" t="s">
        <v>362</v>
      </c>
      <c r="K151" s="13"/>
      <c r="L151" s="13" t="s">
        <v>363</v>
      </c>
      <c r="M151" s="13" t="s">
        <v>364</v>
      </c>
      <c r="N151" s="14" t="n">
        <f aca="false">OFFSET(tbl_LoC,150,19,1,1)</f>
        <v>0</v>
      </c>
      <c r="O151" s="15"/>
      <c r="P151" s="13"/>
      <c r="Q151" s="13" t="n">
        <v>0</v>
      </c>
      <c r="R151" s="13"/>
      <c r="S151" s="16"/>
      <c r="T151" s="11"/>
      <c r="U151" s="11"/>
      <c r="V151" s="14" t="e">
        <f aca="false">OFFSET(tbl_LoC,150,21,1,1)*OFFSET(tbl_LoC,150,20,1,1)</f>
        <v>#VALUE!</v>
      </c>
      <c r="W151" s="17" t="n">
        <v>103</v>
      </c>
      <c r="X151" s="14" t="n">
        <f aca="false">Y151/(1-0.15)/(1-0.6)</f>
        <v>1470.58823529412</v>
      </c>
      <c r="Y151" s="18" t="n">
        <v>500</v>
      </c>
      <c r="Z151" s="19" t="n">
        <f aca="false">OFFSET(tbl_LoC,150,22,1,1)*OFFSET(tbl_LoC,150,20,1,1)</f>
        <v>0</v>
      </c>
      <c r="AA151" s="13" t="n">
        <v>350</v>
      </c>
      <c r="AB151" s="13"/>
      <c r="AC151" s="13"/>
    </row>
    <row r="152" customFormat="false" ht="15" hidden="false" customHeight="false" outlineLevel="0" collapsed="false">
      <c r="A152" s="11" t="s">
        <v>0</v>
      </c>
      <c r="B152" s="11" t="s">
        <v>1</v>
      </c>
      <c r="C152" s="11" t="s">
        <v>2</v>
      </c>
      <c r="D152" s="11" t="s">
        <v>3</v>
      </c>
      <c r="E152" s="11"/>
      <c r="F152" s="11"/>
      <c r="G152" s="11" t="s">
        <v>6</v>
      </c>
      <c r="H152" s="11"/>
      <c r="I152" s="11"/>
      <c r="J152" s="13" t="s">
        <v>362</v>
      </c>
      <c r="K152" s="13"/>
      <c r="L152" s="13" t="s">
        <v>365</v>
      </c>
      <c r="M152" s="13" t="s">
        <v>366</v>
      </c>
      <c r="N152" s="14" t="n">
        <f aca="false">OFFSET(tbl_LoC,151,19,1,1)</f>
        <v>0</v>
      </c>
      <c r="O152" s="15"/>
      <c r="P152" s="13"/>
      <c r="Q152" s="13" t="n">
        <v>0</v>
      </c>
      <c r="R152" s="13"/>
      <c r="S152" s="16"/>
      <c r="T152" s="11"/>
      <c r="U152" s="11"/>
      <c r="V152" s="14" t="e">
        <f aca="false">OFFSET(tbl_LoC,151,21,1,1)*OFFSET(tbl_LoC,151,20,1,1)</f>
        <v>#VALUE!</v>
      </c>
      <c r="W152" s="17" t="n">
        <v>103</v>
      </c>
      <c r="X152" s="14" t="n">
        <f aca="false">Y152/(1-0.15)/(1-0.6)</f>
        <v>735.294117647059</v>
      </c>
      <c r="Y152" s="18" t="n">
        <v>250</v>
      </c>
      <c r="Z152" s="19" t="n">
        <f aca="false">OFFSET(tbl_LoC,151,22,1,1)*OFFSET(tbl_LoC,151,20,1,1)</f>
        <v>0</v>
      </c>
      <c r="AA152" s="13" t="str">
        <f aca="false">VLOOKUP(OFFSET(tbl_LoC,151,10,1,1),'[1]List of components'!$C$1:$F$1048576,2,FALSE())</f>
        <v/>
      </c>
      <c r="AB152" s="13"/>
      <c r="AC152" s="13"/>
    </row>
    <row r="153" customFormat="false" ht="15" hidden="false" customHeight="false" outlineLevel="0" collapsed="false">
      <c r="A153" s="11" t="s">
        <v>0</v>
      </c>
      <c r="B153" s="11" t="s">
        <v>1</v>
      </c>
      <c r="C153" s="11" t="s">
        <v>2</v>
      </c>
      <c r="D153" s="11" t="s">
        <v>3</v>
      </c>
      <c r="E153" s="11"/>
      <c r="F153" s="11"/>
      <c r="G153" s="11" t="s">
        <v>6</v>
      </c>
      <c r="H153" s="11"/>
      <c r="I153" s="11"/>
      <c r="J153" s="13" t="s">
        <v>362</v>
      </c>
      <c r="K153" s="13"/>
      <c r="L153" s="13" t="s">
        <v>367</v>
      </c>
      <c r="M153" s="13" t="s">
        <v>368</v>
      </c>
      <c r="N153" s="14" t="n">
        <f aca="false">OFFSET(tbl_LoC,152,19,1,1)</f>
        <v>0</v>
      </c>
      <c r="O153" s="15"/>
      <c r="P153" s="13"/>
      <c r="Q153" s="13" t="n">
        <v>0</v>
      </c>
      <c r="R153" s="13"/>
      <c r="S153" s="16"/>
      <c r="T153" s="11"/>
      <c r="U153" s="11"/>
      <c r="V153" s="14" t="e">
        <f aca="false">OFFSET(tbl_LoC,152,21,1,1)*OFFSET(tbl_LoC,152,20,1,1)</f>
        <v>#VALUE!</v>
      </c>
      <c r="W153" s="17" t="n">
        <v>103</v>
      </c>
      <c r="X153" s="14" t="n">
        <f aca="false">Y153/(1-0.15)/(1-0.6)</f>
        <v>882.352941176471</v>
      </c>
      <c r="Y153" s="18" t="n">
        <v>300</v>
      </c>
      <c r="Z153" s="19" t="n">
        <f aca="false">OFFSET(tbl_LoC,152,22,1,1)*OFFSET(tbl_LoC,152,20,1,1)</f>
        <v>0</v>
      </c>
      <c r="AA153" s="13" t="str">
        <f aca="false">VLOOKUP(OFFSET(tbl_LoC,152,10,1,1),'[1]List of components'!$C$1:$F$1048576,2,FALSE())</f>
        <v/>
      </c>
      <c r="AB153" s="13"/>
      <c r="AC153" s="13"/>
    </row>
    <row r="154" customFormat="false" ht="15" hidden="false" customHeight="false" outlineLevel="0" collapsed="false">
      <c r="A154" s="11" t="s">
        <v>0</v>
      </c>
      <c r="B154" s="11" t="s">
        <v>1</v>
      </c>
      <c r="C154" s="11" t="s">
        <v>2</v>
      </c>
      <c r="D154" s="11" t="s">
        <v>3</v>
      </c>
      <c r="E154" s="11"/>
      <c r="F154" s="11"/>
      <c r="G154" s="11" t="s">
        <v>6</v>
      </c>
      <c r="H154" s="11"/>
      <c r="I154" s="11"/>
      <c r="J154" s="13" t="s">
        <v>362</v>
      </c>
      <c r="K154" s="13"/>
      <c r="L154" s="13" t="s">
        <v>369</v>
      </c>
      <c r="M154" s="13" t="s">
        <v>370</v>
      </c>
      <c r="N154" s="14" t="n">
        <f aca="false">OFFSET(tbl_LoC,153,19,1,1)</f>
        <v>0</v>
      </c>
      <c r="O154" s="15"/>
      <c r="P154" s="13"/>
      <c r="Q154" s="13" t="n">
        <v>0</v>
      </c>
      <c r="R154" s="13"/>
      <c r="S154" s="16"/>
      <c r="T154" s="11"/>
      <c r="U154" s="11"/>
      <c r="V154" s="14" t="e">
        <f aca="false">OFFSET(tbl_LoC,153,21,1,1)*OFFSET(tbl_LoC,153,20,1,1)</f>
        <v>#VALUE!</v>
      </c>
      <c r="W154" s="17" t="n">
        <v>103</v>
      </c>
      <c r="X154" s="14" t="n">
        <f aca="false">Y154/(1-0.15)/(1-0.6)</f>
        <v>882.352941176471</v>
      </c>
      <c r="Y154" s="18" t="n">
        <v>300</v>
      </c>
      <c r="Z154" s="19" t="n">
        <f aca="false">OFFSET(tbl_LoC,153,22,1,1)*OFFSET(tbl_LoC,153,20,1,1)</f>
        <v>0</v>
      </c>
      <c r="AA154" s="13" t="str">
        <f aca="false">VLOOKUP(OFFSET(tbl_LoC,153,10,1,1),'[1]List of components'!$C$1:$F$1048576,2,FALSE())</f>
        <v/>
      </c>
      <c r="AB154" s="13"/>
      <c r="AC154" s="13"/>
    </row>
    <row r="155" customFormat="false" ht="15" hidden="false" customHeight="false" outlineLevel="0" collapsed="false">
      <c r="A155" s="11" t="s">
        <v>0</v>
      </c>
      <c r="B155" s="11" t="s">
        <v>1</v>
      </c>
      <c r="C155" s="11" t="s">
        <v>2</v>
      </c>
      <c r="D155" s="11" t="s">
        <v>3</v>
      </c>
      <c r="E155" s="11"/>
      <c r="F155" s="11"/>
      <c r="G155" s="11" t="s">
        <v>6</v>
      </c>
      <c r="H155" s="11"/>
      <c r="I155" s="11"/>
      <c r="J155" s="13" t="s">
        <v>362</v>
      </c>
      <c r="K155" s="13"/>
      <c r="L155" s="13" t="s">
        <v>371</v>
      </c>
      <c r="M155" s="13" t="s">
        <v>372</v>
      </c>
      <c r="N155" s="14" t="n">
        <f aca="false">OFFSET(tbl_LoC,154,19,1,1)</f>
        <v>0</v>
      </c>
      <c r="O155" s="15"/>
      <c r="P155" s="13"/>
      <c r="Q155" s="13" t="n">
        <v>0</v>
      </c>
      <c r="R155" s="13"/>
      <c r="S155" s="16"/>
      <c r="T155" s="11"/>
      <c r="U155" s="11"/>
      <c r="V155" s="14" t="e">
        <f aca="false">OFFSET(tbl_LoC,154,21,1,1)*OFFSET(tbl_LoC,154,20,1,1)</f>
        <v>#VALUE!</v>
      </c>
      <c r="W155" s="17" t="n">
        <v>103</v>
      </c>
      <c r="X155" s="14" t="n">
        <f aca="false">Y155/(1-0.15)/(1-0.6)</f>
        <v>1323.52941176471</v>
      </c>
      <c r="Y155" s="18" t="n">
        <v>450</v>
      </c>
      <c r="Z155" s="19" t="n">
        <f aca="false">OFFSET(tbl_LoC,154,22,1,1)*OFFSET(tbl_LoC,154,20,1,1)</f>
        <v>0</v>
      </c>
      <c r="AA155" s="13" t="str">
        <f aca="false">VLOOKUP(OFFSET(tbl_LoC,154,10,1,1),'[1]List of components'!$C$1:$F$1048576,2,FALSE())</f>
        <v/>
      </c>
      <c r="AB155" s="13"/>
      <c r="AC155" s="13"/>
    </row>
    <row r="156" customFormat="false" ht="15" hidden="false" customHeight="false" outlineLevel="0" collapsed="false">
      <c r="A156" s="11" t="s">
        <v>0</v>
      </c>
      <c r="B156" s="11" t="s">
        <v>1</v>
      </c>
      <c r="C156" s="11" t="s">
        <v>2</v>
      </c>
      <c r="D156" s="11" t="s">
        <v>3</v>
      </c>
      <c r="E156" s="11"/>
      <c r="F156" s="11"/>
      <c r="G156" s="11" t="s">
        <v>6</v>
      </c>
      <c r="H156" s="11"/>
      <c r="I156" s="11"/>
      <c r="J156" s="13" t="s">
        <v>362</v>
      </c>
      <c r="K156" s="13"/>
      <c r="L156" s="13" t="s">
        <v>373</v>
      </c>
      <c r="M156" s="13" t="s">
        <v>374</v>
      </c>
      <c r="N156" s="14" t="n">
        <f aca="false">OFFSET(tbl_LoC,155,19,1,1)</f>
        <v>0</v>
      </c>
      <c r="O156" s="15"/>
      <c r="P156" s="13"/>
      <c r="Q156" s="13" t="n">
        <v>0</v>
      </c>
      <c r="R156" s="13"/>
      <c r="S156" s="16"/>
      <c r="T156" s="11"/>
      <c r="U156" s="11"/>
      <c r="V156" s="14" t="e">
        <f aca="false">OFFSET(tbl_LoC,155,21,1,1)*OFFSET(tbl_LoC,155,20,1,1)</f>
        <v>#VALUE!</v>
      </c>
      <c r="W156" s="17" t="n">
        <v>103</v>
      </c>
      <c r="X156" s="14" t="n">
        <f aca="false">Y156/(1-0.15)/(1-0.6)</f>
        <v>1470.58823529412</v>
      </c>
      <c r="Y156" s="18" t="n">
        <v>500</v>
      </c>
      <c r="Z156" s="19" t="n">
        <f aca="false">OFFSET(tbl_LoC,155,22,1,1)*OFFSET(tbl_LoC,155,20,1,1)</f>
        <v>0</v>
      </c>
      <c r="AA156" s="13" t="str">
        <f aca="false">VLOOKUP(OFFSET(tbl_LoC,155,10,1,1),'[1]List of components'!$C$1:$F$1048576,2,FALSE())</f>
        <v/>
      </c>
      <c r="AB156" s="13"/>
      <c r="AC156" s="13"/>
    </row>
    <row r="157" customFormat="false" ht="15" hidden="false" customHeight="false" outlineLevel="0" collapsed="false">
      <c r="A157" s="11" t="s">
        <v>0</v>
      </c>
      <c r="B157" s="11"/>
      <c r="C157" s="11"/>
      <c r="D157" s="11"/>
      <c r="E157" s="11"/>
      <c r="F157" s="11"/>
      <c r="G157" s="11"/>
      <c r="H157" s="11"/>
      <c r="I157" s="11"/>
      <c r="J157" s="13" t="s">
        <v>362</v>
      </c>
      <c r="K157" s="13"/>
      <c r="L157" s="13" t="s">
        <v>375</v>
      </c>
      <c r="M157" s="13" t="s">
        <v>376</v>
      </c>
      <c r="N157" s="14" t="n">
        <f aca="false">OFFSET(tbl_LoC,156,19,1,1)</f>
        <v>0</v>
      </c>
      <c r="O157" s="15"/>
      <c r="P157" s="13"/>
      <c r="Q157" s="13" t="n">
        <v>0</v>
      </c>
      <c r="R157" s="13"/>
      <c r="S157" s="16"/>
      <c r="T157" s="11"/>
      <c r="U157" s="11"/>
      <c r="V157" s="14" t="e">
        <f aca="false">OFFSET(tbl_LoC,156,21,1,1)*OFFSET(tbl_LoC,156,20,1,1)</f>
        <v>#VALUE!</v>
      </c>
      <c r="W157" s="17" t="n">
        <v>103</v>
      </c>
      <c r="X157" s="14" t="n">
        <f aca="false">Y157/(1-0.15)/(1-0.6)</f>
        <v>882.352941176471</v>
      </c>
      <c r="Y157" s="18" t="n">
        <v>300</v>
      </c>
      <c r="Z157" s="19" t="n">
        <f aca="false">OFFSET(tbl_LoC,156,22,1,1)*OFFSET(tbl_LoC,156,20,1,1)</f>
        <v>0</v>
      </c>
      <c r="AA157" s="13" t="str">
        <f aca="false">VLOOKUP(OFFSET(tbl_LoC,156,10,1,1),'[1]List of components'!$C$1:$F$1048576,2,FALSE())</f>
        <v/>
      </c>
      <c r="AB157" s="13"/>
      <c r="AC157" s="13"/>
    </row>
    <row r="158" customFormat="false" ht="15" hidden="false" customHeight="false" outlineLevel="0" collapsed="false">
      <c r="A158" s="11" t="s">
        <v>0</v>
      </c>
      <c r="B158" s="11" t="s">
        <v>1</v>
      </c>
      <c r="C158" s="11" t="s">
        <v>2</v>
      </c>
      <c r="D158" s="11" t="s">
        <v>3</v>
      </c>
      <c r="E158" s="11"/>
      <c r="F158" s="11"/>
      <c r="G158" s="11" t="s">
        <v>6</v>
      </c>
      <c r="H158" s="11"/>
      <c r="I158" s="11"/>
      <c r="J158" s="13" t="s">
        <v>362</v>
      </c>
      <c r="K158" s="13"/>
      <c r="L158" s="13" t="s">
        <v>377</v>
      </c>
      <c r="M158" s="13" t="s">
        <v>378</v>
      </c>
      <c r="N158" s="14" t="n">
        <f aca="false">OFFSET(tbl_LoC,157,19,1,1)</f>
        <v>0</v>
      </c>
      <c r="O158" s="15"/>
      <c r="P158" s="13"/>
      <c r="Q158" s="13" t="n">
        <v>0</v>
      </c>
      <c r="R158" s="13"/>
      <c r="S158" s="16"/>
      <c r="T158" s="11"/>
      <c r="U158" s="11"/>
      <c r="V158" s="14" t="e">
        <f aca="false">OFFSET(tbl_LoC,157,21,1,1)*OFFSET(tbl_LoC,157,20,1,1)</f>
        <v>#VALUE!</v>
      </c>
      <c r="W158" s="17" t="n">
        <v>103</v>
      </c>
      <c r="X158" s="14" t="n">
        <f aca="false">Y158/(1-0.15)/(1-0.6)</f>
        <v>0.0294117647058824</v>
      </c>
      <c r="Y158" s="18" t="n">
        <v>0.01</v>
      </c>
      <c r="Z158" s="19" t="n">
        <f aca="false">OFFSET(tbl_LoC,157,22,1,1)*OFFSET(tbl_LoC,157,20,1,1)</f>
        <v>0</v>
      </c>
      <c r="AA158" s="13" t="str">
        <f aca="false">VLOOKUP(OFFSET(tbl_LoC,157,10,1,1),'[1]List of components'!$C$1:$F$1048576,2,FALSE())</f>
        <v/>
      </c>
      <c r="AB158" s="13"/>
      <c r="AC158" s="13"/>
    </row>
    <row r="159" customFormat="false" ht="15" hidden="false" customHeight="false" outlineLevel="0" collapsed="false">
      <c r="A159" s="11" t="s">
        <v>0</v>
      </c>
      <c r="B159" s="11" t="s">
        <v>1</v>
      </c>
      <c r="C159" s="11" t="s">
        <v>2</v>
      </c>
      <c r="D159" s="11" t="s">
        <v>3</v>
      </c>
      <c r="E159" s="11"/>
      <c r="F159" s="11"/>
      <c r="G159" s="11" t="s">
        <v>6</v>
      </c>
      <c r="H159" s="11"/>
      <c r="I159" s="11"/>
      <c r="J159" s="13" t="s">
        <v>379</v>
      </c>
      <c r="K159" s="13"/>
      <c r="L159" s="13" t="s">
        <v>380</v>
      </c>
      <c r="M159" s="13" t="s">
        <v>381</v>
      </c>
      <c r="N159" s="14" t="n">
        <f aca="false">OFFSET(tbl_LoC,158,19,1,1)</f>
        <v>0</v>
      </c>
      <c r="O159" s="15"/>
      <c r="P159" s="13"/>
      <c r="Q159" s="13" t="n">
        <v>0</v>
      </c>
      <c r="R159" s="13"/>
      <c r="S159" s="16"/>
      <c r="T159" s="11"/>
      <c r="U159" s="11" t="n">
        <v>2</v>
      </c>
      <c r="V159" s="14" t="e">
        <f aca="false">OFFSET(tbl_LoC,158,21,1,1)*OFFSET(tbl_LoC,158,20,1,1)</f>
        <v>#VALUE!</v>
      </c>
      <c r="W159" s="17" t="n">
        <v>103</v>
      </c>
      <c r="X159" s="14" t="e">
        <f aca="false">Y159/(1-0.15)/(1-0.6)</f>
        <v>#VALUE!</v>
      </c>
      <c r="Y159" s="18" t="e">
        <f aca="false">OFFSET(tbl_LoC,158,24,1,1)*1.35</f>
        <v>#VALUE!</v>
      </c>
      <c r="Z159" s="19" t="n">
        <f aca="false">OFFSET(tbl_LoC,158,22,1,1)*OFFSET(tbl_LoC,158,20,1,1)</f>
        <v>206</v>
      </c>
      <c r="AA159" s="13" t="n">
        <v>35</v>
      </c>
      <c r="AB159" s="13"/>
      <c r="AC159" s="13"/>
    </row>
    <row r="160" customFormat="false" ht="15" hidden="false" customHeight="false" outlineLevel="0" collapsed="false">
      <c r="A160" s="11" t="s">
        <v>0</v>
      </c>
      <c r="B160" s="11" t="s">
        <v>1</v>
      </c>
      <c r="C160" s="11" t="s">
        <v>2</v>
      </c>
      <c r="D160" s="11" t="s">
        <v>3</v>
      </c>
      <c r="E160" s="11"/>
      <c r="F160" s="11"/>
      <c r="G160" s="11" t="s">
        <v>6</v>
      </c>
      <c r="H160" s="11"/>
      <c r="I160" s="11"/>
      <c r="J160" s="13" t="s">
        <v>379</v>
      </c>
      <c r="K160" s="13"/>
      <c r="L160" s="13" t="s">
        <v>382</v>
      </c>
      <c r="M160" s="13" t="s">
        <v>383</v>
      </c>
      <c r="N160" s="14" t="n">
        <f aca="false">OFFSET(tbl_LoC,159,19,1,1)</f>
        <v>0</v>
      </c>
      <c r="O160" s="15"/>
      <c r="P160" s="13"/>
      <c r="Q160" s="13" t="n">
        <v>0</v>
      </c>
      <c r="R160" s="13"/>
      <c r="S160" s="16"/>
      <c r="T160" s="11"/>
      <c r="U160" s="11" t="n">
        <v>2</v>
      </c>
      <c r="V160" s="14" t="e">
        <f aca="false">OFFSET(tbl_LoC,159,21,1,1)*OFFSET(tbl_LoC,159,20,1,1)</f>
        <v>#VALUE!</v>
      </c>
      <c r="W160" s="17" t="n">
        <v>103</v>
      </c>
      <c r="X160" s="14" t="e">
        <f aca="false">Y160/(1-0.15)/(1-0.6)</f>
        <v>#VALUE!</v>
      </c>
      <c r="Y160" s="18" t="e">
        <f aca="false">OFFSET(tbl_LoC,159,24,1,1)*1.35</f>
        <v>#VALUE!</v>
      </c>
      <c r="Z160" s="19" t="n">
        <f aca="false">OFFSET(tbl_LoC,159,22,1,1)*OFFSET(tbl_LoC,159,20,1,1)</f>
        <v>206</v>
      </c>
      <c r="AA160" s="13" t="n">
        <v>35</v>
      </c>
      <c r="AB160" s="13"/>
      <c r="AC160" s="13"/>
    </row>
    <row r="161" customFormat="false" ht="15" hidden="false" customHeight="false" outlineLevel="0" collapsed="false">
      <c r="A161" s="11" t="s">
        <v>0</v>
      </c>
      <c r="B161" s="11" t="s">
        <v>1</v>
      </c>
      <c r="C161" s="11"/>
      <c r="D161" s="11" t="s">
        <v>3</v>
      </c>
      <c r="E161" s="11"/>
      <c r="F161" s="11"/>
      <c r="G161" s="11"/>
      <c r="H161" s="11"/>
      <c r="I161" s="11"/>
      <c r="J161" s="13" t="s">
        <v>379</v>
      </c>
      <c r="K161" s="13"/>
      <c r="L161" s="13" t="s">
        <v>384</v>
      </c>
      <c r="M161" s="13" t="s">
        <v>385</v>
      </c>
      <c r="N161" s="14" t="n">
        <f aca="false">OFFSET(tbl_LoC,160,19,1,1)</f>
        <v>0</v>
      </c>
      <c r="O161" s="15"/>
      <c r="P161" s="13"/>
      <c r="Q161" s="13" t="n">
        <v>0</v>
      </c>
      <c r="R161" s="13"/>
      <c r="S161" s="16"/>
      <c r="T161" s="11"/>
      <c r="U161" s="11" t="n">
        <v>2</v>
      </c>
      <c r="V161" s="14" t="e">
        <f aca="false">OFFSET(tbl_LoC,160,21,1,1)*OFFSET(tbl_LoC,160,20,1,1)</f>
        <v>#VALUE!</v>
      </c>
      <c r="W161" s="17" t="n">
        <v>103</v>
      </c>
      <c r="X161" s="14" t="e">
        <f aca="false">Y161/(1-0.15)/(1-0.6)</f>
        <v>#VALUE!</v>
      </c>
      <c r="Y161" s="18" t="e">
        <f aca="false">OFFSET(tbl_LoC,160,24,1,1)*1.35</f>
        <v>#VALUE!</v>
      </c>
      <c r="Z161" s="19" t="n">
        <f aca="false">OFFSET(tbl_LoC,160,22,1,1)*OFFSET(tbl_LoC,160,20,1,1)</f>
        <v>206</v>
      </c>
      <c r="AA161" s="13" t="n">
        <v>45</v>
      </c>
      <c r="AB161" s="13"/>
      <c r="AC161" s="13"/>
    </row>
    <row r="162" customFormat="false" ht="15" hidden="false" customHeight="false" outlineLevel="0" collapsed="false">
      <c r="A162" s="11" t="s">
        <v>0</v>
      </c>
      <c r="B162" s="11" t="s">
        <v>1</v>
      </c>
      <c r="C162" s="11"/>
      <c r="D162" s="11" t="s">
        <v>3</v>
      </c>
      <c r="E162" s="11"/>
      <c r="F162" s="11"/>
      <c r="G162" s="11"/>
      <c r="H162" s="11"/>
      <c r="I162" s="11"/>
      <c r="J162" s="13" t="s">
        <v>379</v>
      </c>
      <c r="K162" s="13"/>
      <c r="L162" s="13" t="s">
        <v>386</v>
      </c>
      <c r="M162" s="13" t="s">
        <v>387</v>
      </c>
      <c r="N162" s="14" t="n">
        <f aca="false">OFFSET(tbl_LoC,161,19,1,1)</f>
        <v>1</v>
      </c>
      <c r="O162" s="15"/>
      <c r="P162" s="13"/>
      <c r="Q162" s="13" t="n">
        <v>0</v>
      </c>
      <c r="R162" s="13"/>
      <c r="S162" s="16"/>
      <c r="T162" s="11" t="n">
        <v>1</v>
      </c>
      <c r="U162" s="11"/>
      <c r="V162" s="14" t="e">
        <f aca="false">OFFSET(tbl_LoC,161,21,1,1)*OFFSET(tbl_LoC,161,20,1,1)</f>
        <v>#VALUE!</v>
      </c>
      <c r="W162" s="17" t="n">
        <v>103</v>
      </c>
      <c r="X162" s="14" t="e">
        <f aca="false">Y162/(1-0.15)/(1-0.6)</f>
        <v>#VALUE!</v>
      </c>
      <c r="Y162" s="18" t="e">
        <f aca="false">OFFSET(tbl_LoC,161,24,1,1)*1.35</f>
        <v>#VALUE!</v>
      </c>
      <c r="Z162" s="19" t="n">
        <f aca="false">OFFSET(tbl_LoC,161,22,1,1)*OFFSET(tbl_LoC,161,20,1,1)</f>
        <v>0</v>
      </c>
      <c r="AA162" s="13" t="n">
        <v>35</v>
      </c>
      <c r="AB162" s="13"/>
      <c r="AC162" s="13"/>
    </row>
    <row r="163" customFormat="false" ht="15" hidden="false" customHeight="false" outlineLevel="0" collapsed="false">
      <c r="A163" s="11" t="s">
        <v>0</v>
      </c>
      <c r="B163" s="11" t="s">
        <v>1</v>
      </c>
      <c r="C163" s="11"/>
      <c r="D163" s="11" t="s">
        <v>3</v>
      </c>
      <c r="E163" s="11"/>
      <c r="F163" s="11"/>
      <c r="G163" s="11"/>
      <c r="H163" s="11"/>
      <c r="I163" s="11"/>
      <c r="J163" s="13" t="s">
        <v>379</v>
      </c>
      <c r="K163" s="13"/>
      <c r="L163" s="13" t="s">
        <v>388</v>
      </c>
      <c r="M163" s="13" t="s">
        <v>389</v>
      </c>
      <c r="N163" s="14" t="n">
        <f aca="false">OFFSET(tbl_LoC,162,19,1,1)</f>
        <v>0</v>
      </c>
      <c r="O163" s="15"/>
      <c r="P163" s="13"/>
      <c r="Q163" s="13" t="n">
        <v>0</v>
      </c>
      <c r="R163" s="13"/>
      <c r="S163" s="16"/>
      <c r="T163" s="11"/>
      <c r="U163" s="11" t="n">
        <v>2</v>
      </c>
      <c r="V163" s="14" t="e">
        <f aca="false">OFFSET(tbl_LoC,162,21,1,1)*OFFSET(tbl_LoC,162,20,1,1)</f>
        <v>#VALUE!</v>
      </c>
      <c r="W163" s="17" t="n">
        <v>103</v>
      </c>
      <c r="X163" s="14" t="e">
        <f aca="false">Y163/(1-0.15)/(1-0.6)</f>
        <v>#VALUE!</v>
      </c>
      <c r="Y163" s="18" t="e">
        <f aca="false">OFFSET(tbl_LoC,162,24,1,1)*1.35</f>
        <v>#VALUE!</v>
      </c>
      <c r="Z163" s="19" t="n">
        <f aca="false">OFFSET(tbl_LoC,162,22,1,1)*OFFSET(tbl_LoC,162,20,1,1)</f>
        <v>206</v>
      </c>
      <c r="AA163" s="13" t="n">
        <v>35</v>
      </c>
      <c r="AB163" s="13"/>
      <c r="AC163" s="13"/>
    </row>
    <row r="164" customFormat="false" ht="15" hidden="false" customHeight="false" outlineLevel="0" collapsed="false">
      <c r="A164" s="11"/>
      <c r="B164" s="11"/>
      <c r="C164" s="11" t="s">
        <v>2</v>
      </c>
      <c r="D164" s="11"/>
      <c r="E164" s="11"/>
      <c r="F164" s="11"/>
      <c r="G164" s="11" t="s">
        <v>6</v>
      </c>
      <c r="H164" s="11"/>
      <c r="I164" s="11"/>
      <c r="J164" s="13" t="s">
        <v>379</v>
      </c>
      <c r="K164" s="13"/>
      <c r="L164" s="13" t="s">
        <v>390</v>
      </c>
      <c r="M164" s="13" t="s">
        <v>391</v>
      </c>
      <c r="N164" s="14" t="n">
        <f aca="false">OFFSET(tbl_LoC,163,19,1,1)</f>
        <v>0</v>
      </c>
      <c r="O164" s="15"/>
      <c r="P164" s="13"/>
      <c r="Q164" s="13" t="n">
        <v>0</v>
      </c>
      <c r="R164" s="13"/>
      <c r="S164" s="16"/>
      <c r="T164" s="11"/>
      <c r="U164" s="11" t="n">
        <v>2</v>
      </c>
      <c r="V164" s="14" t="e">
        <f aca="false">OFFSET(tbl_LoC,163,21,1,1)*OFFSET(tbl_LoC,163,20,1,1)</f>
        <v>#VALUE!</v>
      </c>
      <c r="W164" s="17" t="n">
        <v>103</v>
      </c>
      <c r="X164" s="14" t="e">
        <f aca="false">Y164/(1-0.15)/(1-0.6)</f>
        <v>#VALUE!</v>
      </c>
      <c r="Y164" s="18" t="e">
        <f aca="false">OFFSET(tbl_LoC,163,24,1,1)*1.35</f>
        <v>#VALUE!</v>
      </c>
      <c r="Z164" s="19" t="n">
        <f aca="false">OFFSET(tbl_LoC,163,22,1,1)*OFFSET(tbl_LoC,163,20,1,1)</f>
        <v>206</v>
      </c>
      <c r="AA164" s="13" t="n">
        <v>45</v>
      </c>
      <c r="AB164" s="13"/>
      <c r="AC164" s="13"/>
    </row>
    <row r="165" customFormat="false" ht="15" hidden="false" customHeight="false" outlineLevel="0" collapsed="false">
      <c r="A165" s="11"/>
      <c r="B165" s="11"/>
      <c r="C165" s="11" t="s">
        <v>2</v>
      </c>
      <c r="D165" s="11"/>
      <c r="E165" s="11"/>
      <c r="F165" s="11"/>
      <c r="G165" s="11" t="s">
        <v>6</v>
      </c>
      <c r="H165" s="11"/>
      <c r="I165" s="11"/>
      <c r="J165" s="13" t="s">
        <v>379</v>
      </c>
      <c r="K165" s="13"/>
      <c r="L165" s="13" t="s">
        <v>392</v>
      </c>
      <c r="M165" s="13" t="s">
        <v>393</v>
      </c>
      <c r="N165" s="14" t="n">
        <f aca="false">OFFSET(tbl_LoC,164,19,1,1)</f>
        <v>1</v>
      </c>
      <c r="O165" s="15"/>
      <c r="P165" s="13"/>
      <c r="Q165" s="13" t="n">
        <v>0</v>
      </c>
      <c r="R165" s="13"/>
      <c r="S165" s="16"/>
      <c r="T165" s="11" t="n">
        <v>1</v>
      </c>
      <c r="U165" s="11"/>
      <c r="V165" s="14" t="e">
        <f aca="false">OFFSET(tbl_LoC,164,21,1,1)*OFFSET(tbl_LoC,164,20,1,1)</f>
        <v>#VALUE!</v>
      </c>
      <c r="W165" s="17" t="n">
        <v>103</v>
      </c>
      <c r="X165" s="14" t="e">
        <f aca="false">Y165/(1-0.15)/(1-0.6)</f>
        <v>#VALUE!</v>
      </c>
      <c r="Y165" s="18" t="e">
        <f aca="false">OFFSET(tbl_LoC,164,24,1,1)*1.35</f>
        <v>#VALUE!</v>
      </c>
      <c r="Z165" s="19" t="n">
        <f aca="false">OFFSET(tbl_LoC,164,22,1,1)*OFFSET(tbl_LoC,164,20,1,1)</f>
        <v>0</v>
      </c>
      <c r="AA165" s="13" t="n">
        <v>35</v>
      </c>
      <c r="AB165" s="13"/>
      <c r="AC165" s="13"/>
    </row>
    <row r="166" customFormat="false" ht="15" hidden="false" customHeight="false" outlineLevel="0" collapsed="false">
      <c r="A166" s="11"/>
      <c r="B166" s="11"/>
      <c r="C166" s="11" t="s">
        <v>2</v>
      </c>
      <c r="D166" s="11"/>
      <c r="E166" s="11"/>
      <c r="F166" s="11"/>
      <c r="G166" s="11" t="s">
        <v>6</v>
      </c>
      <c r="H166" s="11"/>
      <c r="I166" s="11"/>
      <c r="J166" s="13" t="s">
        <v>379</v>
      </c>
      <c r="K166" s="13"/>
      <c r="L166" s="13" t="s">
        <v>394</v>
      </c>
      <c r="M166" s="13" t="s">
        <v>395</v>
      </c>
      <c r="N166" s="14" t="n">
        <f aca="false">OFFSET(tbl_LoC,165,19,1,1)</f>
        <v>0</v>
      </c>
      <c r="O166" s="15"/>
      <c r="P166" s="13"/>
      <c r="Q166" s="13" t="n">
        <v>0</v>
      </c>
      <c r="R166" s="13"/>
      <c r="S166" s="16"/>
      <c r="T166" s="11"/>
      <c r="U166" s="11" t="n">
        <v>2</v>
      </c>
      <c r="V166" s="14" t="e">
        <f aca="false">OFFSET(tbl_LoC,165,21,1,1)*OFFSET(tbl_LoC,165,20,1,1)</f>
        <v>#VALUE!</v>
      </c>
      <c r="W166" s="17" t="n">
        <v>103</v>
      </c>
      <c r="X166" s="14" t="e">
        <f aca="false">Y166/(1-0.15)/(1-0.6)</f>
        <v>#VALUE!</v>
      </c>
      <c r="Y166" s="18" t="e">
        <f aca="false">OFFSET(tbl_LoC,165,24,1,1)*1.35</f>
        <v>#VALUE!</v>
      </c>
      <c r="Z166" s="19" t="n">
        <f aca="false">OFFSET(tbl_LoC,165,22,1,1)*OFFSET(tbl_LoC,165,20,1,1)</f>
        <v>206</v>
      </c>
      <c r="AA166" s="13" t="n">
        <v>45</v>
      </c>
      <c r="AB166" s="13"/>
      <c r="AC166" s="13"/>
    </row>
    <row r="167" customFormat="false" ht="15" hidden="false" customHeight="false" outlineLevel="0" collapsed="false">
      <c r="A167" s="11" t="s">
        <v>0</v>
      </c>
      <c r="B167" s="11" t="s">
        <v>1</v>
      </c>
      <c r="C167" s="11" t="s">
        <v>2</v>
      </c>
      <c r="D167" s="11" t="s">
        <v>3</v>
      </c>
      <c r="E167" s="11"/>
      <c r="F167" s="11"/>
      <c r="G167" s="11" t="s">
        <v>6</v>
      </c>
      <c r="H167" s="11"/>
      <c r="I167" s="11"/>
      <c r="J167" s="13" t="s">
        <v>396</v>
      </c>
      <c r="K167" s="13" t="s">
        <v>397</v>
      </c>
      <c r="L167" s="13" t="s">
        <v>398</v>
      </c>
      <c r="M167" s="13" t="s">
        <v>399</v>
      </c>
      <c r="N167" s="14" t="n">
        <f aca="false">OFFSET(tbl_LoC,166,19,1,1)</f>
        <v>0</v>
      </c>
      <c r="O167" s="15"/>
      <c r="P167" s="13"/>
      <c r="Q167" s="13" t="n">
        <v>0</v>
      </c>
      <c r="R167" s="13"/>
      <c r="S167" s="16"/>
      <c r="T167" s="11"/>
      <c r="U167" s="11"/>
      <c r="V167" s="14" t="e">
        <f aca="false">OFFSET(tbl_LoC,166,21,1,1)*OFFSET(tbl_LoC,166,20,1,1)</f>
        <v>#VALUE!</v>
      </c>
      <c r="W167" s="17" t="n">
        <v>103</v>
      </c>
      <c r="X167" s="14" t="n">
        <f aca="false">Y167/(1-0.15)/(1-0.6)</f>
        <v>2794.11764705882</v>
      </c>
      <c r="Y167" s="18" t="n">
        <v>950</v>
      </c>
      <c r="Z167" s="19" t="n">
        <f aca="false">OFFSET(tbl_LoC,166,22,1,1)*OFFSET(tbl_LoC,166,20,1,1)</f>
        <v>0</v>
      </c>
      <c r="AA167" s="13" t="e">
        <f aca="false">VLOOKUP(OFFSET(tbl_LoC,166,10,1,1),'[1]List of components'!$C$1:$F$1048576,2,FALSE())</f>
        <v>#N/A</v>
      </c>
      <c r="AB167" s="13"/>
      <c r="AC167" s="13"/>
    </row>
    <row r="168" customFormat="false" ht="15" hidden="false" customHeight="false" outlineLevel="0" collapsed="false">
      <c r="A168" s="11" t="s">
        <v>0</v>
      </c>
      <c r="B168" s="11" t="s">
        <v>1</v>
      </c>
      <c r="C168" s="11" t="s">
        <v>2</v>
      </c>
      <c r="D168" s="11" t="s">
        <v>3</v>
      </c>
      <c r="E168" s="11"/>
      <c r="F168" s="11"/>
      <c r="G168" s="11" t="s">
        <v>6</v>
      </c>
      <c r="H168" s="11"/>
      <c r="I168" s="11"/>
      <c r="J168" s="13" t="s">
        <v>400</v>
      </c>
      <c r="K168" s="13" t="s">
        <v>401</v>
      </c>
      <c r="L168" s="13" t="s">
        <v>402</v>
      </c>
      <c r="M168" s="13" t="s">
        <v>403</v>
      </c>
      <c r="N168" s="14" t="n">
        <f aca="false">OFFSET(tbl_LoC,167,19,1,1)</f>
        <v>0</v>
      </c>
      <c r="O168" s="15"/>
      <c r="P168" s="13"/>
      <c r="Q168" s="13" t="n">
        <v>0</v>
      </c>
      <c r="R168" s="13"/>
      <c r="S168" s="16"/>
      <c r="T168" s="11"/>
      <c r="U168" s="11"/>
      <c r="V168" s="14" t="e">
        <f aca="false">OFFSET(tbl_LoC,167,21,1,1)*OFFSET(tbl_LoC,167,20,1,1)</f>
        <v>#VALUE!</v>
      </c>
      <c r="W168" s="17" t="n">
        <v>103</v>
      </c>
      <c r="X168" s="14" t="n">
        <f aca="false">Y168/(1-0.15)/(1-0.6)</f>
        <v>0.0294117647058824</v>
      </c>
      <c r="Y168" s="18" t="n">
        <v>0.01</v>
      </c>
      <c r="Z168" s="19" t="n">
        <f aca="false">OFFSET(tbl_LoC,167,22,1,1)*OFFSET(tbl_LoC,167,20,1,1)</f>
        <v>0</v>
      </c>
      <c r="AA168" s="13" t="e">
        <f aca="false">VLOOKUP(OFFSET(tbl_LoC,167,10,1,1),'[1]List of components'!$C$1:$F$1048576,2,FALSE())</f>
        <v>#N/A</v>
      </c>
      <c r="AB168" s="13"/>
      <c r="AC168" s="13"/>
    </row>
    <row r="169" customFormat="false" ht="15" hidden="false" customHeight="false" outlineLevel="0" collapsed="false">
      <c r="A169" s="11"/>
      <c r="B169" s="11" t="s">
        <v>1</v>
      </c>
      <c r="C169" s="11" t="s">
        <v>2</v>
      </c>
      <c r="D169" s="11"/>
      <c r="E169" s="11"/>
      <c r="F169" s="11"/>
      <c r="G169" s="11" t="s">
        <v>6</v>
      </c>
      <c r="H169" s="11"/>
      <c r="I169" s="11"/>
      <c r="J169" s="13" t="s">
        <v>400</v>
      </c>
      <c r="K169" s="13" t="s">
        <v>401</v>
      </c>
      <c r="L169" s="13" t="s">
        <v>404</v>
      </c>
      <c r="M169" s="13" t="s">
        <v>405</v>
      </c>
      <c r="N169" s="14" t="n">
        <f aca="false">OFFSET(tbl_LoC,168,19,1,1)</f>
        <v>1</v>
      </c>
      <c r="O169" s="15"/>
      <c r="P169" s="13"/>
      <c r="Q169" s="13" t="n">
        <v>0</v>
      </c>
      <c r="R169" s="13"/>
      <c r="S169" s="16"/>
      <c r="T169" s="11" t="n">
        <v>1</v>
      </c>
      <c r="U169" s="11"/>
      <c r="V169" s="14" t="e">
        <f aca="false">OFFSET(tbl_LoC,168,21,1,1)*OFFSET(tbl_LoC,168,20,1,1)</f>
        <v>#VALUE!</v>
      </c>
      <c r="W169" s="17" t="n">
        <v>103</v>
      </c>
      <c r="X169" s="14" t="n">
        <f aca="false">Y169/(1-0.15)/(1-0.6)</f>
        <v>1764.70588235294</v>
      </c>
      <c r="Y169" s="18" t="n">
        <v>600</v>
      </c>
      <c r="Z169" s="19" t="n">
        <f aca="false">OFFSET(tbl_LoC,168,22,1,1)*OFFSET(tbl_LoC,168,20,1,1)</f>
        <v>0</v>
      </c>
      <c r="AA169" s="13" t="e">
        <f aca="false">VLOOKUP(OFFSET(tbl_LoC,168,10,1,1),'[1]List of components'!$C$1:$F$1048576,2,FALSE())</f>
        <v>#N/A</v>
      </c>
      <c r="AB169" s="13"/>
      <c r="AC169" s="13"/>
    </row>
    <row r="170" customFormat="false" ht="15" hidden="false" customHeight="false" outlineLevel="0" collapsed="false">
      <c r="A170" s="11"/>
      <c r="B170" s="11"/>
      <c r="C170" s="11" t="s">
        <v>2</v>
      </c>
      <c r="D170" s="11"/>
      <c r="E170" s="11"/>
      <c r="F170" s="11"/>
      <c r="G170" s="11" t="s">
        <v>6</v>
      </c>
      <c r="H170" s="11"/>
      <c r="I170" s="11"/>
      <c r="J170" s="13" t="s">
        <v>400</v>
      </c>
      <c r="K170" s="13" t="s">
        <v>401</v>
      </c>
      <c r="L170" s="13" t="s">
        <v>406</v>
      </c>
      <c r="M170" s="13" t="s">
        <v>407</v>
      </c>
      <c r="N170" s="14" t="n">
        <f aca="false">OFFSET(tbl_LoC,169,19,1,1)</f>
        <v>0</v>
      </c>
      <c r="O170" s="15"/>
      <c r="P170" s="13"/>
      <c r="Q170" s="13" t="n">
        <v>0</v>
      </c>
      <c r="R170" s="13"/>
      <c r="S170" s="16"/>
      <c r="T170" s="11"/>
      <c r="U170" s="11" t="n">
        <v>2</v>
      </c>
      <c r="V170" s="14" t="e">
        <f aca="false">OFFSET(tbl_LoC,169,21,1,1)*OFFSET(tbl_LoC,169,20,1,1)</f>
        <v>#VALUE!</v>
      </c>
      <c r="W170" s="17" t="n">
        <v>103</v>
      </c>
      <c r="X170" s="14" t="n">
        <f aca="false">Y170/(1-0.15)/(1-0.6)</f>
        <v>1470.58823529412</v>
      </c>
      <c r="Y170" s="18" t="n">
        <v>500</v>
      </c>
      <c r="Z170" s="19" t="n">
        <f aca="false">OFFSET(tbl_LoC,169,22,1,1)*OFFSET(tbl_LoC,169,20,1,1)</f>
        <v>206</v>
      </c>
      <c r="AA170" s="13" t="e">
        <f aca="false">VLOOKUP(OFFSET(tbl_LoC,169,10,1,1),'[1]List of components'!$C$1:$F$1048576,2,FALSE())</f>
        <v>#N/A</v>
      </c>
      <c r="AB170" s="13"/>
      <c r="AC170" s="13"/>
    </row>
    <row r="171" customFormat="false" ht="15" hidden="false" customHeight="false" outlineLevel="0" collapsed="false">
      <c r="A171" s="11" t="s">
        <v>0</v>
      </c>
      <c r="B171" s="11"/>
      <c r="C171" s="11"/>
      <c r="D171" s="11"/>
      <c r="E171" s="11"/>
      <c r="F171" s="11"/>
      <c r="G171" s="11"/>
      <c r="H171" s="11"/>
      <c r="I171" s="11"/>
      <c r="J171" s="13" t="s">
        <v>400</v>
      </c>
      <c r="K171" s="13" t="s">
        <v>408</v>
      </c>
      <c r="L171" s="13" t="s">
        <v>409</v>
      </c>
      <c r="M171" s="21" t="s">
        <v>410</v>
      </c>
      <c r="N171" s="22" t="n">
        <f aca="false">OFFSET(tbl_LoC,170,19,1,1)</f>
        <v>0</v>
      </c>
      <c r="O171" s="23"/>
      <c r="P171" s="21"/>
      <c r="Q171" s="21" t="n">
        <v>0</v>
      </c>
      <c r="R171" s="21"/>
      <c r="S171" s="16"/>
      <c r="T171" s="11"/>
      <c r="U171" s="11"/>
      <c r="V171" s="14" t="e">
        <f aca="false">OFFSET(tbl_LoC,170,21,1,1)*OFFSET(tbl_LoC,170,20,1,1)</f>
        <v>#VALUE!</v>
      </c>
      <c r="W171" s="17" t="n">
        <v>103</v>
      </c>
      <c r="X171" s="14" t="n">
        <f aca="false">Y171/(1-0.15)/(1-0.6)</f>
        <v>8.82352941176471</v>
      </c>
      <c r="Y171" s="18" t="n">
        <v>3</v>
      </c>
      <c r="Z171" s="19" t="n">
        <f aca="false">OFFSET(tbl_LoC,170,22,1,1)*OFFSET(tbl_LoC,170,20,1,1)</f>
        <v>0</v>
      </c>
      <c r="AA171" s="13" t="e">
        <f aca="false">VLOOKUP(OFFSET(tbl_LoC,170,10,1,1),'[1]List of components'!$C$1:$F$1048576,2,FALSE())</f>
        <v>#N/A</v>
      </c>
      <c r="AB171" s="13"/>
      <c r="AC171" s="13"/>
    </row>
    <row r="172" customFormat="false" ht="15" hidden="false" customHeight="false" outlineLevel="0" collapsed="false">
      <c r="A172" s="11" t="s">
        <v>0</v>
      </c>
      <c r="B172" s="11"/>
      <c r="C172" s="11"/>
      <c r="D172" s="11"/>
      <c r="E172" s="11"/>
      <c r="F172" s="11"/>
      <c r="G172" s="11"/>
      <c r="H172" s="11"/>
      <c r="I172" s="11"/>
      <c r="J172" s="13" t="s">
        <v>400</v>
      </c>
      <c r="K172" s="13" t="s">
        <v>408</v>
      </c>
      <c r="L172" s="13" t="s">
        <v>411</v>
      </c>
      <c r="M172" s="21" t="s">
        <v>412</v>
      </c>
      <c r="N172" s="22" t="n">
        <f aca="false">OFFSET(tbl_LoC,171,19,1,1)</f>
        <v>0</v>
      </c>
      <c r="O172" s="23"/>
      <c r="P172" s="21"/>
      <c r="Q172" s="21" t="n">
        <v>0</v>
      </c>
      <c r="R172" s="21"/>
      <c r="S172" s="16"/>
      <c r="T172" s="11"/>
      <c r="U172" s="11"/>
      <c r="V172" s="14" t="e">
        <f aca="false">OFFSET(tbl_LoC,171,21,1,1)*OFFSET(tbl_LoC,171,20,1,1)</f>
        <v>#VALUE!</v>
      </c>
      <c r="W172" s="17" t="n">
        <v>103</v>
      </c>
      <c r="X172" s="14" t="n">
        <f aca="false">Y172/(1-0.15)/(1-0.6)</f>
        <v>8.82352941176471</v>
      </c>
      <c r="Y172" s="18" t="n">
        <v>3</v>
      </c>
      <c r="Z172" s="19" t="n">
        <f aca="false">OFFSET(tbl_LoC,171,22,1,1)*OFFSET(tbl_LoC,171,20,1,1)</f>
        <v>0</v>
      </c>
      <c r="AA172" s="13" t="e">
        <f aca="false">VLOOKUP(OFFSET(tbl_LoC,171,10,1,1),'[1]List of components'!$C$1:$F$1048576,2,FALSE())</f>
        <v>#N/A</v>
      </c>
      <c r="AB172" s="13"/>
      <c r="AC172" s="13"/>
    </row>
    <row r="173" customFormat="false" ht="15" hidden="false" customHeight="false" outlineLevel="0" collapsed="false">
      <c r="A173" s="11" t="s">
        <v>0</v>
      </c>
      <c r="B173" s="11"/>
      <c r="C173" s="11"/>
      <c r="D173" s="11"/>
      <c r="E173" s="11"/>
      <c r="F173" s="11"/>
      <c r="G173" s="11"/>
      <c r="H173" s="11"/>
      <c r="I173" s="11"/>
      <c r="J173" s="13" t="s">
        <v>400</v>
      </c>
      <c r="K173" s="13" t="s">
        <v>408</v>
      </c>
      <c r="L173" s="13" t="s">
        <v>413</v>
      </c>
      <c r="M173" s="21" t="s">
        <v>414</v>
      </c>
      <c r="N173" s="22" t="n">
        <f aca="false">OFFSET(tbl_LoC,172,19,1,1)</f>
        <v>0</v>
      </c>
      <c r="O173" s="23"/>
      <c r="P173" s="21"/>
      <c r="Q173" s="21" t="n">
        <v>0</v>
      </c>
      <c r="R173" s="21"/>
      <c r="S173" s="16"/>
      <c r="T173" s="11"/>
      <c r="U173" s="11"/>
      <c r="V173" s="14" t="e">
        <f aca="false">OFFSET(tbl_LoC,172,21,1,1)*OFFSET(tbl_LoC,172,20,1,1)</f>
        <v>#VALUE!</v>
      </c>
      <c r="W173" s="17" t="n">
        <v>103</v>
      </c>
      <c r="X173" s="14" t="n">
        <f aca="false">Y173/(1-0.15)/(1-0.6)</f>
        <v>2.94117647058824</v>
      </c>
      <c r="Y173" s="18" t="n">
        <v>1</v>
      </c>
      <c r="Z173" s="19" t="n">
        <f aca="false">OFFSET(tbl_LoC,172,22,1,1)*OFFSET(tbl_LoC,172,20,1,1)</f>
        <v>0</v>
      </c>
      <c r="AA173" s="13" t="e">
        <f aca="false">VLOOKUP(OFFSET(tbl_LoC,172,10,1,1),'[1]List of components'!$C$1:$F$1048576,2,FALSE())</f>
        <v>#N/A</v>
      </c>
      <c r="AB173" s="13"/>
      <c r="AC173" s="13"/>
    </row>
    <row r="174" customFormat="false" ht="15" hidden="false" customHeight="false" outlineLevel="0" collapsed="false">
      <c r="A174" s="11" t="s">
        <v>0</v>
      </c>
      <c r="B174" s="11" t="s">
        <v>1</v>
      </c>
      <c r="C174" s="11" t="s">
        <v>2</v>
      </c>
      <c r="D174" s="11" t="s">
        <v>3</v>
      </c>
      <c r="E174" s="12" t="s">
        <v>4</v>
      </c>
      <c r="F174" s="11"/>
      <c r="G174" s="11" t="s">
        <v>6</v>
      </c>
      <c r="H174" s="11"/>
      <c r="I174" s="11"/>
      <c r="J174" s="13" t="s">
        <v>400</v>
      </c>
      <c r="K174" s="13" t="s">
        <v>415</v>
      </c>
      <c r="L174" s="13" t="s">
        <v>416</v>
      </c>
      <c r="M174" s="21" t="s">
        <v>417</v>
      </c>
      <c r="N174" s="22" t="n">
        <f aca="false">OFFSET(tbl_LoC,173,19,1,1)</f>
        <v>0</v>
      </c>
      <c r="O174" s="23"/>
      <c r="P174" s="21"/>
      <c r="Q174" s="21" t="n">
        <v>9</v>
      </c>
      <c r="R174" s="21"/>
      <c r="S174" s="16"/>
      <c r="T174" s="12"/>
      <c r="U174" s="12"/>
      <c r="V174" s="14" t="e">
        <f aca="false">OFFSET(tbl_LoC,173,21,1,1)*OFFSET(tbl_LoC,173,20,1,1)</f>
        <v>#VALUE!</v>
      </c>
      <c r="W174" s="17" t="n">
        <v>103</v>
      </c>
      <c r="X174" s="14" t="n">
        <f aca="false">Y174/(1-0.15)/(1-0.6)</f>
        <v>882.352941176471</v>
      </c>
      <c r="Y174" s="18" t="n">
        <v>300</v>
      </c>
      <c r="Z174" s="19" t="n">
        <f aca="false">OFFSET(tbl_LoC,173,22,1,1)*OFFSET(tbl_LoC,173,20,1,1)</f>
        <v>0</v>
      </c>
      <c r="AA174" s="13" t="e">
        <f aca="false">VLOOKUP(OFFSET(tbl_LoC,173,10,1,1),'[1]List of components'!$C$1:$F$1048576,2,FALSE())</f>
        <v>#N/A</v>
      </c>
      <c r="AB174" s="13"/>
      <c r="AC174" s="13"/>
    </row>
    <row r="175" customFormat="false" ht="15" hidden="false" customHeight="false" outlineLevel="0" collapsed="false">
      <c r="A175" s="11" t="s">
        <v>0</v>
      </c>
      <c r="B175" s="11" t="s">
        <v>1</v>
      </c>
      <c r="C175" s="11" t="s">
        <v>2</v>
      </c>
      <c r="D175" s="11" t="s">
        <v>3</v>
      </c>
      <c r="E175" s="12" t="s">
        <v>4</v>
      </c>
      <c r="F175" s="11"/>
      <c r="G175" s="11" t="s">
        <v>6</v>
      </c>
      <c r="H175" s="11"/>
      <c r="I175" s="11"/>
      <c r="J175" s="13" t="s">
        <v>400</v>
      </c>
      <c r="K175" s="13" t="s">
        <v>415</v>
      </c>
      <c r="L175" s="13" t="s">
        <v>418</v>
      </c>
      <c r="M175" s="13" t="s">
        <v>419</v>
      </c>
      <c r="N175" s="14" t="n">
        <f aca="false">OFFSET(tbl_LoC,174,19,1,1)</f>
        <v>0</v>
      </c>
      <c r="O175" s="15"/>
      <c r="P175" s="13"/>
      <c r="Q175" s="13" t="n">
        <v>5</v>
      </c>
      <c r="R175" s="13"/>
      <c r="S175" s="16"/>
      <c r="T175" s="12"/>
      <c r="U175" s="12"/>
      <c r="V175" s="14" t="e">
        <f aca="false">OFFSET(tbl_LoC,174,21,1,1)*OFFSET(tbl_LoC,174,20,1,1)</f>
        <v>#VALUE!</v>
      </c>
      <c r="W175" s="17" t="n">
        <v>103</v>
      </c>
      <c r="X175" s="14" t="n">
        <f aca="false">Y175/(1-0.15)/(1-0.6)</f>
        <v>352.941176470588</v>
      </c>
      <c r="Y175" s="18" t="n">
        <v>120</v>
      </c>
      <c r="Z175" s="19" t="n">
        <f aca="false">OFFSET(tbl_LoC,174,22,1,1)*OFFSET(tbl_LoC,174,20,1,1)</f>
        <v>0</v>
      </c>
      <c r="AA175" s="13" t="e">
        <f aca="false">VLOOKUP(OFFSET(tbl_LoC,174,10,1,1),'[1]List of components'!$C$1:$F$1048576,2,FALSE())</f>
        <v>#N/A</v>
      </c>
      <c r="AB175" s="13"/>
      <c r="AC175" s="13"/>
    </row>
    <row r="176" customFormat="false" ht="15" hidden="false" customHeight="false" outlineLevel="0" collapsed="false">
      <c r="A176" s="11" t="s">
        <v>0</v>
      </c>
      <c r="B176" s="11" t="s">
        <v>1</v>
      </c>
      <c r="C176" s="11" t="s">
        <v>2</v>
      </c>
      <c r="D176" s="11" t="s">
        <v>3</v>
      </c>
      <c r="E176" s="12" t="s">
        <v>4</v>
      </c>
      <c r="F176" s="11"/>
      <c r="G176" s="11" t="s">
        <v>6</v>
      </c>
      <c r="H176" s="11"/>
      <c r="I176" s="11"/>
      <c r="J176" s="13" t="s">
        <v>400</v>
      </c>
      <c r="K176" s="13" t="s">
        <v>415</v>
      </c>
      <c r="L176" s="13" t="s">
        <v>420</v>
      </c>
      <c r="M176" s="13" t="s">
        <v>421</v>
      </c>
      <c r="N176" s="14" t="n">
        <f aca="false">OFFSET(tbl_LoC,175,19,1,1)</f>
        <v>0</v>
      </c>
      <c r="O176" s="15"/>
      <c r="P176" s="13"/>
      <c r="Q176" s="13" t="n">
        <v>9</v>
      </c>
      <c r="R176" s="13"/>
      <c r="S176" s="16"/>
      <c r="T176" s="12"/>
      <c r="U176" s="12"/>
      <c r="V176" s="14" t="e">
        <f aca="false">OFFSET(tbl_LoC,175,21,1,1)*OFFSET(tbl_LoC,175,20,1,1)</f>
        <v>#VALUE!</v>
      </c>
      <c r="W176" s="17" t="n">
        <v>103</v>
      </c>
      <c r="X176" s="14" t="n">
        <f aca="false">Y176/(1-0.15)/(1-0.6)</f>
        <v>1058.82352941176</v>
      </c>
      <c r="Y176" s="18" t="n">
        <v>360</v>
      </c>
      <c r="Z176" s="19" t="n">
        <f aca="false">OFFSET(tbl_LoC,175,22,1,1)*OFFSET(tbl_LoC,175,20,1,1)</f>
        <v>0</v>
      </c>
      <c r="AA176" s="13" t="e">
        <f aca="false">VLOOKUP(OFFSET(tbl_LoC,175,10,1,1),'[1]List of components'!$C$1:$F$1048576,2,FALSE())</f>
        <v>#N/A</v>
      </c>
      <c r="AB176" s="13"/>
      <c r="AC176" s="13"/>
    </row>
    <row r="177" customFormat="false" ht="15" hidden="false" customHeight="false" outlineLevel="0" collapsed="false">
      <c r="A177" s="11" t="s">
        <v>0</v>
      </c>
      <c r="B177" s="11" t="s">
        <v>1</v>
      </c>
      <c r="C177" s="11" t="s">
        <v>2</v>
      </c>
      <c r="D177" s="11" t="s">
        <v>3</v>
      </c>
      <c r="E177" s="12" t="s">
        <v>4</v>
      </c>
      <c r="F177" s="11"/>
      <c r="G177" s="11" t="s">
        <v>6</v>
      </c>
      <c r="H177" s="11"/>
      <c r="I177" s="11"/>
      <c r="J177" s="13" t="s">
        <v>400</v>
      </c>
      <c r="K177" s="13" t="s">
        <v>415</v>
      </c>
      <c r="L177" s="13" t="s">
        <v>422</v>
      </c>
      <c r="M177" s="13" t="s">
        <v>423</v>
      </c>
      <c r="N177" s="14" t="n">
        <f aca="false">OFFSET(tbl_LoC,176,19,1,1)</f>
        <v>0</v>
      </c>
      <c r="O177" s="15"/>
      <c r="P177" s="13"/>
      <c r="Q177" s="13" t="n">
        <v>9</v>
      </c>
      <c r="R177" s="13"/>
      <c r="S177" s="16"/>
      <c r="T177" s="12"/>
      <c r="U177" s="12"/>
      <c r="V177" s="14" t="e">
        <f aca="false">OFFSET(tbl_LoC,176,21,1,1)*OFFSET(tbl_LoC,176,20,1,1)</f>
        <v>#VALUE!</v>
      </c>
      <c r="W177" s="17" t="n">
        <v>103</v>
      </c>
      <c r="X177" s="14" t="n">
        <f aca="false">Y177/(1-0.15)/(1-0.6)</f>
        <v>1044.11764705882</v>
      </c>
      <c r="Y177" s="18" t="n">
        <v>355</v>
      </c>
      <c r="Z177" s="19" t="n">
        <f aca="false">OFFSET(tbl_LoC,176,22,1,1)*OFFSET(tbl_LoC,176,20,1,1)</f>
        <v>0</v>
      </c>
      <c r="AA177" s="13" t="e">
        <f aca="false">VLOOKUP(OFFSET(tbl_LoC,176,10,1,1),'[1]List of components'!$C$1:$F$1048576,2,FALSE())</f>
        <v>#N/A</v>
      </c>
      <c r="AB177" s="13"/>
      <c r="AC177" s="13"/>
    </row>
    <row r="178" customFormat="false" ht="15" hidden="false" customHeight="false" outlineLevel="0" collapsed="false">
      <c r="A178" s="11" t="s">
        <v>0</v>
      </c>
      <c r="B178" s="11" t="s">
        <v>1</v>
      </c>
      <c r="C178" s="11" t="s">
        <v>2</v>
      </c>
      <c r="D178" s="11" t="s">
        <v>3</v>
      </c>
      <c r="E178" s="12"/>
      <c r="F178" s="11"/>
      <c r="G178" s="11" t="s">
        <v>6</v>
      </c>
      <c r="H178" s="11"/>
      <c r="I178" s="11"/>
      <c r="J178" s="13" t="s">
        <v>400</v>
      </c>
      <c r="K178" s="13" t="s">
        <v>415</v>
      </c>
      <c r="L178" s="13" t="s">
        <v>424</v>
      </c>
      <c r="M178" s="13" t="s">
        <v>425</v>
      </c>
      <c r="N178" s="14" t="n">
        <f aca="false">OFFSET(tbl_LoC,177,19,1,1)</f>
        <v>0</v>
      </c>
      <c r="O178" s="15"/>
      <c r="P178" s="13"/>
      <c r="Q178" s="13" t="n">
        <v>9</v>
      </c>
      <c r="R178" s="13"/>
      <c r="S178" s="16"/>
      <c r="T178" s="12"/>
      <c r="U178" s="12"/>
      <c r="V178" s="14" t="e">
        <f aca="false">OFFSET(tbl_LoC,177,21,1,1)*OFFSET(tbl_LoC,177,20,1,1)</f>
        <v>#VALUE!</v>
      </c>
      <c r="W178" s="17" t="n">
        <v>103</v>
      </c>
      <c r="X178" s="14" t="n">
        <f aca="false">Y178/(1-0.15)/(1-0.6)</f>
        <v>764.705882352941</v>
      </c>
      <c r="Y178" s="18" t="n">
        <v>260</v>
      </c>
      <c r="Z178" s="19" t="n">
        <f aca="false">OFFSET(tbl_LoC,177,22,1,1)*OFFSET(tbl_LoC,177,20,1,1)</f>
        <v>0</v>
      </c>
      <c r="AA178" s="13" t="e">
        <f aca="false">VLOOKUP(OFFSET(tbl_LoC,177,10,1,1),'[1]List of components'!$C$1:$F$1048576,2,FALSE())</f>
        <v>#N/A</v>
      </c>
      <c r="AB178" s="13"/>
      <c r="AC178" s="13"/>
    </row>
    <row r="179" customFormat="false" ht="15" hidden="false" customHeight="false" outlineLevel="0" collapsed="false">
      <c r="A179" s="11" t="s">
        <v>0</v>
      </c>
      <c r="B179" s="11" t="s">
        <v>1</v>
      </c>
      <c r="C179" s="11" t="s">
        <v>2</v>
      </c>
      <c r="D179" s="11" t="s">
        <v>3</v>
      </c>
      <c r="E179" s="12" t="s">
        <v>4</v>
      </c>
      <c r="F179" s="11"/>
      <c r="G179" s="11" t="s">
        <v>6</v>
      </c>
      <c r="H179" s="11"/>
      <c r="I179" s="11"/>
      <c r="J179" s="13" t="s">
        <v>400</v>
      </c>
      <c r="K179" s="13" t="s">
        <v>415</v>
      </c>
      <c r="L179" s="13" t="s">
        <v>426</v>
      </c>
      <c r="M179" s="13" t="s">
        <v>427</v>
      </c>
      <c r="N179" s="14" t="n">
        <f aca="false">OFFSET(tbl_LoC,178,19,1,1)</f>
        <v>0</v>
      </c>
      <c r="O179" s="15"/>
      <c r="P179" s="13"/>
      <c r="Q179" s="13" t="n">
        <v>5</v>
      </c>
      <c r="R179" s="13"/>
      <c r="S179" s="16"/>
      <c r="T179" s="12"/>
      <c r="U179" s="12"/>
      <c r="V179" s="14" t="e">
        <f aca="false">OFFSET(tbl_LoC,178,21,1,1)*OFFSET(tbl_LoC,178,20,1,1)</f>
        <v>#VALUE!</v>
      </c>
      <c r="W179" s="17" t="n">
        <v>103</v>
      </c>
      <c r="X179" s="14" t="n">
        <f aca="false">Y179/(1-0.15)/(1-0.6)</f>
        <v>558.823529411765</v>
      </c>
      <c r="Y179" s="18" t="n">
        <v>190</v>
      </c>
      <c r="Z179" s="19" t="n">
        <f aca="false">OFFSET(tbl_LoC,178,22,1,1)*OFFSET(tbl_LoC,178,20,1,1)</f>
        <v>0</v>
      </c>
      <c r="AA179" s="13" t="e">
        <f aca="false">VLOOKUP(OFFSET(tbl_LoC,178,10,1,1),'[1]List of components'!$C$1:$F$1048576,2,FALSE())</f>
        <v>#N/A</v>
      </c>
      <c r="AB179" s="13"/>
      <c r="AC179" s="13"/>
    </row>
    <row r="180" customFormat="false" ht="15" hidden="false" customHeight="false" outlineLevel="0" collapsed="false">
      <c r="A180" s="11" t="s">
        <v>0</v>
      </c>
      <c r="B180" s="11" t="s">
        <v>1</v>
      </c>
      <c r="C180" s="11" t="s">
        <v>2</v>
      </c>
      <c r="D180" s="11" t="s">
        <v>3</v>
      </c>
      <c r="E180" s="12" t="s">
        <v>4</v>
      </c>
      <c r="F180" s="11"/>
      <c r="G180" s="11" t="s">
        <v>6</v>
      </c>
      <c r="H180" s="11"/>
      <c r="I180" s="11"/>
      <c r="J180" s="13" t="s">
        <v>400</v>
      </c>
      <c r="K180" s="13" t="s">
        <v>415</v>
      </c>
      <c r="L180" s="13" t="s">
        <v>428</v>
      </c>
      <c r="M180" s="13" t="s">
        <v>429</v>
      </c>
      <c r="N180" s="14" t="n">
        <f aca="false">OFFSET(tbl_LoC,179,19,1,1)</f>
        <v>0</v>
      </c>
      <c r="O180" s="15"/>
      <c r="P180" s="13"/>
      <c r="Q180" s="13" t="n">
        <v>9</v>
      </c>
      <c r="R180" s="13"/>
      <c r="S180" s="16"/>
      <c r="T180" s="12"/>
      <c r="U180" s="12"/>
      <c r="V180" s="14" t="e">
        <f aca="false">OFFSET(tbl_LoC,179,21,1,1)*OFFSET(tbl_LoC,179,20,1,1)</f>
        <v>#VALUE!</v>
      </c>
      <c r="W180" s="17" t="n">
        <v>103</v>
      </c>
      <c r="X180" s="14" t="n">
        <f aca="false">Y180/(1-0.15)/(1-0.6)</f>
        <v>1147.05882352941</v>
      </c>
      <c r="Y180" s="18" t="n">
        <v>390</v>
      </c>
      <c r="Z180" s="19" t="n">
        <f aca="false">OFFSET(tbl_LoC,179,22,1,1)*OFFSET(tbl_LoC,179,20,1,1)</f>
        <v>0</v>
      </c>
      <c r="AA180" s="13" t="e">
        <f aca="false">VLOOKUP(OFFSET(tbl_LoC,179,10,1,1),'[1]List of components'!$C$1:$F$1048576,2,FALSE())</f>
        <v>#N/A</v>
      </c>
      <c r="AB180" s="13"/>
      <c r="AC180" s="13"/>
    </row>
    <row r="181" customFormat="false" ht="15" hidden="false" customHeight="false" outlineLevel="0" collapsed="false">
      <c r="A181" s="11" t="s">
        <v>0</v>
      </c>
      <c r="B181" s="11" t="s">
        <v>1</v>
      </c>
      <c r="C181" s="11" t="s">
        <v>2</v>
      </c>
      <c r="D181" s="11" t="s">
        <v>3</v>
      </c>
      <c r="E181" s="12"/>
      <c r="F181" s="11"/>
      <c r="G181" s="11" t="s">
        <v>6</v>
      </c>
      <c r="H181" s="11"/>
      <c r="I181" s="11"/>
      <c r="J181" s="13" t="s">
        <v>400</v>
      </c>
      <c r="K181" s="13" t="s">
        <v>415</v>
      </c>
      <c r="L181" s="13" t="s">
        <v>430</v>
      </c>
      <c r="M181" s="13" t="s">
        <v>431</v>
      </c>
      <c r="N181" s="14" t="n">
        <f aca="false">OFFSET(tbl_LoC,180,19,1,1)</f>
        <v>0</v>
      </c>
      <c r="O181" s="15"/>
      <c r="P181" s="13"/>
      <c r="Q181" s="13" t="n">
        <v>9</v>
      </c>
      <c r="R181" s="13"/>
      <c r="S181" s="16"/>
      <c r="T181" s="12"/>
      <c r="U181" s="12"/>
      <c r="V181" s="14" t="e">
        <f aca="false">OFFSET(tbl_LoC,180,21,1,1)*OFFSET(tbl_LoC,180,20,1,1)</f>
        <v>#VALUE!</v>
      </c>
      <c r="W181" s="17" t="n">
        <v>103</v>
      </c>
      <c r="X181" s="14" t="n">
        <f aca="false">Y181/(1-0.15)/(1-0.6)</f>
        <v>941.176470588235</v>
      </c>
      <c r="Y181" s="18" t="n">
        <v>320</v>
      </c>
      <c r="Z181" s="19" t="n">
        <f aca="false">OFFSET(tbl_LoC,180,22,1,1)*OFFSET(tbl_LoC,180,20,1,1)</f>
        <v>0</v>
      </c>
      <c r="AA181" s="13" t="e">
        <f aca="false">VLOOKUP(OFFSET(tbl_LoC,180,10,1,1),'[1]List of components'!$C$1:$F$1048576,2,FALSE())</f>
        <v>#N/A</v>
      </c>
      <c r="AB181" s="13"/>
      <c r="AC181" s="13"/>
    </row>
    <row r="182" customFormat="false" ht="15" hidden="false" customHeight="false" outlineLevel="0" collapsed="false">
      <c r="A182" s="11" t="s">
        <v>0</v>
      </c>
      <c r="B182" s="11" t="s">
        <v>1</v>
      </c>
      <c r="C182" s="11" t="s">
        <v>2</v>
      </c>
      <c r="D182" s="11" t="s">
        <v>3</v>
      </c>
      <c r="E182" s="12" t="s">
        <v>4</v>
      </c>
      <c r="F182" s="11"/>
      <c r="G182" s="11" t="s">
        <v>6</v>
      </c>
      <c r="H182" s="11"/>
      <c r="I182" s="11"/>
      <c r="J182" s="13" t="s">
        <v>400</v>
      </c>
      <c r="K182" s="13" t="s">
        <v>415</v>
      </c>
      <c r="L182" s="13" t="s">
        <v>432</v>
      </c>
      <c r="M182" s="13" t="s">
        <v>433</v>
      </c>
      <c r="N182" s="14" t="n">
        <f aca="false">OFFSET(tbl_LoC,181,19,1,1)</f>
        <v>0</v>
      </c>
      <c r="O182" s="15"/>
      <c r="P182" s="13"/>
      <c r="Q182" s="13" t="n">
        <v>5</v>
      </c>
      <c r="R182" s="13"/>
      <c r="S182" s="16"/>
      <c r="T182" s="12"/>
      <c r="U182" s="12"/>
      <c r="V182" s="14" t="e">
        <f aca="false">OFFSET(tbl_LoC,181,21,1,1)*OFFSET(tbl_LoC,181,20,1,1)</f>
        <v>#VALUE!</v>
      </c>
      <c r="W182" s="17" t="n">
        <v>103</v>
      </c>
      <c r="X182" s="14" t="e">
        <f aca="false">Y182/(1-0.15)/(1-0.6)</f>
        <v>#N/A</v>
      </c>
      <c r="Y182" s="18" t="e">
        <f aca="false">VLOOKUP(OFFSET(tbl_LoC,181,10,1,1),'[1]List of components'!$C$1:$F$1048576,3,FALSE())</f>
        <v>#N/A</v>
      </c>
      <c r="Z182" s="19" t="n">
        <f aca="false">OFFSET(tbl_LoC,181,22,1,1)*OFFSET(tbl_LoC,181,20,1,1)</f>
        <v>0</v>
      </c>
      <c r="AA182" s="13" t="e">
        <f aca="false">VLOOKUP(OFFSET(tbl_LoC,181,10,1,1),'[1]List of components'!$C$1:$F$1048576,2,FALSE())</f>
        <v>#N/A</v>
      </c>
      <c r="AB182" s="13"/>
      <c r="AC182" s="13"/>
    </row>
    <row r="183" customFormat="false" ht="15" hidden="false" customHeight="false" outlineLevel="0" collapsed="false">
      <c r="A183" s="11" t="s">
        <v>0</v>
      </c>
      <c r="B183" s="11" t="s">
        <v>1</v>
      </c>
      <c r="C183" s="11" t="s">
        <v>2</v>
      </c>
      <c r="D183" s="11" t="s">
        <v>3</v>
      </c>
      <c r="E183" s="12"/>
      <c r="F183" s="11"/>
      <c r="G183" s="11" t="s">
        <v>6</v>
      </c>
      <c r="H183" s="11"/>
      <c r="I183" s="11"/>
      <c r="J183" s="13" t="s">
        <v>400</v>
      </c>
      <c r="K183" s="13" t="s">
        <v>415</v>
      </c>
      <c r="L183" s="13" t="s">
        <v>434</v>
      </c>
      <c r="M183" s="13" t="s">
        <v>435</v>
      </c>
      <c r="N183" s="14" t="n">
        <f aca="false">OFFSET(tbl_LoC,182,19,1,1)</f>
        <v>0</v>
      </c>
      <c r="O183" s="15"/>
      <c r="P183" s="13"/>
      <c r="Q183" s="13" t="n">
        <v>9</v>
      </c>
      <c r="R183" s="13"/>
      <c r="S183" s="16"/>
      <c r="T183" s="12"/>
      <c r="U183" s="12"/>
      <c r="V183" s="14" t="e">
        <f aca="false">OFFSET(tbl_LoC,182,21,1,1)*OFFSET(tbl_LoC,182,20,1,1)</f>
        <v>#VALUE!</v>
      </c>
      <c r="W183" s="17" t="n">
        <v>103</v>
      </c>
      <c r="X183" s="14" t="n">
        <f aca="false">Y183/(1-0.15)/(1-0.6)</f>
        <v>941.176470588235</v>
      </c>
      <c r="Y183" s="18" t="n">
        <v>320</v>
      </c>
      <c r="Z183" s="19" t="n">
        <f aca="false">OFFSET(tbl_LoC,182,22,1,1)*OFFSET(tbl_LoC,182,20,1,1)</f>
        <v>0</v>
      </c>
      <c r="AA183" s="13" t="e">
        <f aca="false">VLOOKUP(OFFSET(tbl_LoC,182,10,1,1),'[1]List of components'!$C$1:$F$1048576,2,FALSE())</f>
        <v>#N/A</v>
      </c>
      <c r="AB183" s="13"/>
      <c r="AC183" s="13"/>
    </row>
    <row r="184" customFormat="false" ht="15" hidden="false" customHeight="false" outlineLevel="0" collapsed="false">
      <c r="A184" s="11" t="s">
        <v>0</v>
      </c>
      <c r="B184" s="11" t="s">
        <v>1</v>
      </c>
      <c r="C184" s="11" t="s">
        <v>2</v>
      </c>
      <c r="D184" s="11" t="s">
        <v>3</v>
      </c>
      <c r="E184" s="12" t="s">
        <v>4</v>
      </c>
      <c r="F184" s="11"/>
      <c r="G184" s="11" t="s">
        <v>6</v>
      </c>
      <c r="H184" s="11"/>
      <c r="I184" s="11"/>
      <c r="J184" s="13" t="s">
        <v>400</v>
      </c>
      <c r="K184" s="13" t="s">
        <v>415</v>
      </c>
      <c r="L184" s="13" t="s">
        <v>436</v>
      </c>
      <c r="M184" s="13" t="s">
        <v>437</v>
      </c>
      <c r="N184" s="14" t="n">
        <f aca="false">OFFSET(tbl_LoC,183,19,1,1)</f>
        <v>0</v>
      </c>
      <c r="O184" s="15"/>
      <c r="P184" s="13"/>
      <c r="Q184" s="13" t="n">
        <v>5</v>
      </c>
      <c r="R184" s="13"/>
      <c r="S184" s="16"/>
      <c r="T184" s="12"/>
      <c r="U184" s="12"/>
      <c r="V184" s="14" t="e">
        <f aca="false">OFFSET(tbl_LoC,183,21,1,1)*OFFSET(tbl_LoC,183,20,1,1)</f>
        <v>#VALUE!</v>
      </c>
      <c r="W184" s="17" t="n">
        <v>103</v>
      </c>
      <c r="X184" s="14" t="n">
        <f aca="false">Y184/(1-0.15)/(1-0.6)</f>
        <v>735.294117647059</v>
      </c>
      <c r="Y184" s="18" t="n">
        <v>250</v>
      </c>
      <c r="Z184" s="19" t="n">
        <f aca="false">OFFSET(tbl_LoC,183,22,1,1)*OFFSET(tbl_LoC,183,20,1,1)</f>
        <v>0</v>
      </c>
      <c r="AA184" s="13" t="e">
        <f aca="false">VLOOKUP(OFFSET(tbl_LoC,183,10,1,1),'[1]List of components'!$C$1:$F$1048576,2,FALSE())</f>
        <v>#N/A</v>
      </c>
      <c r="AB184" s="13"/>
      <c r="AC184" s="13"/>
    </row>
    <row r="185" customFormat="false" ht="15" hidden="false" customHeight="false" outlineLevel="0" collapsed="false">
      <c r="A185" s="11" t="s">
        <v>0</v>
      </c>
      <c r="B185" s="11" t="s">
        <v>1</v>
      </c>
      <c r="C185" s="11" t="s">
        <v>2</v>
      </c>
      <c r="D185" s="11" t="s">
        <v>3</v>
      </c>
      <c r="E185" s="12" t="s">
        <v>4</v>
      </c>
      <c r="F185" s="11"/>
      <c r="G185" s="11" t="s">
        <v>6</v>
      </c>
      <c r="H185" s="11"/>
      <c r="I185" s="11"/>
      <c r="J185" s="13" t="s">
        <v>400</v>
      </c>
      <c r="K185" s="13" t="s">
        <v>415</v>
      </c>
      <c r="L185" s="13" t="s">
        <v>438</v>
      </c>
      <c r="M185" s="13" t="s">
        <v>439</v>
      </c>
      <c r="N185" s="14" t="n">
        <f aca="false">OFFSET(tbl_LoC,184,19,1,1)</f>
        <v>0</v>
      </c>
      <c r="O185" s="15"/>
      <c r="P185" s="13"/>
      <c r="Q185" s="13" t="n">
        <v>5</v>
      </c>
      <c r="R185" s="13"/>
      <c r="S185" s="16"/>
      <c r="T185" s="12"/>
      <c r="U185" s="12"/>
      <c r="V185" s="14" t="e">
        <f aca="false">OFFSET(tbl_LoC,184,21,1,1)*OFFSET(tbl_LoC,184,20,1,1)</f>
        <v>#VALUE!</v>
      </c>
      <c r="W185" s="17" t="n">
        <v>103</v>
      </c>
      <c r="X185" s="14" t="n">
        <f aca="false">Y185/(1-0.15)/(1-0.6)</f>
        <v>191.176470588235</v>
      </c>
      <c r="Y185" s="18" t="n">
        <v>65</v>
      </c>
      <c r="Z185" s="19" t="n">
        <f aca="false">OFFSET(tbl_LoC,184,22,1,1)*OFFSET(tbl_LoC,184,20,1,1)</f>
        <v>0</v>
      </c>
      <c r="AA185" s="13" t="e">
        <f aca="false">VLOOKUP(OFFSET(tbl_LoC,184,10,1,1),'[1]List of components'!$C$1:$F$1048576,2,FALSE())</f>
        <v>#N/A</v>
      </c>
      <c r="AB185" s="13"/>
      <c r="AC185" s="13"/>
    </row>
    <row r="186" customFormat="false" ht="15" hidden="false" customHeight="false" outlineLevel="0" collapsed="false">
      <c r="A186" s="11" t="s">
        <v>0</v>
      </c>
      <c r="B186" s="11" t="s">
        <v>1</v>
      </c>
      <c r="C186" s="11" t="s">
        <v>2</v>
      </c>
      <c r="D186" s="11" t="s">
        <v>3</v>
      </c>
      <c r="E186" s="12"/>
      <c r="F186" s="11"/>
      <c r="G186" s="11" t="s">
        <v>6</v>
      </c>
      <c r="H186" s="11"/>
      <c r="I186" s="11"/>
      <c r="J186" s="13" t="s">
        <v>400</v>
      </c>
      <c r="K186" s="13" t="s">
        <v>415</v>
      </c>
      <c r="L186" s="13" t="s">
        <v>440</v>
      </c>
      <c r="M186" s="13" t="s">
        <v>441</v>
      </c>
      <c r="N186" s="14" t="n">
        <f aca="false">OFFSET(tbl_LoC,185,19,1,1)</f>
        <v>0</v>
      </c>
      <c r="O186" s="15"/>
      <c r="P186" s="13"/>
      <c r="Q186" s="13" t="n">
        <v>9</v>
      </c>
      <c r="R186" s="13"/>
      <c r="S186" s="16"/>
      <c r="T186" s="12"/>
      <c r="U186" s="12"/>
      <c r="V186" s="14" t="e">
        <f aca="false">OFFSET(tbl_LoC,185,21,1,1)*OFFSET(tbl_LoC,185,20,1,1)</f>
        <v>#VALUE!</v>
      </c>
      <c r="W186" s="17" t="n">
        <v>103</v>
      </c>
      <c r="X186" s="14" t="n">
        <f aca="false">Y186/(1-0.15)/(1-0.6)</f>
        <v>1088.23529411765</v>
      </c>
      <c r="Y186" s="18" t="n">
        <v>370</v>
      </c>
      <c r="Z186" s="19" t="n">
        <f aca="false">OFFSET(tbl_LoC,185,22,1,1)*OFFSET(tbl_LoC,185,20,1,1)</f>
        <v>0</v>
      </c>
      <c r="AA186" s="13" t="e">
        <f aca="false">VLOOKUP(OFFSET(tbl_LoC,185,10,1,1),'[1]List of components'!$C$1:$F$1048576,2,FALSE())</f>
        <v>#N/A</v>
      </c>
      <c r="AB186" s="13"/>
      <c r="AC186" s="13"/>
    </row>
    <row r="187" customFormat="false" ht="15" hidden="false" customHeight="false" outlineLevel="0" collapsed="false">
      <c r="A187" s="11" t="s">
        <v>0</v>
      </c>
      <c r="B187" s="11" t="s">
        <v>1</v>
      </c>
      <c r="C187" s="11" t="s">
        <v>2</v>
      </c>
      <c r="D187" s="11" t="s">
        <v>3</v>
      </c>
      <c r="E187" s="12" t="s">
        <v>4</v>
      </c>
      <c r="F187" s="11"/>
      <c r="G187" s="11" t="s">
        <v>6</v>
      </c>
      <c r="H187" s="11"/>
      <c r="I187" s="11"/>
      <c r="J187" s="13" t="s">
        <v>400</v>
      </c>
      <c r="K187" s="13" t="s">
        <v>415</v>
      </c>
      <c r="L187" s="13" t="s">
        <v>442</v>
      </c>
      <c r="M187" s="13" t="s">
        <v>443</v>
      </c>
      <c r="N187" s="14" t="n">
        <f aca="false">OFFSET(tbl_LoC,186,19,1,1)</f>
        <v>0</v>
      </c>
      <c r="O187" s="15"/>
      <c r="P187" s="13"/>
      <c r="Q187" s="13" t="n">
        <v>9</v>
      </c>
      <c r="R187" s="13"/>
      <c r="S187" s="16"/>
      <c r="T187" s="12"/>
      <c r="U187" s="12"/>
      <c r="V187" s="14" t="e">
        <f aca="false">OFFSET(tbl_LoC,186,21,1,1)*OFFSET(tbl_LoC,186,20,1,1)</f>
        <v>#VALUE!</v>
      </c>
      <c r="W187" s="17" t="n">
        <v>103</v>
      </c>
      <c r="X187" s="14" t="e">
        <f aca="false">Y187/(1-0.15)/(1-0.6)</f>
        <v>#N/A</v>
      </c>
      <c r="Y187" s="18" t="e">
        <f aca="false">VLOOKUP(OFFSET(tbl_LoC,186,10,1,1),'[1]List of components'!$C$1:$F$1048576,3,FALSE())</f>
        <v>#N/A</v>
      </c>
      <c r="Z187" s="19" t="n">
        <f aca="false">OFFSET(tbl_LoC,186,22,1,1)*OFFSET(tbl_LoC,186,20,1,1)</f>
        <v>0</v>
      </c>
      <c r="AA187" s="13" t="e">
        <f aca="false">VLOOKUP(OFFSET(tbl_LoC,186,10,1,1),'[1]List of components'!$C$1:$F$1048576,2,FALSE())</f>
        <v>#N/A</v>
      </c>
      <c r="AB187" s="13"/>
      <c r="AC187" s="13"/>
    </row>
    <row r="188" customFormat="false" ht="15" hidden="false" customHeight="false" outlineLevel="0" collapsed="false">
      <c r="A188" s="11" t="s">
        <v>0</v>
      </c>
      <c r="B188" s="11" t="s">
        <v>1</v>
      </c>
      <c r="C188" s="11" t="s">
        <v>2</v>
      </c>
      <c r="D188" s="11" t="s">
        <v>3</v>
      </c>
      <c r="E188" s="12"/>
      <c r="F188" s="11"/>
      <c r="G188" s="11" t="s">
        <v>6</v>
      </c>
      <c r="H188" s="11"/>
      <c r="I188" s="11"/>
      <c r="J188" s="13" t="s">
        <v>400</v>
      </c>
      <c r="K188" s="13" t="s">
        <v>415</v>
      </c>
      <c r="L188" s="13" t="s">
        <v>444</v>
      </c>
      <c r="M188" s="13" t="s">
        <v>445</v>
      </c>
      <c r="N188" s="14" t="n">
        <f aca="false">OFFSET(tbl_LoC,187,19,1,1)</f>
        <v>0</v>
      </c>
      <c r="O188" s="15"/>
      <c r="P188" s="13"/>
      <c r="Q188" s="13" t="n">
        <v>9</v>
      </c>
      <c r="R188" s="13"/>
      <c r="S188" s="16"/>
      <c r="T188" s="12"/>
      <c r="U188" s="12"/>
      <c r="V188" s="14" t="e">
        <f aca="false">OFFSET(tbl_LoC,187,21,1,1)*OFFSET(tbl_LoC,187,20,1,1)</f>
        <v>#VALUE!</v>
      </c>
      <c r="W188" s="17" t="n">
        <v>103</v>
      </c>
      <c r="X188" s="14" t="e">
        <f aca="false">Y188/(1-0.15)/(1-0.6)</f>
        <v>#N/A</v>
      </c>
      <c r="Y188" s="18" t="e">
        <f aca="false">VLOOKUP(OFFSET(tbl_LoC,187,10,1,1),'[1]List of components'!$C$1:$F$1048576,3,FALSE())</f>
        <v>#N/A</v>
      </c>
      <c r="Z188" s="19" t="n">
        <f aca="false">OFFSET(tbl_LoC,187,22,1,1)*OFFSET(tbl_LoC,187,20,1,1)</f>
        <v>0</v>
      </c>
      <c r="AA188" s="13" t="e">
        <f aca="false">VLOOKUP(OFFSET(tbl_LoC,187,10,1,1),'[1]List of components'!$C$1:$F$1048576,2,FALSE())</f>
        <v>#N/A</v>
      </c>
      <c r="AB188" s="13"/>
      <c r="AC188" s="13"/>
    </row>
    <row r="189" customFormat="false" ht="15" hidden="false" customHeight="false" outlineLevel="0" collapsed="false">
      <c r="A189" s="11" t="s">
        <v>0</v>
      </c>
      <c r="B189" s="11" t="s">
        <v>1</v>
      </c>
      <c r="C189" s="11" t="s">
        <v>2</v>
      </c>
      <c r="D189" s="11" t="s">
        <v>3</v>
      </c>
      <c r="E189" s="12" t="s">
        <v>4</v>
      </c>
      <c r="F189" s="11"/>
      <c r="G189" s="11" t="s">
        <v>6</v>
      </c>
      <c r="H189" s="11"/>
      <c r="I189" s="11"/>
      <c r="J189" s="13" t="s">
        <v>400</v>
      </c>
      <c r="K189" s="13" t="s">
        <v>415</v>
      </c>
      <c r="L189" s="13" t="s">
        <v>446</v>
      </c>
      <c r="M189" s="13" t="s">
        <v>447</v>
      </c>
      <c r="N189" s="14" t="n">
        <f aca="false">OFFSET(tbl_LoC,188,19,1,1)</f>
        <v>0</v>
      </c>
      <c r="O189" s="15"/>
      <c r="P189" s="13"/>
      <c r="Q189" s="13" t="n">
        <v>5</v>
      </c>
      <c r="R189" s="13"/>
      <c r="S189" s="16"/>
      <c r="T189" s="12"/>
      <c r="U189" s="12"/>
      <c r="V189" s="14" t="e">
        <f aca="false">OFFSET(tbl_LoC,188,21,1,1)*OFFSET(tbl_LoC,188,20,1,1)</f>
        <v>#VALUE!</v>
      </c>
      <c r="W189" s="17" t="n">
        <v>103</v>
      </c>
      <c r="X189" s="14" t="n">
        <f aca="false">Y189/(1-0.15)/(1-0.6)</f>
        <v>235.294117647059</v>
      </c>
      <c r="Y189" s="18" t="n">
        <v>80</v>
      </c>
      <c r="Z189" s="19" t="n">
        <f aca="false">OFFSET(tbl_LoC,188,22,1,1)*OFFSET(tbl_LoC,188,20,1,1)</f>
        <v>0</v>
      </c>
      <c r="AA189" s="13" t="e">
        <f aca="false">VLOOKUP(OFFSET(tbl_LoC,188,10,1,1),'[1]List of components'!$C$1:$F$1048576,2,FALSE())</f>
        <v>#N/A</v>
      </c>
      <c r="AB189" s="13"/>
      <c r="AC189" s="13"/>
    </row>
    <row r="190" customFormat="false" ht="15" hidden="false" customHeight="false" outlineLevel="0" collapsed="false">
      <c r="A190" s="11" t="s">
        <v>0</v>
      </c>
      <c r="B190" s="11" t="s">
        <v>1</v>
      </c>
      <c r="C190" s="11" t="s">
        <v>2</v>
      </c>
      <c r="D190" s="11" t="s">
        <v>3</v>
      </c>
      <c r="E190" s="12"/>
      <c r="F190" s="11"/>
      <c r="G190" s="11" t="s">
        <v>6</v>
      </c>
      <c r="H190" s="11"/>
      <c r="I190" s="11"/>
      <c r="J190" s="13" t="s">
        <v>400</v>
      </c>
      <c r="K190" s="13" t="s">
        <v>415</v>
      </c>
      <c r="L190" s="13" t="s">
        <v>448</v>
      </c>
      <c r="M190" s="13" t="s">
        <v>449</v>
      </c>
      <c r="N190" s="14" t="n">
        <f aca="false">OFFSET(tbl_LoC,189,19,1,1)</f>
        <v>0</v>
      </c>
      <c r="O190" s="15"/>
      <c r="P190" s="13"/>
      <c r="Q190" s="13" t="n">
        <v>9</v>
      </c>
      <c r="R190" s="13"/>
      <c r="S190" s="16"/>
      <c r="T190" s="12"/>
      <c r="U190" s="12"/>
      <c r="V190" s="14" t="e">
        <f aca="false">OFFSET(tbl_LoC,189,21,1,1)*OFFSET(tbl_LoC,189,20,1,1)</f>
        <v>#VALUE!</v>
      </c>
      <c r="W190" s="17" t="n">
        <v>103</v>
      </c>
      <c r="X190" s="14" t="e">
        <f aca="false">Y190/(1-0.15)/(1-0.6)</f>
        <v>#N/A</v>
      </c>
      <c r="Y190" s="18" t="e">
        <f aca="false">VLOOKUP(OFFSET(tbl_LoC,189,10,1,1),'[1]List of components'!$C$1:$F$1048576,3,FALSE())</f>
        <v>#N/A</v>
      </c>
      <c r="Z190" s="19" t="n">
        <f aca="false">OFFSET(tbl_LoC,189,22,1,1)*OFFSET(tbl_LoC,189,20,1,1)</f>
        <v>0</v>
      </c>
      <c r="AA190" s="13" t="e">
        <f aca="false">VLOOKUP(OFFSET(tbl_LoC,189,10,1,1),'[1]List of components'!$C$1:$F$1048576,2,FALSE())</f>
        <v>#N/A</v>
      </c>
      <c r="AB190" s="13"/>
      <c r="AC190" s="13"/>
    </row>
    <row r="191" customFormat="false" ht="15" hidden="false" customHeight="false" outlineLevel="0" collapsed="false">
      <c r="A191" s="11" t="s">
        <v>0</v>
      </c>
      <c r="B191" s="11" t="s">
        <v>1</v>
      </c>
      <c r="C191" s="11" t="s">
        <v>2</v>
      </c>
      <c r="D191" s="11" t="s">
        <v>3</v>
      </c>
      <c r="E191" s="12" t="s">
        <v>4</v>
      </c>
      <c r="F191" s="11"/>
      <c r="G191" s="11" t="s">
        <v>6</v>
      </c>
      <c r="H191" s="11"/>
      <c r="I191" s="11"/>
      <c r="J191" s="13" t="s">
        <v>400</v>
      </c>
      <c r="K191" s="13" t="s">
        <v>415</v>
      </c>
      <c r="L191" s="13" t="s">
        <v>450</v>
      </c>
      <c r="M191" s="13" t="s">
        <v>451</v>
      </c>
      <c r="N191" s="14" t="n">
        <f aca="false">OFFSET(tbl_LoC,190,19,1,1)</f>
        <v>0</v>
      </c>
      <c r="O191" s="15"/>
      <c r="P191" s="13"/>
      <c r="Q191" s="13" t="n">
        <v>5</v>
      </c>
      <c r="R191" s="13"/>
      <c r="S191" s="16"/>
      <c r="T191" s="12"/>
      <c r="U191" s="12"/>
      <c r="V191" s="14" t="e">
        <f aca="false">OFFSET(tbl_LoC,190,21,1,1)*OFFSET(tbl_LoC,190,20,1,1)</f>
        <v>#VALUE!</v>
      </c>
      <c r="W191" s="17" t="n">
        <v>103</v>
      </c>
      <c r="X191" s="14" t="e">
        <f aca="false">Y191/(1-0.15)/(1-0.6)</f>
        <v>#N/A</v>
      </c>
      <c r="Y191" s="18" t="e">
        <f aca="false">VLOOKUP(OFFSET(tbl_LoC,190,10,1,1),'[1]List of components'!$C$1:$F$1048576,3,FALSE())</f>
        <v>#N/A</v>
      </c>
      <c r="Z191" s="19" t="n">
        <f aca="false">OFFSET(tbl_LoC,190,22,1,1)*OFFSET(tbl_LoC,190,20,1,1)</f>
        <v>0</v>
      </c>
      <c r="AA191" s="13" t="e">
        <f aca="false">VLOOKUP(OFFSET(tbl_LoC,190,10,1,1),'[1]List of components'!$C$1:$F$1048576,2,FALSE())</f>
        <v>#N/A</v>
      </c>
      <c r="AB191" s="13"/>
      <c r="AC191" s="13"/>
    </row>
    <row r="192" customFormat="false" ht="15" hidden="false" customHeight="false" outlineLevel="0" collapsed="false">
      <c r="A192" s="11" t="s">
        <v>0</v>
      </c>
      <c r="B192" s="11" t="s">
        <v>1</v>
      </c>
      <c r="C192" s="11" t="s">
        <v>2</v>
      </c>
      <c r="D192" s="11" t="s">
        <v>3</v>
      </c>
      <c r="E192" s="12" t="s">
        <v>4</v>
      </c>
      <c r="F192" s="11"/>
      <c r="G192" s="11" t="s">
        <v>6</v>
      </c>
      <c r="H192" s="11"/>
      <c r="I192" s="11"/>
      <c r="J192" s="13" t="s">
        <v>400</v>
      </c>
      <c r="K192" s="13" t="s">
        <v>415</v>
      </c>
      <c r="L192" s="13" t="s">
        <v>452</v>
      </c>
      <c r="M192" s="13" t="s">
        <v>453</v>
      </c>
      <c r="N192" s="14" t="n">
        <f aca="false">OFFSET(tbl_LoC,191,19,1,1)</f>
        <v>0</v>
      </c>
      <c r="O192" s="15"/>
      <c r="P192" s="13"/>
      <c r="Q192" s="13" t="n">
        <v>9</v>
      </c>
      <c r="R192" s="13"/>
      <c r="S192" s="16"/>
      <c r="T192" s="12"/>
      <c r="U192" s="12"/>
      <c r="V192" s="14" t="e">
        <f aca="false">OFFSET(tbl_LoC,191,21,1,1)*OFFSET(tbl_LoC,191,20,1,1)</f>
        <v>#VALUE!</v>
      </c>
      <c r="W192" s="17" t="n">
        <v>103</v>
      </c>
      <c r="X192" s="14" t="e">
        <f aca="false">Y192/(1-0.15)/(1-0.6)</f>
        <v>#N/A</v>
      </c>
      <c r="Y192" s="18" t="e">
        <f aca="false">VLOOKUP(OFFSET(tbl_LoC,191,10,1,1),'[1]List of components'!$C$1:$F$1048576,3,FALSE())</f>
        <v>#N/A</v>
      </c>
      <c r="Z192" s="19" t="n">
        <f aca="false">OFFSET(tbl_LoC,191,22,1,1)*OFFSET(tbl_LoC,191,20,1,1)</f>
        <v>0</v>
      </c>
      <c r="AA192" s="13" t="e">
        <f aca="false">VLOOKUP(OFFSET(tbl_LoC,191,10,1,1),'[1]List of components'!$C$1:$F$1048576,2,FALSE())</f>
        <v>#N/A</v>
      </c>
      <c r="AB192" s="13"/>
      <c r="AC192" s="13"/>
    </row>
    <row r="193" customFormat="false" ht="15" hidden="false" customHeight="false" outlineLevel="0" collapsed="false">
      <c r="A193" s="11" t="s">
        <v>0</v>
      </c>
      <c r="B193" s="11" t="s">
        <v>1</v>
      </c>
      <c r="C193" s="11" t="s">
        <v>2</v>
      </c>
      <c r="D193" s="11" t="s">
        <v>3</v>
      </c>
      <c r="E193" s="12"/>
      <c r="F193" s="11"/>
      <c r="G193" s="11" t="s">
        <v>6</v>
      </c>
      <c r="H193" s="11"/>
      <c r="I193" s="11"/>
      <c r="J193" s="13" t="s">
        <v>400</v>
      </c>
      <c r="K193" s="13" t="s">
        <v>415</v>
      </c>
      <c r="L193" s="13" t="s">
        <v>454</v>
      </c>
      <c r="M193" s="13" t="s">
        <v>455</v>
      </c>
      <c r="N193" s="14" t="n">
        <f aca="false">OFFSET(tbl_LoC,192,19,1,1)</f>
        <v>0</v>
      </c>
      <c r="O193" s="15"/>
      <c r="P193" s="13"/>
      <c r="Q193" s="13" t="n">
        <v>9</v>
      </c>
      <c r="R193" s="13"/>
      <c r="S193" s="16"/>
      <c r="T193" s="12"/>
      <c r="U193" s="12"/>
      <c r="V193" s="14" t="e">
        <f aca="false">OFFSET(tbl_LoC,192,21,1,1)*OFFSET(tbl_LoC,192,20,1,1)</f>
        <v>#VALUE!</v>
      </c>
      <c r="W193" s="17" t="n">
        <v>103</v>
      </c>
      <c r="X193" s="14" t="e">
        <f aca="false">Y193/(1-0.15)/(1-0.6)</f>
        <v>#N/A</v>
      </c>
      <c r="Y193" s="18" t="e">
        <f aca="false">VLOOKUP(OFFSET(tbl_LoC,192,10,1,1),'[1]List of components'!$C$1:$F$1048576,3,FALSE())</f>
        <v>#N/A</v>
      </c>
      <c r="Z193" s="19" t="n">
        <f aca="false">OFFSET(tbl_LoC,192,22,1,1)*OFFSET(tbl_LoC,192,20,1,1)</f>
        <v>0</v>
      </c>
      <c r="AA193" s="13" t="e">
        <f aca="false">VLOOKUP(OFFSET(tbl_LoC,192,10,1,1),'[1]List of components'!$C$1:$F$1048576,2,FALSE())</f>
        <v>#N/A</v>
      </c>
      <c r="AB193" s="13"/>
      <c r="AC193" s="13"/>
    </row>
    <row r="194" customFormat="false" ht="15" hidden="false" customHeight="false" outlineLevel="0" collapsed="false">
      <c r="A194" s="11" t="s">
        <v>0</v>
      </c>
      <c r="B194" s="11" t="s">
        <v>1</v>
      </c>
      <c r="C194" s="11" t="s">
        <v>2</v>
      </c>
      <c r="D194" s="11" t="s">
        <v>3</v>
      </c>
      <c r="E194" s="12" t="s">
        <v>4</v>
      </c>
      <c r="F194" s="11"/>
      <c r="G194" s="11" t="s">
        <v>6</v>
      </c>
      <c r="H194" s="11"/>
      <c r="I194" s="11"/>
      <c r="J194" s="13" t="s">
        <v>400</v>
      </c>
      <c r="K194" s="13" t="s">
        <v>415</v>
      </c>
      <c r="L194" s="13" t="s">
        <v>456</v>
      </c>
      <c r="M194" s="13" t="s">
        <v>457</v>
      </c>
      <c r="N194" s="14" t="n">
        <f aca="false">OFFSET(tbl_LoC,193,19,1,1)</f>
        <v>0</v>
      </c>
      <c r="O194" s="15"/>
      <c r="P194" s="13"/>
      <c r="Q194" s="13" t="n">
        <v>9</v>
      </c>
      <c r="R194" s="13"/>
      <c r="S194" s="16"/>
      <c r="T194" s="12"/>
      <c r="U194" s="12"/>
      <c r="V194" s="14" t="e">
        <f aca="false">OFFSET(tbl_LoC,193,21,1,1)*OFFSET(tbl_LoC,193,20,1,1)</f>
        <v>#VALUE!</v>
      </c>
      <c r="W194" s="17" t="n">
        <v>103</v>
      </c>
      <c r="X194" s="14" t="e">
        <f aca="false">Y194/(1-0.15)/(1-0.6)</f>
        <v>#N/A</v>
      </c>
      <c r="Y194" s="18" t="e">
        <f aca="false">VLOOKUP(OFFSET(tbl_LoC,193,10,1,1),'[1]List of components'!$C$1:$F$1048576,3,FALSE())</f>
        <v>#N/A</v>
      </c>
      <c r="Z194" s="19" t="n">
        <f aca="false">OFFSET(tbl_LoC,193,22,1,1)*OFFSET(tbl_LoC,193,20,1,1)</f>
        <v>0</v>
      </c>
      <c r="AA194" s="13" t="e">
        <f aca="false">VLOOKUP(OFFSET(tbl_LoC,193,10,1,1),'[1]List of components'!$C$1:$F$1048576,2,FALSE())</f>
        <v>#N/A</v>
      </c>
      <c r="AB194" s="13"/>
      <c r="AC194" s="13"/>
    </row>
    <row r="195" customFormat="false" ht="15" hidden="false" customHeight="false" outlineLevel="0" collapsed="false">
      <c r="A195" s="11" t="s">
        <v>0</v>
      </c>
      <c r="B195" s="11" t="s">
        <v>1</v>
      </c>
      <c r="C195" s="11" t="s">
        <v>2</v>
      </c>
      <c r="D195" s="11" t="s">
        <v>3</v>
      </c>
      <c r="E195" s="12"/>
      <c r="F195" s="11"/>
      <c r="G195" s="11" t="s">
        <v>6</v>
      </c>
      <c r="H195" s="11"/>
      <c r="I195" s="11"/>
      <c r="J195" s="13" t="s">
        <v>400</v>
      </c>
      <c r="K195" s="13" t="s">
        <v>415</v>
      </c>
      <c r="L195" s="13" t="s">
        <v>458</v>
      </c>
      <c r="M195" s="13" t="s">
        <v>459</v>
      </c>
      <c r="N195" s="14" t="n">
        <f aca="false">OFFSET(tbl_LoC,194,19,1,1)</f>
        <v>0</v>
      </c>
      <c r="O195" s="15"/>
      <c r="P195" s="13"/>
      <c r="Q195" s="13" t="n">
        <v>9</v>
      </c>
      <c r="R195" s="13"/>
      <c r="S195" s="16"/>
      <c r="T195" s="12"/>
      <c r="U195" s="12"/>
      <c r="V195" s="14" t="e">
        <f aca="false">OFFSET(tbl_LoC,194,21,1,1)*OFFSET(tbl_LoC,194,20,1,1)</f>
        <v>#VALUE!</v>
      </c>
      <c r="W195" s="17" t="n">
        <v>103</v>
      </c>
      <c r="X195" s="14" t="e">
        <f aca="false">Y195/(1-0.15)/(1-0.6)</f>
        <v>#N/A</v>
      </c>
      <c r="Y195" s="18" t="e">
        <f aca="false">VLOOKUP(OFFSET(tbl_LoC,194,10,1,1),'[1]List of components'!$C$1:$F$1048576,3,FALSE())</f>
        <v>#N/A</v>
      </c>
      <c r="Z195" s="19" t="n">
        <f aca="false">OFFSET(tbl_LoC,194,22,1,1)*OFFSET(tbl_LoC,194,20,1,1)</f>
        <v>0</v>
      </c>
      <c r="AA195" s="13" t="e">
        <f aca="false">VLOOKUP(OFFSET(tbl_LoC,194,10,1,1),'[1]List of components'!$C$1:$F$1048576,2,FALSE())</f>
        <v>#N/A</v>
      </c>
      <c r="AB195" s="13"/>
      <c r="AC195" s="13"/>
    </row>
    <row r="196" customFormat="false" ht="15" hidden="false" customHeight="false" outlineLevel="0" collapsed="false">
      <c r="A196" s="11" t="s">
        <v>0</v>
      </c>
      <c r="B196" s="11" t="s">
        <v>1</v>
      </c>
      <c r="C196" s="11" t="s">
        <v>2</v>
      </c>
      <c r="D196" s="11" t="s">
        <v>3</v>
      </c>
      <c r="E196" s="12"/>
      <c r="F196" s="11"/>
      <c r="G196" s="11" t="s">
        <v>6</v>
      </c>
      <c r="H196" s="11"/>
      <c r="I196" s="11"/>
      <c r="J196" s="13" t="s">
        <v>400</v>
      </c>
      <c r="K196" s="13" t="s">
        <v>415</v>
      </c>
      <c r="L196" s="13" t="s">
        <v>460</v>
      </c>
      <c r="M196" s="13" t="s">
        <v>461</v>
      </c>
      <c r="N196" s="14" t="n">
        <f aca="false">OFFSET(tbl_LoC,195,19,1,1)</f>
        <v>0</v>
      </c>
      <c r="O196" s="15"/>
      <c r="P196" s="13"/>
      <c r="Q196" s="13" t="n">
        <v>9</v>
      </c>
      <c r="R196" s="13"/>
      <c r="S196" s="16"/>
      <c r="T196" s="12"/>
      <c r="U196" s="12"/>
      <c r="V196" s="14" t="e">
        <f aca="false">OFFSET(tbl_LoC,195,21,1,1)*OFFSET(tbl_LoC,195,20,1,1)</f>
        <v>#VALUE!</v>
      </c>
      <c r="W196" s="17" t="n">
        <v>103</v>
      </c>
      <c r="X196" s="14" t="e">
        <f aca="false">Y196/(1-0.15)/(1-0.6)</f>
        <v>#N/A</v>
      </c>
      <c r="Y196" s="18" t="e">
        <f aca="false">VLOOKUP(OFFSET(tbl_LoC,195,10,1,1),'[1]List of components'!$C$1:$F$1048576,3,FALSE())</f>
        <v>#N/A</v>
      </c>
      <c r="Z196" s="19" t="n">
        <f aca="false">OFFSET(tbl_LoC,195,22,1,1)*OFFSET(tbl_LoC,195,20,1,1)</f>
        <v>0</v>
      </c>
      <c r="AA196" s="13" t="e">
        <f aca="false">VLOOKUP(OFFSET(tbl_LoC,195,10,1,1),'[1]List of components'!$C$1:$F$1048576,2,FALSE())</f>
        <v>#N/A</v>
      </c>
      <c r="AB196" s="13"/>
      <c r="AC196" s="13"/>
    </row>
    <row r="197" customFormat="false" ht="15" hidden="false" customHeight="false" outlineLevel="0" collapsed="false">
      <c r="A197" s="11" t="s">
        <v>0</v>
      </c>
      <c r="B197" s="11" t="s">
        <v>1</v>
      </c>
      <c r="C197" s="11" t="s">
        <v>2</v>
      </c>
      <c r="D197" s="11" t="s">
        <v>3</v>
      </c>
      <c r="E197" s="11"/>
      <c r="F197" s="11"/>
      <c r="G197" s="11" t="s">
        <v>6</v>
      </c>
      <c r="H197" s="11"/>
      <c r="I197" s="11"/>
      <c r="J197" s="13" t="s">
        <v>400</v>
      </c>
      <c r="K197" s="13" t="s">
        <v>462</v>
      </c>
      <c r="L197" s="13" t="s">
        <v>463</v>
      </c>
      <c r="M197" s="13" t="s">
        <v>464</v>
      </c>
      <c r="N197" s="14" t="n">
        <f aca="false">OFFSET(tbl_LoC,196,19,1,1)</f>
        <v>0</v>
      </c>
      <c r="O197" s="15"/>
      <c r="P197" s="13"/>
      <c r="Q197" s="13" t="n">
        <v>13</v>
      </c>
      <c r="R197" s="13"/>
      <c r="S197" s="16"/>
      <c r="T197" s="11"/>
      <c r="U197" s="11"/>
      <c r="V197" s="14" t="e">
        <f aca="false">OFFSET(tbl_LoC,196,21,1,1)*OFFSET(tbl_LoC,196,20,1,1)</f>
        <v>#VALUE!</v>
      </c>
      <c r="W197" s="17" t="n">
        <v>103</v>
      </c>
      <c r="X197" s="14" t="e">
        <f aca="false">Y197/(1-0.15)/(1-0.6)</f>
        <v>#N/A</v>
      </c>
      <c r="Y197" s="18" t="e">
        <f aca="false">VLOOKUP(OFFSET(tbl_LoC,196,10,1,1),'[1]List of components'!$C$1:$F$1048576,3,FALSE())</f>
        <v>#N/A</v>
      </c>
      <c r="Z197" s="19" t="n">
        <f aca="false">OFFSET(tbl_LoC,196,22,1,1)*OFFSET(tbl_LoC,196,20,1,1)</f>
        <v>0</v>
      </c>
      <c r="AA197" s="13" t="e">
        <f aca="false">VLOOKUP(OFFSET(tbl_LoC,196,10,1,1),'[1]List of components'!$C$1:$F$1048576,2,FALSE())</f>
        <v>#N/A</v>
      </c>
      <c r="AB197" s="13"/>
      <c r="AC197" s="13"/>
    </row>
    <row r="198" customFormat="false" ht="15" hidden="false" customHeight="false" outlineLevel="0" collapsed="false">
      <c r="A198" s="11" t="s">
        <v>0</v>
      </c>
      <c r="B198" s="11" t="s">
        <v>1</v>
      </c>
      <c r="C198" s="11" t="s">
        <v>2</v>
      </c>
      <c r="D198" s="11" t="s">
        <v>3</v>
      </c>
      <c r="E198" s="11"/>
      <c r="F198" s="11"/>
      <c r="G198" s="11" t="s">
        <v>6</v>
      </c>
      <c r="H198" s="11"/>
      <c r="I198" s="11"/>
      <c r="J198" s="13" t="s">
        <v>400</v>
      </c>
      <c r="K198" s="13" t="s">
        <v>462</v>
      </c>
      <c r="L198" s="13" t="s">
        <v>465</v>
      </c>
      <c r="M198" s="13" t="s">
        <v>466</v>
      </c>
      <c r="N198" s="14" t="n">
        <f aca="false">OFFSET(tbl_LoC,197,19,1,1)</f>
        <v>0</v>
      </c>
      <c r="O198" s="15"/>
      <c r="P198" s="13"/>
      <c r="Q198" s="13" t="n">
        <v>13</v>
      </c>
      <c r="R198" s="13"/>
      <c r="S198" s="16"/>
      <c r="T198" s="11"/>
      <c r="U198" s="11"/>
      <c r="V198" s="14" t="e">
        <f aca="false">OFFSET(tbl_LoC,197,21,1,1)*OFFSET(tbl_LoC,197,20,1,1)</f>
        <v>#VALUE!</v>
      </c>
      <c r="W198" s="17" t="n">
        <v>103</v>
      </c>
      <c r="X198" s="14" t="n">
        <f aca="false">Y198/(1-0.15)/(1-0.6)</f>
        <v>882.352941176471</v>
      </c>
      <c r="Y198" s="18" t="n">
        <v>300</v>
      </c>
      <c r="Z198" s="19" t="n">
        <f aca="false">OFFSET(tbl_LoC,197,22,1,1)*OFFSET(tbl_LoC,197,20,1,1)</f>
        <v>0</v>
      </c>
      <c r="AA198" s="13" t="e">
        <f aca="false">VLOOKUP(OFFSET(tbl_LoC,197,10,1,1),'[1]List of components'!$C$1:$F$1048576,2,FALSE())</f>
        <v>#N/A</v>
      </c>
      <c r="AB198" s="13"/>
      <c r="AC198" s="13"/>
    </row>
    <row r="199" customFormat="false" ht="15" hidden="false" customHeight="false" outlineLevel="0" collapsed="false">
      <c r="A199" s="11" t="s">
        <v>0</v>
      </c>
      <c r="B199" s="11" t="s">
        <v>1</v>
      </c>
      <c r="C199" s="11" t="s">
        <v>2</v>
      </c>
      <c r="D199" s="11" t="s">
        <v>3</v>
      </c>
      <c r="E199" s="11"/>
      <c r="F199" s="11"/>
      <c r="G199" s="11" t="s">
        <v>6</v>
      </c>
      <c r="H199" s="11"/>
      <c r="I199" s="11"/>
      <c r="J199" s="13" t="s">
        <v>400</v>
      </c>
      <c r="K199" s="13" t="s">
        <v>462</v>
      </c>
      <c r="L199" s="24" t="s">
        <v>467</v>
      </c>
      <c r="M199" s="24" t="s">
        <v>468</v>
      </c>
      <c r="N199" s="14" t="n">
        <f aca="false">OFFSET(tbl_LoC,198,19,1,1)</f>
        <v>0</v>
      </c>
      <c r="O199" s="15"/>
      <c r="P199" s="13"/>
      <c r="Q199" s="13" t="n">
        <v>15</v>
      </c>
      <c r="R199" s="13"/>
      <c r="S199" s="16"/>
      <c r="T199" s="11"/>
      <c r="U199" s="11"/>
      <c r="V199" s="14" t="e">
        <f aca="false">OFFSET(tbl_LoC,198,21,1,1)*OFFSET(tbl_LoC,198,20,1,1)</f>
        <v>#VALUE!</v>
      </c>
      <c r="W199" s="17" t="n">
        <v>103</v>
      </c>
      <c r="X199" s="14" t="n">
        <f aca="false">Y199/(1-0.15)/(1-0.6)</f>
        <v>647.058823529412</v>
      </c>
      <c r="Y199" s="18" t="n">
        <v>220</v>
      </c>
      <c r="Z199" s="19" t="n">
        <f aca="false">OFFSET(tbl_LoC,198,22,1,1)*OFFSET(tbl_LoC,198,20,1,1)</f>
        <v>0</v>
      </c>
      <c r="AA199" s="13" t="e">
        <f aca="false">VLOOKUP(OFFSET(tbl_LoC,198,10,1,1),'[1]List of components'!$C$1:$F$1048576,2,FALSE())</f>
        <v>#N/A</v>
      </c>
      <c r="AB199" s="13"/>
      <c r="AC199" s="13"/>
    </row>
    <row r="200" customFormat="false" ht="15" hidden="false" customHeight="false" outlineLevel="0" collapsed="false">
      <c r="A200" s="11" t="s">
        <v>0</v>
      </c>
      <c r="B200" s="11"/>
      <c r="C200" s="11"/>
      <c r="D200" s="11"/>
      <c r="E200" s="11"/>
      <c r="F200" s="11"/>
      <c r="G200" s="11"/>
      <c r="H200" s="11"/>
      <c r="I200" s="11"/>
      <c r="J200" s="13" t="s">
        <v>400</v>
      </c>
      <c r="K200" s="13" t="s">
        <v>462</v>
      </c>
      <c r="L200" s="13" t="s">
        <v>469</v>
      </c>
      <c r="M200" s="13" t="s">
        <v>470</v>
      </c>
      <c r="N200" s="14" t="n">
        <f aca="false">OFFSET(tbl_LoC,199,19,1,1)</f>
        <v>0</v>
      </c>
      <c r="O200" s="15"/>
      <c r="P200" s="13"/>
      <c r="Q200" s="13" t="n">
        <v>15</v>
      </c>
      <c r="R200" s="13"/>
      <c r="S200" s="16" t="n">
        <v>1</v>
      </c>
      <c r="T200" s="11"/>
      <c r="U200" s="11"/>
      <c r="V200" s="14" t="e">
        <f aca="false">OFFSET(tbl_LoC,199,21,1,1)*OFFSET(tbl_LoC,199,20,1,1)</f>
        <v>#VALUE!</v>
      </c>
      <c r="W200" s="17" t="n">
        <v>103</v>
      </c>
      <c r="X200" s="14" t="e">
        <f aca="false">Y200/(1-0.15)/(1-0.6)</f>
        <v>#N/A</v>
      </c>
      <c r="Y200" s="18" t="e">
        <f aca="false">VLOOKUP(OFFSET(tbl_LoC,199,10,1,1),'[1]List of components'!$C$1:$F$1048576,3,FALSE())</f>
        <v>#N/A</v>
      </c>
      <c r="Z200" s="19" t="n">
        <f aca="false">OFFSET(tbl_LoC,199,22,1,1)*OFFSET(tbl_LoC,199,20,1,1)</f>
        <v>0</v>
      </c>
      <c r="AA200" s="13" t="e">
        <f aca="false">VLOOKUP(OFFSET(tbl_LoC,199,10,1,1),'[1]List of components'!$C$1:$F$1048576,2,FALSE())</f>
        <v>#N/A</v>
      </c>
      <c r="AB200" s="13"/>
      <c r="AC200" s="13"/>
    </row>
    <row r="201" customFormat="false" ht="15" hidden="false" customHeight="false" outlineLevel="0" collapsed="false">
      <c r="A201" s="11" t="s">
        <v>0</v>
      </c>
      <c r="B201" s="11" t="s">
        <v>1</v>
      </c>
      <c r="C201" s="11" t="s">
        <v>2</v>
      </c>
      <c r="D201" s="11" t="s">
        <v>3</v>
      </c>
      <c r="E201" s="11"/>
      <c r="F201" s="11"/>
      <c r="G201" s="11" t="s">
        <v>6</v>
      </c>
      <c r="H201" s="11"/>
      <c r="I201" s="11"/>
      <c r="J201" s="13" t="s">
        <v>400</v>
      </c>
      <c r="K201" s="13" t="s">
        <v>462</v>
      </c>
      <c r="L201" s="13" t="s">
        <v>471</v>
      </c>
      <c r="M201" s="13" t="s">
        <v>472</v>
      </c>
      <c r="N201" s="14" t="n">
        <f aca="false">OFFSET(tbl_LoC,200,19,1,1)</f>
        <v>0</v>
      </c>
      <c r="O201" s="15"/>
      <c r="P201" s="13"/>
      <c r="Q201" s="13" t="n">
        <v>12</v>
      </c>
      <c r="R201" s="13"/>
      <c r="S201" s="16"/>
      <c r="T201" s="11"/>
      <c r="U201" s="11"/>
      <c r="V201" s="14" t="e">
        <f aca="false">OFFSET(tbl_LoC,200,21,1,1)*OFFSET(tbl_LoC,200,20,1,1)</f>
        <v>#VALUE!</v>
      </c>
      <c r="W201" s="17" t="n">
        <v>103</v>
      </c>
      <c r="X201" s="14" t="e">
        <f aca="false">Y201/(1-0.15)/(1-0.6)</f>
        <v>#N/A</v>
      </c>
      <c r="Y201" s="18" t="e">
        <f aca="false">VLOOKUP(OFFSET(tbl_LoC,200,10,1,1),'[1]List of components'!$C$1:$F$1048576,3,FALSE())</f>
        <v>#N/A</v>
      </c>
      <c r="Z201" s="19" t="n">
        <f aca="false">OFFSET(tbl_LoC,200,22,1,1)*OFFSET(tbl_LoC,200,20,1,1)</f>
        <v>0</v>
      </c>
      <c r="AA201" s="13" t="e">
        <f aca="false">VLOOKUP(OFFSET(tbl_LoC,200,10,1,1),'[1]List of components'!$C$1:$F$1048576,2,FALSE())</f>
        <v>#N/A</v>
      </c>
      <c r="AB201" s="13"/>
      <c r="AC201" s="13"/>
    </row>
    <row r="202" customFormat="false" ht="15" hidden="false" customHeight="false" outlineLevel="0" collapsed="false">
      <c r="A202" s="11" t="s">
        <v>0</v>
      </c>
      <c r="B202" s="11" t="s">
        <v>1</v>
      </c>
      <c r="C202" s="11" t="s">
        <v>2</v>
      </c>
      <c r="D202" s="11" t="s">
        <v>3</v>
      </c>
      <c r="E202" s="11"/>
      <c r="F202" s="11"/>
      <c r="G202" s="11" t="s">
        <v>6</v>
      </c>
      <c r="H202" s="11"/>
      <c r="I202" s="11"/>
      <c r="J202" s="13" t="s">
        <v>400</v>
      </c>
      <c r="K202" s="13" t="s">
        <v>462</v>
      </c>
      <c r="L202" s="13" t="s">
        <v>473</v>
      </c>
      <c r="M202" s="13" t="s">
        <v>474</v>
      </c>
      <c r="N202" s="14" t="n">
        <f aca="false">OFFSET(tbl_LoC,201,19,1,1)</f>
        <v>0</v>
      </c>
      <c r="O202" s="15"/>
      <c r="P202" s="13"/>
      <c r="Q202" s="13" t="n">
        <v>10</v>
      </c>
      <c r="R202" s="13"/>
      <c r="S202" s="16"/>
      <c r="T202" s="11"/>
      <c r="U202" s="11"/>
      <c r="V202" s="14" t="e">
        <f aca="false">OFFSET(tbl_LoC,201,21,1,1)*OFFSET(tbl_LoC,201,20,1,1)</f>
        <v>#VALUE!</v>
      </c>
      <c r="W202" s="17" t="n">
        <v>103</v>
      </c>
      <c r="X202" s="14" t="e">
        <f aca="false">Y202/(1-0.15)/(1-0.6)</f>
        <v>#N/A</v>
      </c>
      <c r="Y202" s="18" t="e">
        <f aca="false">VLOOKUP(OFFSET(tbl_LoC,201,10,1,1),'[1]List of components'!$C$1:$F$1048576,3,FALSE())</f>
        <v>#N/A</v>
      </c>
      <c r="Z202" s="19" t="n">
        <f aca="false">OFFSET(tbl_LoC,201,22,1,1)*OFFSET(tbl_LoC,201,20,1,1)</f>
        <v>0</v>
      </c>
      <c r="AA202" s="13" t="e">
        <f aca="false">VLOOKUP(OFFSET(tbl_LoC,201,10,1,1),'[1]List of components'!$C$1:$F$1048576,2,FALSE())</f>
        <v>#N/A</v>
      </c>
      <c r="AB202" s="13"/>
      <c r="AC202" s="13"/>
    </row>
    <row r="203" customFormat="false" ht="15" hidden="false" customHeight="false" outlineLevel="0" collapsed="false">
      <c r="A203" s="11" t="s">
        <v>0</v>
      </c>
      <c r="B203" s="11" t="s">
        <v>1</v>
      </c>
      <c r="C203" s="11" t="s">
        <v>2</v>
      </c>
      <c r="D203" s="11" t="s">
        <v>3</v>
      </c>
      <c r="E203" s="11"/>
      <c r="F203" s="11"/>
      <c r="G203" s="11" t="s">
        <v>6</v>
      </c>
      <c r="H203" s="11"/>
      <c r="I203" s="11"/>
      <c r="J203" s="13" t="s">
        <v>400</v>
      </c>
      <c r="K203" s="13" t="s">
        <v>462</v>
      </c>
      <c r="L203" s="13" t="s">
        <v>475</v>
      </c>
      <c r="M203" s="13" t="s">
        <v>476</v>
      </c>
      <c r="N203" s="14" t="n">
        <f aca="false">OFFSET(tbl_LoC,202,19,1,1)</f>
        <v>0</v>
      </c>
      <c r="O203" s="15"/>
      <c r="P203" s="13"/>
      <c r="Q203" s="13" t="n">
        <v>20</v>
      </c>
      <c r="R203" s="13"/>
      <c r="S203" s="16"/>
      <c r="T203" s="11"/>
      <c r="U203" s="11"/>
      <c r="V203" s="14" t="e">
        <f aca="false">OFFSET(tbl_LoC,202,21,1,1)*OFFSET(tbl_LoC,202,20,1,1)</f>
        <v>#VALUE!</v>
      </c>
      <c r="W203" s="17" t="n">
        <v>103</v>
      </c>
      <c r="X203" s="14" t="e">
        <f aca="false">Y203/(1-0.15)/(1-0.6)</f>
        <v>#N/A</v>
      </c>
      <c r="Y203" s="18" t="e">
        <f aca="false">VLOOKUP(OFFSET(tbl_LoC,202,10,1,1),'[1]List of components'!$C$1:$F$1048576,3,FALSE())</f>
        <v>#N/A</v>
      </c>
      <c r="Z203" s="19" t="n">
        <f aca="false">OFFSET(tbl_LoC,202,22,1,1)*OFFSET(tbl_LoC,202,20,1,1)</f>
        <v>0</v>
      </c>
      <c r="AA203" s="13" t="e">
        <f aca="false">VLOOKUP(OFFSET(tbl_LoC,202,10,1,1),'[1]List of components'!$C$1:$F$1048576,2,FALSE())</f>
        <v>#N/A</v>
      </c>
      <c r="AB203" s="13"/>
      <c r="AC203" s="13"/>
    </row>
    <row r="204" customFormat="false" ht="15" hidden="false" customHeight="false" outlineLevel="0" collapsed="false">
      <c r="A204" s="11" t="s">
        <v>0</v>
      </c>
      <c r="B204" s="11" t="s">
        <v>1</v>
      </c>
      <c r="C204" s="11" t="s">
        <v>2</v>
      </c>
      <c r="D204" s="11" t="s">
        <v>3</v>
      </c>
      <c r="E204" s="11"/>
      <c r="F204" s="11"/>
      <c r="G204" s="11" t="s">
        <v>6</v>
      </c>
      <c r="H204" s="11"/>
      <c r="I204" s="11"/>
      <c r="J204" s="13" t="s">
        <v>400</v>
      </c>
      <c r="K204" s="13" t="s">
        <v>462</v>
      </c>
      <c r="L204" s="13" t="s">
        <v>477</v>
      </c>
      <c r="M204" s="13" t="s">
        <v>478</v>
      </c>
      <c r="N204" s="14" t="n">
        <f aca="false">OFFSET(tbl_LoC,203,19,1,1)</f>
        <v>0</v>
      </c>
      <c r="O204" s="15"/>
      <c r="P204" s="13"/>
      <c r="Q204" s="13" t="n">
        <v>20</v>
      </c>
      <c r="R204" s="13"/>
      <c r="S204" s="16"/>
      <c r="T204" s="11"/>
      <c r="U204" s="11"/>
      <c r="V204" s="14" t="e">
        <f aca="false">OFFSET(tbl_LoC,203,21,1,1)*OFFSET(tbl_LoC,203,20,1,1)</f>
        <v>#VALUE!</v>
      </c>
      <c r="W204" s="17" t="n">
        <v>103</v>
      </c>
      <c r="X204" s="14" t="n">
        <f aca="false">Y204/(1-0.15)/(1-0.6)</f>
        <v>1235.29411764706</v>
      </c>
      <c r="Y204" s="18" t="n">
        <v>420</v>
      </c>
      <c r="Z204" s="19" t="n">
        <f aca="false">OFFSET(tbl_LoC,203,22,1,1)*OFFSET(tbl_LoC,203,20,1,1)</f>
        <v>0</v>
      </c>
      <c r="AA204" s="13" t="e">
        <f aca="false">VLOOKUP(OFFSET(tbl_LoC,203,10,1,1),'[1]List of components'!$C$1:$F$1048576,2,FALSE())</f>
        <v>#N/A</v>
      </c>
      <c r="AB204" s="13"/>
      <c r="AC204" s="13"/>
    </row>
    <row r="205" customFormat="false" ht="15" hidden="false" customHeight="false" outlineLevel="0" collapsed="false">
      <c r="A205" s="11" t="s">
        <v>0</v>
      </c>
      <c r="B205" s="11" t="s">
        <v>1</v>
      </c>
      <c r="C205" s="11" t="s">
        <v>2</v>
      </c>
      <c r="D205" s="11" t="s">
        <v>3</v>
      </c>
      <c r="E205" s="11"/>
      <c r="F205" s="11"/>
      <c r="G205" s="11" t="s">
        <v>6</v>
      </c>
      <c r="H205" s="11"/>
      <c r="I205" s="11"/>
      <c r="J205" s="13" t="s">
        <v>400</v>
      </c>
      <c r="K205" s="13" t="s">
        <v>462</v>
      </c>
      <c r="L205" s="13" t="s">
        <v>479</v>
      </c>
      <c r="M205" s="13" t="s">
        <v>480</v>
      </c>
      <c r="N205" s="14" t="n">
        <f aca="false">OFFSET(tbl_LoC,204,19,1,1)</f>
        <v>0</v>
      </c>
      <c r="O205" s="15"/>
      <c r="P205" s="13"/>
      <c r="Q205" s="13" t="n">
        <v>20</v>
      </c>
      <c r="R205" s="13"/>
      <c r="S205" s="16"/>
      <c r="T205" s="11"/>
      <c r="U205" s="11"/>
      <c r="V205" s="14" t="e">
        <f aca="false">OFFSET(tbl_LoC,204,21,1,1)*OFFSET(tbl_LoC,204,20,1,1)</f>
        <v>#VALUE!</v>
      </c>
      <c r="W205" s="17" t="n">
        <v>103</v>
      </c>
      <c r="X205" s="14" t="n">
        <f aca="false">Y205/(1-0.15)/(1-0.6)</f>
        <v>588.235294117647</v>
      </c>
      <c r="Y205" s="18" t="n">
        <v>200</v>
      </c>
      <c r="Z205" s="19" t="n">
        <f aca="false">OFFSET(tbl_LoC,204,22,1,1)*OFFSET(tbl_LoC,204,20,1,1)</f>
        <v>0</v>
      </c>
      <c r="AA205" s="13" t="n">
        <v>90</v>
      </c>
      <c r="AB205" s="13"/>
      <c r="AC205" s="13"/>
    </row>
    <row r="206" customFormat="false" ht="15" hidden="false" customHeight="false" outlineLevel="0" collapsed="false">
      <c r="A206" s="11" t="s">
        <v>0</v>
      </c>
      <c r="B206" s="11" t="s">
        <v>1</v>
      </c>
      <c r="C206" s="11" t="s">
        <v>2</v>
      </c>
      <c r="D206" s="11" t="s">
        <v>3</v>
      </c>
      <c r="E206" s="11"/>
      <c r="F206" s="11"/>
      <c r="G206" s="11" t="s">
        <v>6</v>
      </c>
      <c r="H206" s="11"/>
      <c r="I206" s="11"/>
      <c r="J206" s="13" t="s">
        <v>400</v>
      </c>
      <c r="K206" s="13" t="s">
        <v>462</v>
      </c>
      <c r="L206" s="13" t="s">
        <v>481</v>
      </c>
      <c r="M206" s="13" t="s">
        <v>482</v>
      </c>
      <c r="N206" s="14" t="n">
        <f aca="false">OFFSET(tbl_LoC,205,19,1,1)</f>
        <v>0</v>
      </c>
      <c r="O206" s="15"/>
      <c r="P206" s="13"/>
      <c r="Q206" s="13" t="n">
        <v>23</v>
      </c>
      <c r="R206" s="13"/>
      <c r="S206" s="16"/>
      <c r="T206" s="11"/>
      <c r="U206" s="11"/>
      <c r="V206" s="14" t="e">
        <f aca="false">OFFSET(tbl_LoC,205,21,1,1)*OFFSET(tbl_LoC,205,20,1,1)</f>
        <v>#VALUE!</v>
      </c>
      <c r="W206" s="17" t="n">
        <v>103</v>
      </c>
      <c r="X206" s="14" t="e">
        <f aca="false">Y206/(1-0.15)/(1-0.6)</f>
        <v>#N/A</v>
      </c>
      <c r="Y206" s="18" t="e">
        <f aca="false">VLOOKUP(OFFSET(tbl_LoC,205,10,1,1),'[1]List of components'!$C$1:$F$1048576,3,FALSE())</f>
        <v>#N/A</v>
      </c>
      <c r="Z206" s="19" t="n">
        <f aca="false">OFFSET(tbl_LoC,205,22,1,1)*OFFSET(tbl_LoC,205,20,1,1)</f>
        <v>0</v>
      </c>
      <c r="AA206" s="13" t="e">
        <f aca="false">VLOOKUP(OFFSET(tbl_LoC,205,10,1,1),'[1]List of components'!$C$1:$F$1048576,2,FALSE())</f>
        <v>#N/A</v>
      </c>
      <c r="AB206" s="13"/>
      <c r="AC206" s="13"/>
    </row>
    <row r="207" customFormat="false" ht="15" hidden="false" customHeight="false" outlineLevel="0" collapsed="false">
      <c r="A207" s="11" t="s">
        <v>0</v>
      </c>
      <c r="B207" s="11" t="s">
        <v>1</v>
      </c>
      <c r="C207" s="11" t="s">
        <v>2</v>
      </c>
      <c r="D207" s="11" t="s">
        <v>3</v>
      </c>
      <c r="E207" s="11"/>
      <c r="F207" s="11"/>
      <c r="G207" s="11" t="s">
        <v>6</v>
      </c>
      <c r="H207" s="11"/>
      <c r="I207" s="11"/>
      <c r="J207" s="13" t="s">
        <v>400</v>
      </c>
      <c r="K207" s="13" t="s">
        <v>462</v>
      </c>
      <c r="L207" s="13" t="s">
        <v>483</v>
      </c>
      <c r="M207" s="13" t="s">
        <v>484</v>
      </c>
      <c r="N207" s="14" t="n">
        <f aca="false">OFFSET(tbl_LoC,206,19,1,1)</f>
        <v>0</v>
      </c>
      <c r="O207" s="15"/>
      <c r="P207" s="13"/>
      <c r="Q207" s="13" t="n">
        <v>20</v>
      </c>
      <c r="R207" s="13"/>
      <c r="S207" s="16"/>
      <c r="T207" s="11"/>
      <c r="U207" s="11"/>
      <c r="V207" s="14" t="e">
        <f aca="false">OFFSET(tbl_LoC,206,21,1,1)*OFFSET(tbl_LoC,206,20,1,1)</f>
        <v>#VALUE!</v>
      </c>
      <c r="W207" s="17" t="n">
        <v>103</v>
      </c>
      <c r="X207" s="14" t="n">
        <f aca="false">Y207/(1-0.15)/(1-0.6)</f>
        <v>1617.64705882353</v>
      </c>
      <c r="Y207" s="18" t="n">
        <v>550</v>
      </c>
      <c r="Z207" s="19" t="n">
        <f aca="false">OFFSET(tbl_LoC,206,22,1,1)*OFFSET(tbl_LoC,206,20,1,1)</f>
        <v>0</v>
      </c>
      <c r="AA207" s="13" t="n">
        <v>330</v>
      </c>
      <c r="AB207" s="13"/>
      <c r="AC207" s="13"/>
    </row>
    <row r="208" customFormat="false" ht="15" hidden="false" customHeight="false" outlineLevel="0" collapsed="false">
      <c r="A208" s="11" t="s">
        <v>0</v>
      </c>
      <c r="B208" s="11" t="s">
        <v>1</v>
      </c>
      <c r="C208" s="11" t="s">
        <v>2</v>
      </c>
      <c r="D208" s="11" t="s">
        <v>3</v>
      </c>
      <c r="E208" s="11"/>
      <c r="F208" s="11"/>
      <c r="G208" s="11" t="s">
        <v>6</v>
      </c>
      <c r="H208" s="11"/>
      <c r="I208" s="11"/>
      <c r="J208" s="13" t="s">
        <v>400</v>
      </c>
      <c r="K208" s="13" t="s">
        <v>462</v>
      </c>
      <c r="L208" s="13" t="s">
        <v>485</v>
      </c>
      <c r="M208" s="13" t="s">
        <v>486</v>
      </c>
      <c r="N208" s="14" t="n">
        <f aca="false">OFFSET(tbl_LoC,207,19,1,1)</f>
        <v>0</v>
      </c>
      <c r="O208" s="15"/>
      <c r="P208" s="13"/>
      <c r="Q208" s="13" t="n">
        <v>23</v>
      </c>
      <c r="R208" s="13"/>
      <c r="S208" s="16"/>
      <c r="T208" s="11"/>
      <c r="U208" s="11"/>
      <c r="V208" s="14" t="e">
        <f aca="false">OFFSET(tbl_LoC,207,21,1,1)*OFFSET(tbl_LoC,207,20,1,1)</f>
        <v>#VALUE!</v>
      </c>
      <c r="W208" s="17" t="n">
        <v>103</v>
      </c>
      <c r="X208" s="14" t="e">
        <f aca="false">Y208/(1-0.15)/(1-0.6)</f>
        <v>#N/A</v>
      </c>
      <c r="Y208" s="18" t="e">
        <f aca="false">VLOOKUP(OFFSET(tbl_LoC,207,10,1,1),'[1]List of components'!$C$1:$F$1048576,3,FALSE())</f>
        <v>#N/A</v>
      </c>
      <c r="Z208" s="19" t="n">
        <f aca="false">OFFSET(tbl_LoC,207,22,1,1)*OFFSET(tbl_LoC,207,20,1,1)</f>
        <v>0</v>
      </c>
      <c r="AA208" s="13" t="e">
        <f aca="false">VLOOKUP(OFFSET(tbl_LoC,207,10,1,1),'[1]List of components'!$C$1:$F$1048576,2,FALSE())</f>
        <v>#N/A</v>
      </c>
      <c r="AB208" s="13"/>
      <c r="AC208" s="13"/>
    </row>
    <row r="209" customFormat="false" ht="15" hidden="false" customHeight="false" outlineLevel="0" collapsed="false">
      <c r="A209" s="11" t="s">
        <v>0</v>
      </c>
      <c r="B209" s="11" t="s">
        <v>1</v>
      </c>
      <c r="C209" s="11" t="s">
        <v>2</v>
      </c>
      <c r="D209" s="11" t="s">
        <v>3</v>
      </c>
      <c r="E209" s="11"/>
      <c r="F209" s="11"/>
      <c r="G209" s="11" t="s">
        <v>6</v>
      </c>
      <c r="H209" s="11"/>
      <c r="I209" s="11"/>
      <c r="J209" s="13" t="s">
        <v>400</v>
      </c>
      <c r="K209" s="13" t="s">
        <v>462</v>
      </c>
      <c r="L209" s="13" t="s">
        <v>487</v>
      </c>
      <c r="M209" s="13" t="s">
        <v>488</v>
      </c>
      <c r="N209" s="14" t="n">
        <f aca="false">OFFSET(tbl_LoC,208,19,1,1)</f>
        <v>0</v>
      </c>
      <c r="O209" s="15"/>
      <c r="P209" s="13"/>
      <c r="Q209" s="13" t="n">
        <v>10</v>
      </c>
      <c r="R209" s="13"/>
      <c r="S209" s="16"/>
      <c r="T209" s="11"/>
      <c r="U209" s="11"/>
      <c r="V209" s="14" t="e">
        <f aca="false">OFFSET(tbl_LoC,208,21,1,1)*OFFSET(tbl_LoC,208,20,1,1)</f>
        <v>#VALUE!</v>
      </c>
      <c r="W209" s="17" t="n">
        <v>103</v>
      </c>
      <c r="X209" s="14" t="e">
        <f aca="false">Y209/(1-0.15)/(1-0.6)</f>
        <v>#N/A</v>
      </c>
      <c r="Y209" s="18" t="e">
        <f aca="false">VLOOKUP(OFFSET(tbl_LoC,208,10,1,1),'[1]List of components'!$C$1:$F$1048576,3,FALSE())</f>
        <v>#N/A</v>
      </c>
      <c r="Z209" s="19" t="n">
        <f aca="false">OFFSET(tbl_LoC,208,22,1,1)*OFFSET(tbl_LoC,208,20,1,1)</f>
        <v>0</v>
      </c>
      <c r="AA209" s="13" t="n">
        <v>550</v>
      </c>
      <c r="AB209" s="13"/>
      <c r="AC209" s="13"/>
    </row>
    <row r="210" customFormat="false" ht="15" hidden="false" customHeight="false" outlineLevel="0" collapsed="false">
      <c r="A210" s="11" t="s">
        <v>0</v>
      </c>
      <c r="B210" s="11" t="s">
        <v>1</v>
      </c>
      <c r="C210" s="11" t="s">
        <v>2</v>
      </c>
      <c r="D210" s="11" t="s">
        <v>3</v>
      </c>
      <c r="E210" s="11"/>
      <c r="F210" s="11"/>
      <c r="G210" s="11" t="s">
        <v>6</v>
      </c>
      <c r="H210" s="11"/>
      <c r="I210" s="11"/>
      <c r="J210" s="13" t="s">
        <v>400</v>
      </c>
      <c r="K210" s="13" t="s">
        <v>462</v>
      </c>
      <c r="L210" s="13" t="s">
        <v>489</v>
      </c>
      <c r="M210" s="13" t="s">
        <v>490</v>
      </c>
      <c r="N210" s="14" t="n">
        <f aca="false">OFFSET(tbl_LoC,209,19,1,1)</f>
        <v>0</v>
      </c>
      <c r="O210" s="15"/>
      <c r="P210" s="13"/>
      <c r="Q210" s="13" t="n">
        <v>0</v>
      </c>
      <c r="R210" s="13"/>
      <c r="S210" s="16"/>
      <c r="T210" s="11"/>
      <c r="U210" s="11"/>
      <c r="V210" s="14" t="e">
        <f aca="false">OFFSET(tbl_LoC,209,21,1,1)*OFFSET(tbl_LoC,209,20,1,1)</f>
        <v>#VALUE!</v>
      </c>
      <c r="W210" s="17" t="n">
        <v>103</v>
      </c>
      <c r="X210" s="14" t="n">
        <f aca="false">Y210/(1-0.15)/(1-0.6)</f>
        <v>441.176470588235</v>
      </c>
      <c r="Y210" s="18" t="n">
        <v>150</v>
      </c>
      <c r="Z210" s="19" t="n">
        <f aca="false">OFFSET(tbl_LoC,209,22,1,1)*OFFSET(tbl_LoC,209,20,1,1)</f>
        <v>0</v>
      </c>
      <c r="AA210" s="13" t="e">
        <f aca="false">VLOOKUP(OFFSET(tbl_LoC,209,10,1,1),'[1]List of components'!$C$1:$F$1048576,2,FALSE())</f>
        <v>#N/A</v>
      </c>
      <c r="AB210" s="13"/>
      <c r="AC210" s="13"/>
    </row>
    <row r="211" customFormat="false" ht="15" hidden="false" customHeight="false" outlineLevel="0" collapsed="false">
      <c r="A211" s="11" t="s">
        <v>0</v>
      </c>
      <c r="B211" s="11" t="s">
        <v>1</v>
      </c>
      <c r="C211" s="11" t="s">
        <v>2</v>
      </c>
      <c r="D211" s="11" t="s">
        <v>3</v>
      </c>
      <c r="E211" s="11"/>
      <c r="F211" s="11"/>
      <c r="G211" s="11" t="s">
        <v>6</v>
      </c>
      <c r="H211" s="11"/>
      <c r="I211" s="11"/>
      <c r="J211" s="13" t="s">
        <v>400</v>
      </c>
      <c r="K211" s="13" t="s">
        <v>462</v>
      </c>
      <c r="L211" s="13" t="s">
        <v>491</v>
      </c>
      <c r="M211" s="13" t="s">
        <v>492</v>
      </c>
      <c r="N211" s="14" t="n">
        <f aca="false">OFFSET(tbl_LoC,210,19,1,1)</f>
        <v>0</v>
      </c>
      <c r="O211" s="15"/>
      <c r="P211" s="13"/>
      <c r="Q211" s="13" t="n">
        <v>0</v>
      </c>
      <c r="R211" s="13"/>
      <c r="S211" s="16"/>
      <c r="T211" s="11"/>
      <c r="U211" s="11"/>
      <c r="V211" s="14" t="e">
        <f aca="false">OFFSET(tbl_LoC,210,21,1,1)*OFFSET(tbl_LoC,210,20,1,1)</f>
        <v>#VALUE!</v>
      </c>
      <c r="W211" s="17" t="n">
        <v>103</v>
      </c>
      <c r="X211" s="14" t="n">
        <f aca="false">Y211/(1-0.15)/(1-0.6)</f>
        <v>294.117647058824</v>
      </c>
      <c r="Y211" s="18" t="n">
        <v>100</v>
      </c>
      <c r="Z211" s="19" t="n">
        <f aca="false">OFFSET(tbl_LoC,210,22,1,1)*OFFSET(tbl_LoC,210,20,1,1)</f>
        <v>0</v>
      </c>
      <c r="AA211" s="13" t="n">
        <v>50</v>
      </c>
      <c r="AB211" s="13"/>
      <c r="AC211" s="13"/>
    </row>
    <row r="212" customFormat="false" ht="15" hidden="false" customHeight="false" outlineLevel="0" collapsed="false">
      <c r="A212" s="11" t="s">
        <v>0</v>
      </c>
      <c r="B212" s="11" t="s">
        <v>1</v>
      </c>
      <c r="C212" s="11" t="s">
        <v>2</v>
      </c>
      <c r="D212" s="11" t="s">
        <v>3</v>
      </c>
      <c r="E212" s="11"/>
      <c r="F212" s="11"/>
      <c r="G212" s="11" t="s">
        <v>6</v>
      </c>
      <c r="H212" s="11"/>
      <c r="I212" s="11"/>
      <c r="J212" s="13" t="s">
        <v>400</v>
      </c>
      <c r="K212" s="13" t="s">
        <v>462</v>
      </c>
      <c r="L212" s="13" t="s">
        <v>493</v>
      </c>
      <c r="M212" s="13" t="s">
        <v>494</v>
      </c>
      <c r="N212" s="14" t="n">
        <f aca="false">OFFSET(tbl_LoC,211,19,1,1)</f>
        <v>0</v>
      </c>
      <c r="O212" s="15"/>
      <c r="P212" s="13"/>
      <c r="Q212" s="13" t="n">
        <v>10</v>
      </c>
      <c r="R212" s="13"/>
      <c r="S212" s="16"/>
      <c r="T212" s="11"/>
      <c r="U212" s="11"/>
      <c r="V212" s="14" t="e">
        <f aca="false">OFFSET(tbl_LoC,211,21,1,1)*OFFSET(tbl_LoC,211,20,1,1)</f>
        <v>#VALUE!</v>
      </c>
      <c r="W212" s="17" t="n">
        <v>103</v>
      </c>
      <c r="X212" s="14" t="n">
        <f aca="false">Y212/(1-0.15)/(1-0.6)</f>
        <v>2941.17647058824</v>
      </c>
      <c r="Y212" s="18" t="n">
        <v>1000</v>
      </c>
      <c r="Z212" s="19" t="n">
        <f aca="false">OFFSET(tbl_LoC,211,22,1,1)*OFFSET(tbl_LoC,211,20,1,1)</f>
        <v>0</v>
      </c>
      <c r="AA212" s="13" t="e">
        <f aca="false">VLOOKUP(OFFSET(tbl_LoC,211,10,1,1),'[1]List of components'!$C$1:$F$1048576,2,FALSE())</f>
        <v>#N/A</v>
      </c>
      <c r="AB212" s="13"/>
      <c r="AC212" s="13"/>
    </row>
    <row r="213" customFormat="false" ht="15" hidden="false" customHeight="false" outlineLevel="0" collapsed="false">
      <c r="A213" s="11"/>
      <c r="B213" s="11" t="s">
        <v>1</v>
      </c>
      <c r="C213" s="11" t="s">
        <v>2</v>
      </c>
      <c r="D213" s="11"/>
      <c r="E213" s="11"/>
      <c r="F213" s="11"/>
      <c r="G213" s="11" t="s">
        <v>6</v>
      </c>
      <c r="H213" s="11"/>
      <c r="I213" s="11"/>
      <c r="J213" s="13" t="s">
        <v>400</v>
      </c>
      <c r="K213" s="13" t="s">
        <v>462</v>
      </c>
      <c r="L213" s="13" t="s">
        <v>495</v>
      </c>
      <c r="M213" s="13" t="s">
        <v>496</v>
      </c>
      <c r="N213" s="14" t="n">
        <f aca="false">OFFSET(tbl_LoC,212,19,1,1)</f>
        <v>0</v>
      </c>
      <c r="O213" s="15"/>
      <c r="P213" s="13"/>
      <c r="Q213" s="13" t="n">
        <v>1</v>
      </c>
      <c r="R213" s="13"/>
      <c r="S213" s="16"/>
      <c r="T213" s="11"/>
      <c r="U213" s="11"/>
      <c r="V213" s="14" t="e">
        <f aca="false">OFFSET(tbl_LoC,212,21,1,1)*OFFSET(tbl_LoC,212,20,1,1)</f>
        <v>#VALUE!</v>
      </c>
      <c r="W213" s="17" t="n">
        <v>103</v>
      </c>
      <c r="X213" s="14" t="n">
        <f aca="false">Y213/(1-0.15)/(1-0.6)</f>
        <v>588.235294117647</v>
      </c>
      <c r="Y213" s="18" t="n">
        <v>200</v>
      </c>
      <c r="Z213" s="19" t="n">
        <f aca="false">OFFSET(tbl_LoC,212,22,1,1)*OFFSET(tbl_LoC,212,20,1,1)</f>
        <v>0</v>
      </c>
      <c r="AA213" s="13" t="e">
        <f aca="false">VLOOKUP(OFFSET(tbl_LoC,212,10,1,1),'[1]List of components'!$C$1:$F$1048576,2,FALSE())</f>
        <v>#N/A</v>
      </c>
      <c r="AB213" s="13"/>
      <c r="AC213" s="13"/>
    </row>
    <row r="214" customFormat="false" ht="15" hidden="false" customHeight="false" outlineLevel="0" collapsed="false">
      <c r="A214" s="11" t="s">
        <v>0</v>
      </c>
      <c r="B214" s="11" t="s">
        <v>1</v>
      </c>
      <c r="C214" s="11" t="s">
        <v>2</v>
      </c>
      <c r="D214" s="11" t="s">
        <v>3</v>
      </c>
      <c r="E214" s="11"/>
      <c r="F214" s="11"/>
      <c r="G214" s="11" t="s">
        <v>6</v>
      </c>
      <c r="H214" s="11"/>
      <c r="I214" s="11"/>
      <c r="J214" s="13" t="s">
        <v>400</v>
      </c>
      <c r="K214" s="13" t="s">
        <v>462</v>
      </c>
      <c r="L214" s="13" t="s">
        <v>497</v>
      </c>
      <c r="M214" s="13" t="s">
        <v>498</v>
      </c>
      <c r="N214" s="14" t="n">
        <f aca="false">OFFSET(tbl_LoC,213,19,1,1)</f>
        <v>0</v>
      </c>
      <c r="O214" s="15"/>
      <c r="P214" s="13"/>
      <c r="Q214" s="13" t="n">
        <v>20</v>
      </c>
      <c r="R214" s="13"/>
      <c r="S214" s="16"/>
      <c r="T214" s="11"/>
      <c r="U214" s="11"/>
      <c r="V214" s="14" t="e">
        <f aca="false">OFFSET(tbl_LoC,213,21,1,1)*OFFSET(tbl_LoC,213,20,1,1)</f>
        <v>#VALUE!</v>
      </c>
      <c r="W214" s="17" t="n">
        <v>103</v>
      </c>
      <c r="X214" s="14" t="e">
        <f aca="false">Y214/(1-0.15)/(1-0.6)</f>
        <v>#N/A</v>
      </c>
      <c r="Y214" s="18" t="e">
        <f aca="false">VLOOKUP(OFFSET(tbl_LoC,213,10,1,1),'[1]List of components'!$C$1:$F$1048576,3,FALSE())</f>
        <v>#N/A</v>
      </c>
      <c r="Z214" s="19" t="n">
        <f aca="false">OFFSET(tbl_LoC,213,22,1,1)*OFFSET(tbl_LoC,213,20,1,1)</f>
        <v>0</v>
      </c>
      <c r="AA214" s="13" t="e">
        <f aca="false">VLOOKUP(OFFSET(tbl_LoC,213,10,1,1),'[1]List of components'!$C$1:$F$1048576,2,FALSE())</f>
        <v>#N/A</v>
      </c>
      <c r="AB214" s="13"/>
      <c r="AC214" s="13"/>
    </row>
    <row r="215" customFormat="false" ht="15" hidden="false" customHeight="false" outlineLevel="0" collapsed="false">
      <c r="A215" s="11" t="s">
        <v>0</v>
      </c>
      <c r="B215" s="11" t="s">
        <v>1</v>
      </c>
      <c r="C215" s="11" t="s">
        <v>2</v>
      </c>
      <c r="D215" s="11" t="s">
        <v>3</v>
      </c>
      <c r="E215" s="11"/>
      <c r="F215" s="11"/>
      <c r="G215" s="11" t="s">
        <v>6</v>
      </c>
      <c r="H215" s="11"/>
      <c r="I215" s="11"/>
      <c r="J215" s="13" t="s">
        <v>400</v>
      </c>
      <c r="K215" s="13" t="s">
        <v>499</v>
      </c>
      <c r="L215" s="13" t="s">
        <v>500</v>
      </c>
      <c r="M215" s="13" t="s">
        <v>501</v>
      </c>
      <c r="N215" s="14" t="n">
        <f aca="false">OFFSET(tbl_LoC,214,19,1,1)</f>
        <v>0</v>
      </c>
      <c r="O215" s="15"/>
      <c r="P215" s="13"/>
      <c r="Q215" s="13" t="n">
        <v>10</v>
      </c>
      <c r="R215" s="13"/>
      <c r="S215" s="16"/>
      <c r="T215" s="11"/>
      <c r="U215" s="11" t="n">
        <v>2</v>
      </c>
      <c r="V215" s="14" t="e">
        <f aca="false">OFFSET(tbl_LoC,214,21,1,1)*OFFSET(tbl_LoC,214,20,1,1)</f>
        <v>#VALUE!</v>
      </c>
      <c r="W215" s="17" t="n">
        <v>103</v>
      </c>
      <c r="X215" s="14" t="n">
        <f aca="false">Y215/(1-0.15)/(1-0.6)</f>
        <v>205.882352941176</v>
      </c>
      <c r="Y215" s="18" t="n">
        <v>70</v>
      </c>
      <c r="Z215" s="19" t="n">
        <f aca="false">OFFSET(tbl_LoC,214,22,1,1)*OFFSET(tbl_LoC,214,20,1,1)</f>
        <v>206</v>
      </c>
      <c r="AA215" s="13" t="e">
        <f aca="false">VLOOKUP(OFFSET(tbl_LoC,214,10,1,1),'[1]List of components'!$C$1:$F$1048576,2,FALSE())</f>
        <v>#N/A</v>
      </c>
      <c r="AB215" s="13"/>
      <c r="AC215" s="13"/>
    </row>
    <row r="216" customFormat="false" ht="15" hidden="false" customHeight="false" outlineLevel="0" collapsed="false">
      <c r="A216" s="11"/>
      <c r="B216" s="11" t="s">
        <v>1</v>
      </c>
      <c r="C216" s="11" t="s">
        <v>2</v>
      </c>
      <c r="D216" s="11" t="s">
        <v>3</v>
      </c>
      <c r="E216" s="11"/>
      <c r="F216" s="11"/>
      <c r="G216" s="11" t="s">
        <v>6</v>
      </c>
      <c r="H216" s="11"/>
      <c r="I216" s="11"/>
      <c r="J216" s="13" t="s">
        <v>400</v>
      </c>
      <c r="K216" s="13" t="s">
        <v>499</v>
      </c>
      <c r="L216" s="13" t="s">
        <v>502</v>
      </c>
      <c r="M216" s="13" t="s">
        <v>503</v>
      </c>
      <c r="N216" s="14" t="n">
        <f aca="false">OFFSET(tbl_LoC,215,19,1,1)</f>
        <v>0</v>
      </c>
      <c r="O216" s="15"/>
      <c r="P216" s="13"/>
      <c r="Q216" s="13" t="n">
        <v>10</v>
      </c>
      <c r="R216" s="13"/>
      <c r="S216" s="16"/>
      <c r="T216" s="11"/>
      <c r="U216" s="11" t="n">
        <v>2</v>
      </c>
      <c r="V216" s="14" t="e">
        <f aca="false">OFFSET(tbl_LoC,215,21,1,1)*OFFSET(tbl_LoC,215,20,1,1)</f>
        <v>#VALUE!</v>
      </c>
      <c r="W216" s="17" t="n">
        <v>103</v>
      </c>
      <c r="X216" s="14" t="n">
        <f aca="false">Y216/(1-0.15)/(1-0.6)</f>
        <v>205.882352941176</v>
      </c>
      <c r="Y216" s="18" t="n">
        <v>70</v>
      </c>
      <c r="Z216" s="19" t="n">
        <f aca="false">OFFSET(tbl_LoC,215,22,1,1)*OFFSET(tbl_LoC,215,20,1,1)</f>
        <v>206</v>
      </c>
      <c r="AA216" s="13" t="e">
        <f aca="false">VLOOKUP(OFFSET(tbl_LoC,215,10,1,1),'[1]List of components'!$C$1:$F$1048576,2,FALSE())</f>
        <v>#N/A</v>
      </c>
      <c r="AB216" s="13"/>
      <c r="AC216" s="13"/>
    </row>
    <row r="217" customFormat="false" ht="15" hidden="false" customHeight="false" outlineLevel="0" collapsed="false">
      <c r="A217" s="11"/>
      <c r="B217" s="11" t="s">
        <v>1</v>
      </c>
      <c r="C217" s="11" t="s">
        <v>2</v>
      </c>
      <c r="D217" s="11" t="s">
        <v>3</v>
      </c>
      <c r="E217" s="11"/>
      <c r="F217" s="11"/>
      <c r="G217" s="11" t="s">
        <v>6</v>
      </c>
      <c r="H217" s="11"/>
      <c r="I217" s="11"/>
      <c r="J217" s="13" t="s">
        <v>400</v>
      </c>
      <c r="K217" s="13" t="s">
        <v>499</v>
      </c>
      <c r="L217" s="13" t="s">
        <v>504</v>
      </c>
      <c r="M217" s="13" t="s">
        <v>505</v>
      </c>
      <c r="N217" s="14" t="n">
        <f aca="false">OFFSET(tbl_LoC,216,19,1,1)</f>
        <v>0</v>
      </c>
      <c r="O217" s="15"/>
      <c r="P217" s="13"/>
      <c r="Q217" s="13" t="n">
        <v>0</v>
      </c>
      <c r="R217" s="13"/>
      <c r="S217" s="16"/>
      <c r="T217" s="11"/>
      <c r="U217" s="11" t="n">
        <v>2</v>
      </c>
      <c r="V217" s="14" t="e">
        <f aca="false">OFFSET(tbl_LoC,216,21,1,1)*OFFSET(tbl_LoC,216,20,1,1)</f>
        <v>#VALUE!</v>
      </c>
      <c r="W217" s="17" t="n">
        <v>103</v>
      </c>
      <c r="X217" s="14" t="n">
        <f aca="false">Y217/(1-0.15)/(1-0.6)</f>
        <v>205.882352941176</v>
      </c>
      <c r="Y217" s="18" t="n">
        <v>70</v>
      </c>
      <c r="Z217" s="19" t="n">
        <f aca="false">OFFSET(tbl_LoC,216,22,1,1)*OFFSET(tbl_LoC,216,20,1,1)</f>
        <v>206</v>
      </c>
      <c r="AA217" s="13" t="e">
        <f aca="false">VLOOKUP(OFFSET(tbl_LoC,216,10,1,1),'[1]List of components'!$C$1:$F$1048576,2,FALSE())</f>
        <v>#N/A</v>
      </c>
      <c r="AB217" s="13"/>
      <c r="AC217" s="13"/>
    </row>
    <row r="218" customFormat="false" ht="15" hidden="false" customHeight="false" outlineLevel="0" collapsed="false">
      <c r="A218" s="11" t="s">
        <v>0</v>
      </c>
      <c r="B218" s="11" t="s">
        <v>1</v>
      </c>
      <c r="C218" s="11" t="s">
        <v>2</v>
      </c>
      <c r="D218" s="11" t="s">
        <v>3</v>
      </c>
      <c r="E218" s="12" t="s">
        <v>4</v>
      </c>
      <c r="F218" s="11"/>
      <c r="G218" s="11" t="s">
        <v>6</v>
      </c>
      <c r="H218" s="11"/>
      <c r="I218" s="11"/>
      <c r="J218" s="13" t="s">
        <v>400</v>
      </c>
      <c r="K218" s="13" t="s">
        <v>506</v>
      </c>
      <c r="L218" s="13" t="s">
        <v>507</v>
      </c>
      <c r="M218" s="13" t="s">
        <v>508</v>
      </c>
      <c r="N218" s="14" t="n">
        <f aca="false">OFFSET(tbl_LoC,217,19,1,1)</f>
        <v>0</v>
      </c>
      <c r="O218" s="15"/>
      <c r="P218" s="13"/>
      <c r="Q218" s="13" t="n">
        <v>3</v>
      </c>
      <c r="R218" s="13"/>
      <c r="S218" s="16"/>
      <c r="T218" s="12"/>
      <c r="U218" s="12"/>
      <c r="V218" s="14" t="e">
        <f aca="false">OFFSET(tbl_LoC,217,21,1,1)*OFFSET(tbl_LoC,217,20,1,1)</f>
        <v>#VALUE!</v>
      </c>
      <c r="W218" s="17" t="n">
        <v>103</v>
      </c>
      <c r="X218" s="14" t="e">
        <f aca="false">Y218/(1-0.15)/(1-0.6)</f>
        <v>#N/A</v>
      </c>
      <c r="Y218" s="18" t="e">
        <f aca="false">VLOOKUP(OFFSET(tbl_LoC,217,10,1,1),'[1]List of components'!$C$1:$F$1048576,3,FALSE())</f>
        <v>#N/A</v>
      </c>
      <c r="Z218" s="19" t="n">
        <f aca="false">OFFSET(tbl_LoC,217,22,1,1)*OFFSET(tbl_LoC,217,20,1,1)</f>
        <v>0</v>
      </c>
      <c r="AA218" s="13" t="e">
        <f aca="false">VLOOKUP(OFFSET(tbl_LoC,217,10,1,1),'[1]List of components'!$C$1:$F$1048576,2,FALSE())</f>
        <v>#N/A</v>
      </c>
      <c r="AB218" s="13"/>
      <c r="AC218" s="13"/>
    </row>
    <row r="219" customFormat="false" ht="15" hidden="false" customHeight="false" outlineLevel="0" collapsed="false">
      <c r="A219" s="11" t="s">
        <v>0</v>
      </c>
      <c r="B219" s="11" t="s">
        <v>1</v>
      </c>
      <c r="C219" s="11" t="s">
        <v>2</v>
      </c>
      <c r="D219" s="11" t="s">
        <v>3</v>
      </c>
      <c r="E219" s="12" t="s">
        <v>4</v>
      </c>
      <c r="F219" s="11"/>
      <c r="G219" s="11" t="s">
        <v>6</v>
      </c>
      <c r="H219" s="11"/>
      <c r="I219" s="11"/>
      <c r="J219" s="13" t="s">
        <v>400</v>
      </c>
      <c r="K219" s="13" t="s">
        <v>506</v>
      </c>
      <c r="L219" s="13" t="s">
        <v>509</v>
      </c>
      <c r="M219" s="13" t="s">
        <v>510</v>
      </c>
      <c r="N219" s="14" t="n">
        <f aca="false">OFFSET(tbl_LoC,218,19,1,1)</f>
        <v>0</v>
      </c>
      <c r="O219" s="15"/>
      <c r="P219" s="13"/>
      <c r="Q219" s="13" t="n">
        <v>3</v>
      </c>
      <c r="R219" s="13"/>
      <c r="S219" s="16"/>
      <c r="T219" s="12"/>
      <c r="U219" s="12"/>
      <c r="V219" s="14" t="e">
        <f aca="false">OFFSET(tbl_LoC,218,21,1,1)*OFFSET(tbl_LoC,218,20,1,1)</f>
        <v>#VALUE!</v>
      </c>
      <c r="W219" s="17" t="n">
        <v>103</v>
      </c>
      <c r="X219" s="14" t="e">
        <f aca="false">Y219/(1-0.15)/(1-0.6)</f>
        <v>#N/A</v>
      </c>
      <c r="Y219" s="18" t="e">
        <f aca="false">VLOOKUP(OFFSET(tbl_LoC,218,10,1,1),'[1]List of components'!$C$1:$F$1048576,3,FALSE())</f>
        <v>#N/A</v>
      </c>
      <c r="Z219" s="19" t="n">
        <f aca="false">OFFSET(tbl_LoC,218,22,1,1)*OFFSET(tbl_LoC,218,20,1,1)</f>
        <v>0</v>
      </c>
      <c r="AA219" s="13" t="e">
        <f aca="false">VLOOKUP(OFFSET(tbl_LoC,218,10,1,1),'[1]List of components'!$C$1:$F$1048576,2,FALSE())</f>
        <v>#N/A</v>
      </c>
      <c r="AB219" s="13"/>
      <c r="AC219" s="13"/>
    </row>
    <row r="220" customFormat="false" ht="15" hidden="false" customHeight="false" outlineLevel="0" collapsed="false">
      <c r="A220" s="11" t="s">
        <v>0</v>
      </c>
      <c r="B220" s="11" t="s">
        <v>1</v>
      </c>
      <c r="C220" s="11" t="s">
        <v>2</v>
      </c>
      <c r="D220" s="11" t="s">
        <v>3</v>
      </c>
      <c r="E220" s="12" t="s">
        <v>4</v>
      </c>
      <c r="F220" s="11"/>
      <c r="G220" s="11" t="s">
        <v>6</v>
      </c>
      <c r="H220" s="11"/>
      <c r="I220" s="11"/>
      <c r="J220" s="13" t="s">
        <v>400</v>
      </c>
      <c r="K220" s="13" t="s">
        <v>506</v>
      </c>
      <c r="L220" s="13" t="s">
        <v>511</v>
      </c>
      <c r="M220" s="13" t="s">
        <v>512</v>
      </c>
      <c r="N220" s="14" t="n">
        <f aca="false">OFFSET(tbl_LoC,219,19,1,1)</f>
        <v>0</v>
      </c>
      <c r="O220" s="15"/>
      <c r="P220" s="13"/>
      <c r="Q220" s="13" t="n">
        <v>3</v>
      </c>
      <c r="R220" s="13"/>
      <c r="S220" s="16"/>
      <c r="T220" s="12"/>
      <c r="U220" s="12"/>
      <c r="V220" s="14" t="e">
        <f aca="false">OFFSET(tbl_LoC,219,21,1,1)*OFFSET(tbl_LoC,219,20,1,1)</f>
        <v>#VALUE!</v>
      </c>
      <c r="W220" s="17" t="n">
        <v>103</v>
      </c>
      <c r="X220" s="14" t="e">
        <f aca="false">Y220/(1-0.15)/(1-0.6)</f>
        <v>#N/A</v>
      </c>
      <c r="Y220" s="18" t="e">
        <f aca="false">VLOOKUP(OFFSET(tbl_LoC,219,10,1,1),'[1]List of components'!$C$1:$F$1048576,3,FALSE())</f>
        <v>#N/A</v>
      </c>
      <c r="Z220" s="19" t="n">
        <f aca="false">OFFSET(tbl_LoC,219,22,1,1)*OFFSET(tbl_LoC,219,20,1,1)</f>
        <v>0</v>
      </c>
      <c r="AA220" s="13" t="e">
        <f aca="false">VLOOKUP(OFFSET(tbl_LoC,219,10,1,1),'[1]List of components'!$C$1:$F$1048576,2,FALSE())</f>
        <v>#N/A</v>
      </c>
      <c r="AB220" s="13"/>
      <c r="AC220" s="13"/>
    </row>
    <row r="221" customFormat="false" ht="15" hidden="false" customHeight="false" outlineLevel="0" collapsed="false">
      <c r="A221" s="11" t="s">
        <v>0</v>
      </c>
      <c r="B221" s="11"/>
      <c r="C221" s="11"/>
      <c r="D221" s="11"/>
      <c r="E221" s="11"/>
      <c r="F221" s="11"/>
      <c r="G221" s="11"/>
      <c r="H221" s="11"/>
      <c r="I221" s="11"/>
      <c r="J221" s="13" t="s">
        <v>400</v>
      </c>
      <c r="K221" s="13" t="s">
        <v>506</v>
      </c>
      <c r="L221" s="13" t="s">
        <v>513</v>
      </c>
      <c r="M221" s="13" t="s">
        <v>514</v>
      </c>
      <c r="N221" s="14" t="n">
        <f aca="false">OFFSET(tbl_LoC,220,19,1,1)</f>
        <v>0</v>
      </c>
      <c r="O221" s="15"/>
      <c r="P221" s="13"/>
      <c r="Q221" s="13" t="n">
        <v>4</v>
      </c>
      <c r="R221" s="13"/>
      <c r="S221" s="16"/>
      <c r="T221" s="11"/>
      <c r="U221" s="11"/>
      <c r="V221" s="14" t="e">
        <f aca="false">OFFSET(tbl_LoC,220,21,1,1)*OFFSET(tbl_LoC,220,20,1,1)</f>
        <v>#VALUE!</v>
      </c>
      <c r="W221" s="17" t="n">
        <v>103</v>
      </c>
      <c r="X221" s="14" t="e">
        <f aca="false">Y221/(1-0.15)/(1-0.6)</f>
        <v>#N/A</v>
      </c>
      <c r="Y221" s="18" t="e">
        <f aca="false">VLOOKUP(OFFSET(tbl_LoC,220,10,1,1),'[1]List of components'!$C$1:$F$1048576,3,FALSE())</f>
        <v>#N/A</v>
      </c>
      <c r="Z221" s="19" t="n">
        <f aca="false">OFFSET(tbl_LoC,220,22,1,1)*OFFSET(tbl_LoC,220,20,1,1)</f>
        <v>0</v>
      </c>
      <c r="AA221" s="13" t="e">
        <f aca="false">VLOOKUP(OFFSET(tbl_LoC,220,10,1,1),'[1]List of components'!$C$1:$F$1048576,2,FALSE())</f>
        <v>#N/A</v>
      </c>
      <c r="AB221" s="13"/>
      <c r="AC221" s="13"/>
    </row>
    <row r="222" customFormat="false" ht="15" hidden="false" customHeight="false" outlineLevel="0" collapsed="false">
      <c r="A222" s="11" t="s">
        <v>0</v>
      </c>
      <c r="B222" s="11"/>
      <c r="C222" s="11"/>
      <c r="D222" s="11"/>
      <c r="E222" s="11"/>
      <c r="F222" s="11"/>
      <c r="G222" s="11"/>
      <c r="H222" s="11"/>
      <c r="I222" s="11"/>
      <c r="J222" s="13" t="s">
        <v>400</v>
      </c>
      <c r="K222" s="13" t="s">
        <v>506</v>
      </c>
      <c r="L222" s="13" t="s">
        <v>515</v>
      </c>
      <c r="M222" s="13" t="s">
        <v>516</v>
      </c>
      <c r="N222" s="14" t="n">
        <f aca="false">OFFSET(tbl_LoC,221,19,1,1)</f>
        <v>0</v>
      </c>
      <c r="O222" s="15"/>
      <c r="P222" s="13"/>
      <c r="Q222" s="13" t="n">
        <v>4</v>
      </c>
      <c r="R222" s="13"/>
      <c r="S222" s="16"/>
      <c r="T222" s="11"/>
      <c r="U222" s="11"/>
      <c r="V222" s="14" t="e">
        <f aca="false">OFFSET(tbl_LoC,221,21,1,1)*OFFSET(tbl_LoC,221,20,1,1)</f>
        <v>#VALUE!</v>
      </c>
      <c r="W222" s="17" t="n">
        <v>103</v>
      </c>
      <c r="X222" s="14" t="e">
        <f aca="false">Y222/(1-0.15)/(1-0.6)</f>
        <v>#N/A</v>
      </c>
      <c r="Y222" s="18" t="e">
        <f aca="false">VLOOKUP(OFFSET(tbl_LoC,221,10,1,1),'[1]List of components'!$C$1:$F$1048576,3,FALSE())</f>
        <v>#N/A</v>
      </c>
      <c r="Z222" s="19" t="n">
        <f aca="false">OFFSET(tbl_LoC,221,22,1,1)*OFFSET(tbl_LoC,221,20,1,1)</f>
        <v>0</v>
      </c>
      <c r="AA222" s="13" t="e">
        <f aca="false">VLOOKUP(OFFSET(tbl_LoC,221,10,1,1),'[1]List of components'!$C$1:$F$1048576,2,FALSE())</f>
        <v>#N/A</v>
      </c>
      <c r="AB222" s="13"/>
      <c r="AC222" s="13"/>
    </row>
    <row r="223" customFormat="false" ht="15" hidden="false" customHeight="false" outlineLevel="0" collapsed="false">
      <c r="A223" s="11" t="s">
        <v>0</v>
      </c>
      <c r="B223" s="11" t="s">
        <v>1</v>
      </c>
      <c r="C223" s="11" t="s">
        <v>2</v>
      </c>
      <c r="D223" s="11" t="s">
        <v>3</v>
      </c>
      <c r="E223" s="12" t="s">
        <v>4</v>
      </c>
      <c r="F223" s="11"/>
      <c r="G223" s="11" t="s">
        <v>6</v>
      </c>
      <c r="H223" s="11"/>
      <c r="I223" s="11"/>
      <c r="J223" s="13" t="s">
        <v>400</v>
      </c>
      <c r="K223" s="13" t="s">
        <v>506</v>
      </c>
      <c r="L223" s="13" t="s">
        <v>517</v>
      </c>
      <c r="M223" s="13" t="s">
        <v>518</v>
      </c>
      <c r="N223" s="14" t="n">
        <f aca="false">OFFSET(tbl_LoC,222,19,1,1)</f>
        <v>0</v>
      </c>
      <c r="O223" s="15"/>
      <c r="P223" s="13"/>
      <c r="Q223" s="13" t="n">
        <v>3</v>
      </c>
      <c r="R223" s="13"/>
      <c r="S223" s="16"/>
      <c r="T223" s="12"/>
      <c r="U223" s="12"/>
      <c r="V223" s="14" t="e">
        <f aca="false">OFFSET(tbl_LoC,222,21,1,1)*OFFSET(tbl_LoC,222,20,1,1)</f>
        <v>#VALUE!</v>
      </c>
      <c r="W223" s="17" t="n">
        <v>103</v>
      </c>
      <c r="X223" s="14" t="e">
        <f aca="false">Y223/(1-0.15)/(1-0.6)</f>
        <v>#N/A</v>
      </c>
      <c r="Y223" s="18" t="e">
        <f aca="false">VLOOKUP(OFFSET(tbl_LoC,222,10,1,1),'[1]List of components'!$C$1:$F$1048576,3,FALSE())</f>
        <v>#N/A</v>
      </c>
      <c r="Z223" s="19" t="n">
        <f aca="false">OFFSET(tbl_LoC,222,22,1,1)*OFFSET(tbl_LoC,222,20,1,1)</f>
        <v>0</v>
      </c>
      <c r="AA223" s="13" t="e">
        <f aca="false">VLOOKUP(OFFSET(tbl_LoC,222,10,1,1),'[1]List of components'!$C$1:$F$1048576,2,FALSE())</f>
        <v>#N/A</v>
      </c>
      <c r="AB223" s="13"/>
      <c r="AC223" s="13"/>
    </row>
    <row r="224" customFormat="false" ht="15" hidden="false" customHeight="false" outlineLevel="0" collapsed="false">
      <c r="A224" s="11" t="s">
        <v>0</v>
      </c>
      <c r="B224" s="11" t="s">
        <v>1</v>
      </c>
      <c r="C224" s="11" t="s">
        <v>2</v>
      </c>
      <c r="D224" s="11" t="s">
        <v>3</v>
      </c>
      <c r="E224" s="12" t="s">
        <v>4</v>
      </c>
      <c r="F224" s="11"/>
      <c r="G224" s="11" t="s">
        <v>6</v>
      </c>
      <c r="H224" s="11"/>
      <c r="I224" s="11"/>
      <c r="J224" s="13" t="s">
        <v>400</v>
      </c>
      <c r="K224" s="13" t="s">
        <v>506</v>
      </c>
      <c r="L224" s="13" t="s">
        <v>519</v>
      </c>
      <c r="M224" s="13" t="s">
        <v>520</v>
      </c>
      <c r="N224" s="14" t="n">
        <f aca="false">OFFSET(tbl_LoC,223,19,1,1)</f>
        <v>0</v>
      </c>
      <c r="O224" s="15"/>
      <c r="P224" s="13"/>
      <c r="Q224" s="13" t="n">
        <v>3</v>
      </c>
      <c r="R224" s="13"/>
      <c r="S224" s="16"/>
      <c r="T224" s="12"/>
      <c r="U224" s="12"/>
      <c r="V224" s="14" t="e">
        <f aca="false">OFFSET(tbl_LoC,223,21,1,1)*OFFSET(tbl_LoC,223,20,1,1)</f>
        <v>#VALUE!</v>
      </c>
      <c r="W224" s="17" t="n">
        <v>103</v>
      </c>
      <c r="X224" s="14" t="n">
        <f aca="false">Y224/(1-0.15)/(1-0.6)</f>
        <v>2794.11764705882</v>
      </c>
      <c r="Y224" s="18" t="n">
        <v>950</v>
      </c>
      <c r="Z224" s="19" t="n">
        <f aca="false">OFFSET(tbl_LoC,223,22,1,1)*OFFSET(tbl_LoC,223,20,1,1)</f>
        <v>0</v>
      </c>
      <c r="AA224" s="13" t="e">
        <f aca="false">VLOOKUP(OFFSET(tbl_LoC,223,10,1,1),'[1]List of components'!$C$1:$F$1048576,2,FALSE())</f>
        <v>#N/A</v>
      </c>
      <c r="AB224" s="13"/>
      <c r="AC224" s="13"/>
    </row>
    <row r="225" customFormat="false" ht="15" hidden="false" customHeight="false" outlineLevel="0" collapsed="false">
      <c r="A225" s="11" t="s">
        <v>0</v>
      </c>
      <c r="B225" s="11" t="s">
        <v>1</v>
      </c>
      <c r="C225" s="11" t="s">
        <v>2</v>
      </c>
      <c r="D225" s="11" t="s">
        <v>3</v>
      </c>
      <c r="E225" s="12" t="s">
        <v>4</v>
      </c>
      <c r="F225" s="11"/>
      <c r="G225" s="11" t="s">
        <v>6</v>
      </c>
      <c r="H225" s="11"/>
      <c r="I225" s="11"/>
      <c r="J225" s="13" t="s">
        <v>400</v>
      </c>
      <c r="K225" s="13" t="s">
        <v>506</v>
      </c>
      <c r="L225" s="13" t="s">
        <v>521</v>
      </c>
      <c r="M225" s="13" t="s">
        <v>522</v>
      </c>
      <c r="N225" s="14" t="n">
        <f aca="false">OFFSET(tbl_LoC,224,19,1,1)</f>
        <v>0</v>
      </c>
      <c r="O225" s="15"/>
      <c r="P225" s="13"/>
      <c r="Q225" s="13" t="n">
        <v>3</v>
      </c>
      <c r="R225" s="13"/>
      <c r="S225" s="16"/>
      <c r="T225" s="12"/>
      <c r="U225" s="12"/>
      <c r="V225" s="14" t="e">
        <f aca="false">OFFSET(tbl_LoC,224,21,1,1)*OFFSET(tbl_LoC,224,20,1,1)</f>
        <v>#VALUE!</v>
      </c>
      <c r="W225" s="17" t="n">
        <v>103</v>
      </c>
      <c r="X225" s="14" t="n">
        <f aca="false">Y225/(1-0.15)/(1-0.6)</f>
        <v>4705.88235294118</v>
      </c>
      <c r="Y225" s="18" t="n">
        <v>1600</v>
      </c>
      <c r="Z225" s="19" t="n">
        <f aca="false">OFFSET(tbl_LoC,224,22,1,1)*OFFSET(tbl_LoC,224,20,1,1)</f>
        <v>0</v>
      </c>
      <c r="AA225" s="13" t="e">
        <f aca="false">VLOOKUP(OFFSET(tbl_LoC,224,10,1,1),'[1]List of components'!$C$1:$F$1048576,2,FALSE())</f>
        <v>#N/A</v>
      </c>
      <c r="AB225" s="13"/>
      <c r="AC225" s="13"/>
    </row>
    <row r="226" customFormat="false" ht="15" hidden="false" customHeight="false" outlineLevel="0" collapsed="false">
      <c r="A226" s="11" t="s">
        <v>0</v>
      </c>
      <c r="B226" s="11" t="s">
        <v>1</v>
      </c>
      <c r="C226" s="11" t="s">
        <v>2</v>
      </c>
      <c r="D226" s="11" t="s">
        <v>3</v>
      </c>
      <c r="E226" s="12"/>
      <c r="F226" s="11"/>
      <c r="G226" s="11" t="s">
        <v>6</v>
      </c>
      <c r="H226" s="11"/>
      <c r="I226" s="11"/>
      <c r="J226" s="13" t="s">
        <v>400</v>
      </c>
      <c r="K226" s="13" t="s">
        <v>506</v>
      </c>
      <c r="L226" s="13" t="s">
        <v>523</v>
      </c>
      <c r="M226" s="13" t="s">
        <v>524</v>
      </c>
      <c r="N226" s="14" t="n">
        <f aca="false">OFFSET(tbl_LoC,225,19,1,1)</f>
        <v>0</v>
      </c>
      <c r="O226" s="15"/>
      <c r="P226" s="13"/>
      <c r="Q226" s="13" t="n">
        <v>3</v>
      </c>
      <c r="R226" s="13"/>
      <c r="S226" s="16"/>
      <c r="T226" s="12"/>
      <c r="U226" s="12"/>
      <c r="V226" s="14" t="e">
        <f aca="false">OFFSET(tbl_LoC,225,21,1,1)*OFFSET(tbl_LoC,225,20,1,1)</f>
        <v>#VALUE!</v>
      </c>
      <c r="W226" s="17" t="n">
        <v>103</v>
      </c>
      <c r="X226" s="14" t="n">
        <f aca="false">Y226/(1-0.15)/(1-0.6)</f>
        <v>882.352941176471</v>
      </c>
      <c r="Y226" s="18" t="n">
        <v>300</v>
      </c>
      <c r="Z226" s="19" t="n">
        <f aca="false">OFFSET(tbl_LoC,225,22,1,1)*OFFSET(tbl_LoC,225,20,1,1)</f>
        <v>0</v>
      </c>
      <c r="AA226" s="13" t="e">
        <f aca="false">VLOOKUP(OFFSET(tbl_LoC,225,10,1,1),'[1]List of components'!$C$1:$F$1048576,2,FALSE())</f>
        <v>#N/A</v>
      </c>
      <c r="AB226" s="13"/>
      <c r="AC226" s="13"/>
    </row>
    <row r="227" customFormat="false" ht="15" hidden="false" customHeight="false" outlineLevel="0" collapsed="false">
      <c r="A227" s="11" t="s">
        <v>0</v>
      </c>
      <c r="B227" s="11" t="s">
        <v>1</v>
      </c>
      <c r="C227" s="11" t="s">
        <v>2</v>
      </c>
      <c r="D227" s="11" t="s">
        <v>3</v>
      </c>
      <c r="E227" s="12"/>
      <c r="F227" s="11"/>
      <c r="G227" s="11" t="s">
        <v>6</v>
      </c>
      <c r="H227" s="11"/>
      <c r="I227" s="11"/>
      <c r="J227" s="13" t="s">
        <v>400</v>
      </c>
      <c r="K227" s="13" t="s">
        <v>506</v>
      </c>
      <c r="L227" s="13" t="s">
        <v>525</v>
      </c>
      <c r="M227" s="13" t="s">
        <v>526</v>
      </c>
      <c r="N227" s="14" t="n">
        <f aca="false">OFFSET(tbl_LoC,226,19,1,1)</f>
        <v>0</v>
      </c>
      <c r="O227" s="15"/>
      <c r="P227" s="13"/>
      <c r="Q227" s="13" t="n">
        <v>3</v>
      </c>
      <c r="R227" s="13"/>
      <c r="S227" s="16"/>
      <c r="T227" s="12"/>
      <c r="U227" s="12"/>
      <c r="V227" s="14" t="e">
        <f aca="false">OFFSET(tbl_LoC,226,21,1,1)*OFFSET(tbl_LoC,226,20,1,1)</f>
        <v>#VALUE!</v>
      </c>
      <c r="W227" s="17" t="n">
        <v>103</v>
      </c>
      <c r="X227" s="14" t="e">
        <f aca="false">Y227/(1-0.15)/(1-0.6)</f>
        <v>#N/A</v>
      </c>
      <c r="Y227" s="18" t="e">
        <f aca="false">VLOOKUP(OFFSET(tbl_LoC,226,10,1,1),'[1]List of components'!$C$1:$F$1048576,3,FALSE())</f>
        <v>#N/A</v>
      </c>
      <c r="Z227" s="19" t="n">
        <f aca="false">OFFSET(tbl_LoC,226,22,1,1)*OFFSET(tbl_LoC,226,20,1,1)</f>
        <v>0</v>
      </c>
      <c r="AA227" s="13" t="e">
        <f aca="false">VLOOKUP(OFFSET(tbl_LoC,226,10,1,1),'[1]List of components'!$C$1:$F$1048576,2,FALSE())</f>
        <v>#N/A</v>
      </c>
      <c r="AB227" s="13"/>
      <c r="AC227" s="13"/>
    </row>
    <row r="228" customFormat="false" ht="15" hidden="false" customHeight="false" outlineLevel="0" collapsed="false">
      <c r="A228" s="11" t="s">
        <v>0</v>
      </c>
      <c r="B228" s="11" t="s">
        <v>1</v>
      </c>
      <c r="C228" s="11" t="s">
        <v>2</v>
      </c>
      <c r="D228" s="11" t="s">
        <v>3</v>
      </c>
      <c r="E228" s="12"/>
      <c r="F228" s="11"/>
      <c r="G228" s="11" t="s">
        <v>6</v>
      </c>
      <c r="H228" s="11"/>
      <c r="I228" s="11"/>
      <c r="J228" s="13" t="s">
        <v>400</v>
      </c>
      <c r="K228" s="13" t="s">
        <v>506</v>
      </c>
      <c r="L228" s="13" t="s">
        <v>527</v>
      </c>
      <c r="M228" s="13" t="s">
        <v>528</v>
      </c>
      <c r="N228" s="14" t="n">
        <f aca="false">OFFSET(tbl_LoC,227,19,1,1)</f>
        <v>0</v>
      </c>
      <c r="O228" s="15"/>
      <c r="P228" s="13"/>
      <c r="Q228" s="13" t="n">
        <v>9</v>
      </c>
      <c r="R228" s="13"/>
      <c r="S228" s="16"/>
      <c r="T228" s="12"/>
      <c r="U228" s="12" t="n">
        <v>2</v>
      </c>
      <c r="V228" s="14" t="e">
        <f aca="false">OFFSET(tbl_LoC,227,21,1,1)*OFFSET(tbl_LoC,227,20,1,1)</f>
        <v>#VALUE!</v>
      </c>
      <c r="W228" s="17" t="n">
        <v>103</v>
      </c>
      <c r="X228" s="14" t="n">
        <f aca="false">Y228/(1-0.15)/(1-0.6)</f>
        <v>735.294117647059</v>
      </c>
      <c r="Y228" s="18" t="n">
        <v>250</v>
      </c>
      <c r="Z228" s="19" t="n">
        <f aca="false">OFFSET(tbl_LoC,227,22,1,1)*OFFSET(tbl_LoC,227,20,1,1)</f>
        <v>206</v>
      </c>
      <c r="AA228" s="13" t="e">
        <f aca="false">VLOOKUP(OFFSET(tbl_LoC,227,10,1,1),'[1]List of components'!$C$1:$F$1048576,2,FALSE())</f>
        <v>#N/A</v>
      </c>
      <c r="AB228" s="13"/>
      <c r="AC228" s="13"/>
    </row>
    <row r="229" customFormat="false" ht="15" hidden="false" customHeight="false" outlineLevel="0" collapsed="false">
      <c r="A229" s="11" t="s">
        <v>0</v>
      </c>
      <c r="B229" s="11" t="s">
        <v>1</v>
      </c>
      <c r="C229" s="11" t="s">
        <v>2</v>
      </c>
      <c r="D229" s="11" t="s">
        <v>3</v>
      </c>
      <c r="E229" s="12"/>
      <c r="F229" s="11"/>
      <c r="G229" s="11" t="s">
        <v>6</v>
      </c>
      <c r="H229" s="11"/>
      <c r="I229" s="11"/>
      <c r="J229" s="13" t="s">
        <v>400</v>
      </c>
      <c r="K229" s="13" t="s">
        <v>506</v>
      </c>
      <c r="L229" s="13" t="s">
        <v>529</v>
      </c>
      <c r="M229" s="13" t="s">
        <v>530</v>
      </c>
      <c r="N229" s="14" t="n">
        <f aca="false">OFFSET(tbl_LoC,228,19,1,1)</f>
        <v>0</v>
      </c>
      <c r="O229" s="15"/>
      <c r="P229" s="13"/>
      <c r="Q229" s="13" t="n">
        <v>3</v>
      </c>
      <c r="R229" s="13"/>
      <c r="S229" s="16"/>
      <c r="T229" s="12"/>
      <c r="U229" s="12"/>
      <c r="V229" s="14" t="e">
        <f aca="false">OFFSET(tbl_LoC,228,21,1,1)*OFFSET(tbl_LoC,228,20,1,1)</f>
        <v>#VALUE!</v>
      </c>
      <c r="W229" s="17" t="n">
        <v>103</v>
      </c>
      <c r="X229" s="14" t="n">
        <f aca="false">Y229/(1-0.15)/(1-0.6)</f>
        <v>294.117647058824</v>
      </c>
      <c r="Y229" s="18" t="n">
        <v>100</v>
      </c>
      <c r="Z229" s="19" t="n">
        <f aca="false">OFFSET(tbl_LoC,228,22,1,1)*OFFSET(tbl_LoC,228,20,1,1)</f>
        <v>0</v>
      </c>
      <c r="AA229" s="13" t="n">
        <v>65</v>
      </c>
      <c r="AB229" s="13"/>
      <c r="AC229" s="13"/>
    </row>
    <row r="230" customFormat="false" ht="15" hidden="false" customHeight="false" outlineLevel="0" collapsed="false">
      <c r="A230" s="11" t="s">
        <v>0</v>
      </c>
      <c r="B230" s="11" t="s">
        <v>1</v>
      </c>
      <c r="C230" s="11" t="s">
        <v>2</v>
      </c>
      <c r="D230" s="11" t="s">
        <v>3</v>
      </c>
      <c r="E230" s="12"/>
      <c r="F230" s="11"/>
      <c r="G230" s="11" t="s">
        <v>6</v>
      </c>
      <c r="H230" s="11"/>
      <c r="I230" s="11"/>
      <c r="J230" s="13" t="s">
        <v>400</v>
      </c>
      <c r="K230" s="13" t="s">
        <v>506</v>
      </c>
      <c r="L230" s="13" t="s">
        <v>531</v>
      </c>
      <c r="M230" s="13" t="s">
        <v>532</v>
      </c>
      <c r="N230" s="14" t="n">
        <f aca="false">OFFSET(tbl_LoC,229,19,1,1)</f>
        <v>0</v>
      </c>
      <c r="O230" s="15"/>
      <c r="P230" s="13"/>
      <c r="Q230" s="13" t="n">
        <v>3</v>
      </c>
      <c r="R230" s="13"/>
      <c r="S230" s="16"/>
      <c r="T230" s="12"/>
      <c r="U230" s="12"/>
      <c r="V230" s="14" t="e">
        <f aca="false">OFFSET(tbl_LoC,229,21,1,1)*OFFSET(tbl_LoC,229,20,1,1)</f>
        <v>#VALUE!</v>
      </c>
      <c r="W230" s="17" t="n">
        <v>103</v>
      </c>
      <c r="X230" s="14" t="e">
        <f aca="false">Y230/(1-0.15)/(1-0.6)</f>
        <v>#N/A</v>
      </c>
      <c r="Y230" s="18" t="e">
        <f aca="false">VLOOKUP(OFFSET(tbl_LoC,229,10,1,1),'[1]List of components'!$C$1:$F$1048576,3,FALSE())</f>
        <v>#N/A</v>
      </c>
      <c r="Z230" s="19" t="n">
        <f aca="false">OFFSET(tbl_LoC,229,22,1,1)*OFFSET(tbl_LoC,229,20,1,1)</f>
        <v>0</v>
      </c>
      <c r="AA230" s="13" t="e">
        <f aca="false">VLOOKUP(OFFSET(tbl_LoC,229,10,1,1),'[1]List of components'!$C$1:$F$1048576,2,FALSE())</f>
        <v>#N/A</v>
      </c>
      <c r="AB230" s="13"/>
      <c r="AC230" s="13"/>
    </row>
    <row r="231" customFormat="false" ht="15" hidden="false" customHeight="false" outlineLevel="0" collapsed="false">
      <c r="A231" s="11" t="s">
        <v>0</v>
      </c>
      <c r="B231" s="11" t="s">
        <v>1</v>
      </c>
      <c r="C231" s="11" t="s">
        <v>2</v>
      </c>
      <c r="D231" s="11" t="s">
        <v>3</v>
      </c>
      <c r="E231" s="12" t="s">
        <v>4</v>
      </c>
      <c r="F231" s="11"/>
      <c r="G231" s="11" t="s">
        <v>6</v>
      </c>
      <c r="H231" s="11"/>
      <c r="I231" s="11"/>
      <c r="J231" s="13" t="s">
        <v>400</v>
      </c>
      <c r="K231" s="13" t="s">
        <v>506</v>
      </c>
      <c r="L231" s="13" t="s">
        <v>533</v>
      </c>
      <c r="M231" s="13" t="s">
        <v>534</v>
      </c>
      <c r="N231" s="14" t="n">
        <f aca="false">OFFSET(tbl_LoC,230,19,1,1)</f>
        <v>0</v>
      </c>
      <c r="O231" s="15"/>
      <c r="P231" s="13"/>
      <c r="Q231" s="13" t="n">
        <v>3</v>
      </c>
      <c r="R231" s="13"/>
      <c r="S231" s="16"/>
      <c r="T231" s="12"/>
      <c r="U231" s="12"/>
      <c r="V231" s="14" t="e">
        <f aca="false">OFFSET(tbl_LoC,230,21,1,1)*OFFSET(tbl_LoC,230,20,1,1)</f>
        <v>#VALUE!</v>
      </c>
      <c r="W231" s="17" t="n">
        <v>103</v>
      </c>
      <c r="X231" s="14" t="e">
        <f aca="false">Y231/(1-0.15)/(1-0.6)</f>
        <v>#N/A</v>
      </c>
      <c r="Y231" s="18" t="e">
        <f aca="false">VLOOKUP(OFFSET(tbl_LoC,230,10,1,1),'[1]List of components'!$C$1:$F$1048576,3,FALSE())</f>
        <v>#N/A</v>
      </c>
      <c r="Z231" s="19" t="n">
        <f aca="false">OFFSET(tbl_LoC,230,22,1,1)*OFFSET(tbl_LoC,230,20,1,1)</f>
        <v>0</v>
      </c>
      <c r="AA231" s="13" t="e">
        <f aca="false">VLOOKUP(OFFSET(tbl_LoC,230,10,1,1),'[1]List of components'!$C$1:$F$1048576,2,FALSE())</f>
        <v>#N/A</v>
      </c>
      <c r="AB231" s="13"/>
      <c r="AC231" s="13"/>
    </row>
    <row r="232" customFormat="false" ht="15" hidden="false" customHeight="false" outlineLevel="0" collapsed="false">
      <c r="A232" s="11" t="s">
        <v>0</v>
      </c>
      <c r="B232" s="11" t="s">
        <v>1</v>
      </c>
      <c r="C232" s="11" t="s">
        <v>2</v>
      </c>
      <c r="D232" s="11" t="s">
        <v>3</v>
      </c>
      <c r="E232" s="12"/>
      <c r="F232" s="11"/>
      <c r="G232" s="11" t="s">
        <v>6</v>
      </c>
      <c r="H232" s="11"/>
      <c r="I232" s="11"/>
      <c r="J232" s="13" t="s">
        <v>400</v>
      </c>
      <c r="K232" s="13" t="s">
        <v>506</v>
      </c>
      <c r="L232" s="13" t="s">
        <v>535</v>
      </c>
      <c r="M232" s="13" t="s">
        <v>536</v>
      </c>
      <c r="N232" s="14" t="n">
        <f aca="false">OFFSET(tbl_LoC,231,19,1,1)</f>
        <v>0</v>
      </c>
      <c r="O232" s="15"/>
      <c r="P232" s="13"/>
      <c r="Q232" s="13" t="n">
        <v>3</v>
      </c>
      <c r="R232" s="13"/>
      <c r="S232" s="16"/>
      <c r="T232" s="12"/>
      <c r="U232" s="12"/>
      <c r="V232" s="14" t="e">
        <f aca="false">OFFSET(tbl_LoC,231,21,1,1)*OFFSET(tbl_LoC,231,20,1,1)</f>
        <v>#VALUE!</v>
      </c>
      <c r="W232" s="17" t="n">
        <v>103</v>
      </c>
      <c r="X232" s="14" t="n">
        <f aca="false">Y232/(1-0.15)/(1-0.6)</f>
        <v>1764.70588235294</v>
      </c>
      <c r="Y232" s="18" t="n">
        <v>600</v>
      </c>
      <c r="Z232" s="19" t="n">
        <f aca="false">OFFSET(tbl_LoC,231,22,1,1)*OFFSET(tbl_LoC,231,20,1,1)</f>
        <v>0</v>
      </c>
      <c r="AA232" s="13" t="n">
        <v>470</v>
      </c>
      <c r="AB232" s="13"/>
      <c r="AC232" s="13"/>
    </row>
    <row r="233" customFormat="false" ht="15" hidden="false" customHeight="false" outlineLevel="0" collapsed="false">
      <c r="A233" s="11" t="s">
        <v>0</v>
      </c>
      <c r="B233" s="11" t="s">
        <v>1</v>
      </c>
      <c r="C233" s="11" t="s">
        <v>2</v>
      </c>
      <c r="D233" s="11" t="s">
        <v>3</v>
      </c>
      <c r="E233" s="12"/>
      <c r="F233" s="11"/>
      <c r="G233" s="11" t="s">
        <v>6</v>
      </c>
      <c r="H233" s="11"/>
      <c r="I233" s="11"/>
      <c r="J233" s="13" t="s">
        <v>400</v>
      </c>
      <c r="K233" s="13" t="s">
        <v>506</v>
      </c>
      <c r="L233" s="13" t="s">
        <v>537</v>
      </c>
      <c r="M233" s="13" t="s">
        <v>538</v>
      </c>
      <c r="N233" s="14" t="n">
        <f aca="false">OFFSET(tbl_LoC,232,19,1,1)</f>
        <v>0</v>
      </c>
      <c r="O233" s="15"/>
      <c r="P233" s="13"/>
      <c r="Q233" s="13" t="n">
        <v>3</v>
      </c>
      <c r="R233" s="13"/>
      <c r="S233" s="16"/>
      <c r="T233" s="12"/>
      <c r="U233" s="12"/>
      <c r="V233" s="14" t="e">
        <f aca="false">OFFSET(tbl_LoC,232,21,1,1)*OFFSET(tbl_LoC,232,20,1,1)</f>
        <v>#VALUE!</v>
      </c>
      <c r="W233" s="17" t="n">
        <v>103</v>
      </c>
      <c r="X233" s="14" t="e">
        <f aca="false">Y233/(1-0.15)/(1-0.6)</f>
        <v>#N/A</v>
      </c>
      <c r="Y233" s="18" t="e">
        <f aca="false">VLOOKUP(OFFSET(tbl_LoC,232,10,1,1),'[1]List of components'!$C$1:$F$1048576,3,FALSE())</f>
        <v>#N/A</v>
      </c>
      <c r="Z233" s="19" t="n">
        <f aca="false">OFFSET(tbl_LoC,232,22,1,1)*OFFSET(tbl_LoC,232,20,1,1)</f>
        <v>0</v>
      </c>
      <c r="AA233" s="13" t="e">
        <f aca="false">VLOOKUP(OFFSET(tbl_LoC,232,10,1,1),'[1]List of components'!$C$1:$F$1048576,2,FALSE())</f>
        <v>#N/A</v>
      </c>
      <c r="AB233" s="13"/>
      <c r="AC233" s="13"/>
    </row>
    <row r="234" customFormat="false" ht="15" hidden="false" customHeight="false" outlineLevel="0" collapsed="false">
      <c r="A234" s="11" t="s">
        <v>0</v>
      </c>
      <c r="B234" s="11" t="s">
        <v>1</v>
      </c>
      <c r="C234" s="11" t="s">
        <v>2</v>
      </c>
      <c r="D234" s="11" t="s">
        <v>3</v>
      </c>
      <c r="E234" s="12"/>
      <c r="F234" s="11"/>
      <c r="G234" s="11" t="s">
        <v>6</v>
      </c>
      <c r="H234" s="11"/>
      <c r="I234" s="11"/>
      <c r="J234" s="13" t="s">
        <v>400</v>
      </c>
      <c r="K234" s="13" t="s">
        <v>506</v>
      </c>
      <c r="L234" s="13" t="s">
        <v>539</v>
      </c>
      <c r="M234" s="13" t="s">
        <v>540</v>
      </c>
      <c r="N234" s="14" t="n">
        <f aca="false">OFFSET(tbl_LoC,233,19,1,1)</f>
        <v>0</v>
      </c>
      <c r="O234" s="15"/>
      <c r="P234" s="13"/>
      <c r="Q234" s="13" t="n">
        <v>3</v>
      </c>
      <c r="R234" s="13"/>
      <c r="S234" s="16"/>
      <c r="T234" s="12"/>
      <c r="U234" s="12" t="n">
        <v>2</v>
      </c>
      <c r="V234" s="14" t="e">
        <f aca="false">OFFSET(tbl_LoC,233,21,1,1)*OFFSET(tbl_LoC,233,20,1,1)</f>
        <v>#VALUE!</v>
      </c>
      <c r="W234" s="17" t="n">
        <v>103</v>
      </c>
      <c r="X234" s="14" t="n">
        <f aca="false">Y234/(1-0.15)/(1-0.6)</f>
        <v>1970.58823529412</v>
      </c>
      <c r="Y234" s="18" t="n">
        <v>670</v>
      </c>
      <c r="Z234" s="19" t="n">
        <f aca="false">OFFSET(tbl_LoC,233,22,1,1)*OFFSET(tbl_LoC,233,20,1,1)</f>
        <v>206</v>
      </c>
      <c r="AA234" s="13" t="e">
        <f aca="false">VLOOKUP(OFFSET(tbl_LoC,233,10,1,1),'[1]List of components'!$C$1:$F$1048576,2,FALSE())</f>
        <v>#N/A</v>
      </c>
      <c r="AB234" s="13"/>
      <c r="AC234" s="13"/>
    </row>
    <row r="235" customFormat="false" ht="15" hidden="false" customHeight="false" outlineLevel="0" collapsed="false">
      <c r="A235" s="11" t="s">
        <v>0</v>
      </c>
      <c r="B235" s="11" t="s">
        <v>1</v>
      </c>
      <c r="C235" s="11" t="s">
        <v>2</v>
      </c>
      <c r="D235" s="11" t="s">
        <v>3</v>
      </c>
      <c r="E235" s="12"/>
      <c r="F235" s="11"/>
      <c r="G235" s="11" t="s">
        <v>6</v>
      </c>
      <c r="H235" s="11"/>
      <c r="I235" s="11"/>
      <c r="J235" s="13" t="s">
        <v>400</v>
      </c>
      <c r="K235" s="13" t="s">
        <v>506</v>
      </c>
      <c r="L235" s="13" t="s">
        <v>541</v>
      </c>
      <c r="M235" s="13" t="s">
        <v>542</v>
      </c>
      <c r="N235" s="14" t="n">
        <f aca="false">OFFSET(tbl_LoC,234,19,1,1)</f>
        <v>0</v>
      </c>
      <c r="O235" s="15"/>
      <c r="P235" s="13"/>
      <c r="Q235" s="13" t="n">
        <v>3</v>
      </c>
      <c r="R235" s="13"/>
      <c r="S235" s="16"/>
      <c r="T235" s="12"/>
      <c r="U235" s="12"/>
      <c r="V235" s="14" t="e">
        <f aca="false">OFFSET(tbl_LoC,234,21,1,1)*OFFSET(tbl_LoC,234,20,1,1)</f>
        <v>#VALUE!</v>
      </c>
      <c r="W235" s="17" t="n">
        <v>103</v>
      </c>
      <c r="X235" s="14" t="n">
        <f aca="false">Y235/(1-0.15)/(1-0.6)</f>
        <v>441.176470588235</v>
      </c>
      <c r="Y235" s="18" t="n">
        <v>150</v>
      </c>
      <c r="Z235" s="19" t="n">
        <f aca="false">OFFSET(tbl_LoC,234,22,1,1)*OFFSET(tbl_LoC,234,20,1,1)</f>
        <v>0</v>
      </c>
      <c r="AA235" s="13" t="n">
        <v>75</v>
      </c>
      <c r="AB235" s="13"/>
      <c r="AC235" s="13"/>
    </row>
    <row r="236" customFormat="false" ht="15" hidden="false" customHeight="false" outlineLevel="0" collapsed="false">
      <c r="A236" s="11" t="s">
        <v>0</v>
      </c>
      <c r="B236" s="11" t="s">
        <v>1</v>
      </c>
      <c r="C236" s="11" t="s">
        <v>2</v>
      </c>
      <c r="D236" s="11" t="s">
        <v>3</v>
      </c>
      <c r="E236" s="12"/>
      <c r="F236" s="11"/>
      <c r="G236" s="11" t="s">
        <v>6</v>
      </c>
      <c r="H236" s="11"/>
      <c r="I236" s="11"/>
      <c r="J236" s="13" t="s">
        <v>400</v>
      </c>
      <c r="K236" s="13" t="s">
        <v>506</v>
      </c>
      <c r="L236" s="13" t="s">
        <v>543</v>
      </c>
      <c r="M236" s="13" t="s">
        <v>544</v>
      </c>
      <c r="N236" s="14" t="n">
        <f aca="false">OFFSET(tbl_LoC,235,19,1,1)</f>
        <v>0</v>
      </c>
      <c r="O236" s="15"/>
      <c r="P236" s="13"/>
      <c r="Q236" s="13" t="n">
        <v>3</v>
      </c>
      <c r="R236" s="13"/>
      <c r="S236" s="16"/>
      <c r="T236" s="12"/>
      <c r="U236" s="12"/>
      <c r="V236" s="14" t="e">
        <f aca="false">OFFSET(tbl_LoC,235,21,1,1)*OFFSET(tbl_LoC,235,20,1,1)</f>
        <v>#VALUE!</v>
      </c>
      <c r="W236" s="17" t="n">
        <v>103</v>
      </c>
      <c r="X236" s="14" t="e">
        <f aca="false">Y236/(1-0.15)/(1-0.6)</f>
        <v>#N/A</v>
      </c>
      <c r="Y236" s="18" t="e">
        <f aca="false">VLOOKUP(OFFSET(tbl_LoC,235,10,1,1),'[1]List of components'!$C$1:$F$1048576,3,FALSE())</f>
        <v>#N/A</v>
      </c>
      <c r="Z236" s="19" t="n">
        <f aca="false">OFFSET(tbl_LoC,235,22,1,1)*OFFSET(tbl_LoC,235,20,1,1)</f>
        <v>0</v>
      </c>
      <c r="AA236" s="13" t="e">
        <f aca="false">VLOOKUP(OFFSET(tbl_LoC,235,10,1,1),'[1]List of components'!$C$1:$F$1048576,2,FALSE())</f>
        <v>#N/A</v>
      </c>
      <c r="AB236" s="13"/>
      <c r="AC236" s="13"/>
    </row>
    <row r="237" customFormat="false" ht="15" hidden="false" customHeight="false" outlineLevel="0" collapsed="false">
      <c r="A237" s="11" t="s">
        <v>0</v>
      </c>
      <c r="B237" s="11" t="s">
        <v>1</v>
      </c>
      <c r="C237" s="11" t="s">
        <v>2</v>
      </c>
      <c r="D237" s="11" t="s">
        <v>3</v>
      </c>
      <c r="E237" s="12" t="s">
        <v>4</v>
      </c>
      <c r="F237" s="11"/>
      <c r="G237" s="11" t="s">
        <v>6</v>
      </c>
      <c r="H237" s="11"/>
      <c r="I237" s="11"/>
      <c r="J237" s="13" t="s">
        <v>400</v>
      </c>
      <c r="K237" s="13" t="s">
        <v>506</v>
      </c>
      <c r="L237" s="13" t="s">
        <v>545</v>
      </c>
      <c r="M237" s="13" t="s">
        <v>546</v>
      </c>
      <c r="N237" s="14" t="n">
        <f aca="false">OFFSET(tbl_LoC,236,19,1,1)</f>
        <v>0</v>
      </c>
      <c r="O237" s="15"/>
      <c r="P237" s="13"/>
      <c r="Q237" s="13" t="n">
        <v>3</v>
      </c>
      <c r="R237" s="13"/>
      <c r="S237" s="16"/>
      <c r="T237" s="12"/>
      <c r="U237" s="12"/>
      <c r="V237" s="14" t="e">
        <f aca="false">OFFSET(tbl_LoC,236,21,1,1)*OFFSET(tbl_LoC,236,20,1,1)</f>
        <v>#VALUE!</v>
      </c>
      <c r="W237" s="17" t="n">
        <v>103</v>
      </c>
      <c r="X237" s="14" t="n">
        <f aca="false">Y237/(1-0.15)/(1-0.6)</f>
        <v>1088.23529411765</v>
      </c>
      <c r="Y237" s="18" t="n">
        <v>370</v>
      </c>
      <c r="Z237" s="19" t="n">
        <f aca="false">OFFSET(tbl_LoC,236,22,1,1)*OFFSET(tbl_LoC,236,20,1,1)</f>
        <v>0</v>
      </c>
      <c r="AA237" s="13" t="e">
        <f aca="false">VLOOKUP(OFFSET(tbl_LoC,236,10,1,1),'[1]List of components'!$C$1:$F$1048576,2,FALSE())</f>
        <v>#N/A</v>
      </c>
      <c r="AB237" s="13"/>
      <c r="AC237" s="13"/>
    </row>
    <row r="238" customFormat="false" ht="15" hidden="false" customHeight="false" outlineLevel="0" collapsed="false">
      <c r="A238" s="11" t="s">
        <v>0</v>
      </c>
      <c r="B238" s="11" t="s">
        <v>1</v>
      </c>
      <c r="C238" s="11" t="s">
        <v>2</v>
      </c>
      <c r="D238" s="11" t="s">
        <v>3</v>
      </c>
      <c r="E238" s="12"/>
      <c r="F238" s="11"/>
      <c r="G238" s="11" t="s">
        <v>6</v>
      </c>
      <c r="H238" s="11"/>
      <c r="I238" s="11"/>
      <c r="J238" s="13" t="s">
        <v>400</v>
      </c>
      <c r="K238" s="13" t="s">
        <v>506</v>
      </c>
      <c r="L238" s="13" t="s">
        <v>547</v>
      </c>
      <c r="M238" s="13" t="s">
        <v>548</v>
      </c>
      <c r="N238" s="14" t="n">
        <f aca="false">OFFSET(tbl_LoC,237,19,1,1)</f>
        <v>0</v>
      </c>
      <c r="O238" s="15"/>
      <c r="P238" s="13"/>
      <c r="Q238" s="13" t="n">
        <v>3</v>
      </c>
      <c r="R238" s="13"/>
      <c r="S238" s="16"/>
      <c r="T238" s="12"/>
      <c r="U238" s="12"/>
      <c r="V238" s="14" t="e">
        <f aca="false">OFFSET(tbl_LoC,237,21,1,1)*OFFSET(tbl_LoC,237,20,1,1)</f>
        <v>#VALUE!</v>
      </c>
      <c r="W238" s="17" t="n">
        <v>103</v>
      </c>
      <c r="X238" s="14" t="e">
        <f aca="false">Y238/(1-0.15)/(1-0.6)</f>
        <v>#N/A</v>
      </c>
      <c r="Y238" s="18" t="e">
        <f aca="false">VLOOKUP(OFFSET(tbl_LoC,237,10,1,1),'[1]List of components'!$C$1:$F$1048576,3,FALSE())</f>
        <v>#N/A</v>
      </c>
      <c r="Z238" s="19" t="n">
        <f aca="false">OFFSET(tbl_LoC,237,22,1,1)*OFFSET(tbl_LoC,237,20,1,1)</f>
        <v>0</v>
      </c>
      <c r="AA238" s="13" t="e">
        <f aca="false">VLOOKUP(OFFSET(tbl_LoC,237,10,1,1),'[1]List of components'!$C$1:$F$1048576,2,FALSE())</f>
        <v>#N/A</v>
      </c>
      <c r="AB238" s="13"/>
      <c r="AC238" s="13"/>
    </row>
    <row r="239" customFormat="false" ht="15" hidden="false" customHeight="false" outlineLevel="0" collapsed="false">
      <c r="A239" s="11" t="s">
        <v>0</v>
      </c>
      <c r="B239" s="11" t="s">
        <v>1</v>
      </c>
      <c r="C239" s="11" t="s">
        <v>2</v>
      </c>
      <c r="D239" s="11" t="s">
        <v>3</v>
      </c>
      <c r="E239" s="12"/>
      <c r="F239" s="11"/>
      <c r="G239" s="11" t="s">
        <v>6</v>
      </c>
      <c r="H239" s="11"/>
      <c r="I239" s="11"/>
      <c r="J239" s="13" t="s">
        <v>400</v>
      </c>
      <c r="K239" s="13" t="s">
        <v>506</v>
      </c>
      <c r="L239" s="13" t="s">
        <v>549</v>
      </c>
      <c r="M239" s="13" t="s">
        <v>550</v>
      </c>
      <c r="N239" s="14" t="n">
        <f aca="false">OFFSET(tbl_LoC,238,19,1,1)</f>
        <v>0</v>
      </c>
      <c r="O239" s="15"/>
      <c r="P239" s="13"/>
      <c r="Q239" s="13" t="n">
        <v>7</v>
      </c>
      <c r="R239" s="13"/>
      <c r="S239" s="16"/>
      <c r="T239" s="12"/>
      <c r="U239" s="12" t="n">
        <v>2</v>
      </c>
      <c r="V239" s="14" t="e">
        <f aca="false">OFFSET(tbl_LoC,238,21,1,1)*OFFSET(tbl_LoC,238,20,1,1)</f>
        <v>#VALUE!</v>
      </c>
      <c r="W239" s="17" t="n">
        <v>103</v>
      </c>
      <c r="X239" s="14" t="n">
        <f aca="false">Y239/(1-0.15)/(1-0.6)</f>
        <v>3441.17647058824</v>
      </c>
      <c r="Y239" s="18" t="n">
        <v>1170</v>
      </c>
      <c r="Z239" s="19" t="n">
        <f aca="false">OFFSET(tbl_LoC,238,22,1,1)*OFFSET(tbl_LoC,238,20,1,1)</f>
        <v>206</v>
      </c>
      <c r="AA239" s="13" t="e">
        <f aca="false">VLOOKUP(OFFSET(tbl_LoC,238,10,1,1),'[1]List of components'!$C$1:$F$1048576,2,FALSE())</f>
        <v>#N/A</v>
      </c>
      <c r="AB239" s="13"/>
      <c r="AC239" s="13"/>
    </row>
    <row r="240" customFormat="false" ht="15" hidden="false" customHeight="false" outlineLevel="0" collapsed="false">
      <c r="A240" s="11" t="s">
        <v>0</v>
      </c>
      <c r="B240" s="11" t="s">
        <v>1</v>
      </c>
      <c r="C240" s="11" t="s">
        <v>2</v>
      </c>
      <c r="D240" s="11" t="s">
        <v>3</v>
      </c>
      <c r="E240" s="12"/>
      <c r="F240" s="11"/>
      <c r="G240" s="11" t="s">
        <v>6</v>
      </c>
      <c r="H240" s="11"/>
      <c r="I240" s="11"/>
      <c r="J240" s="13" t="s">
        <v>400</v>
      </c>
      <c r="K240" s="13" t="s">
        <v>506</v>
      </c>
      <c r="L240" s="13" t="s">
        <v>551</v>
      </c>
      <c r="M240" s="13" t="s">
        <v>552</v>
      </c>
      <c r="N240" s="14" t="n">
        <f aca="false">OFFSET(tbl_LoC,239,19,1,1)</f>
        <v>0</v>
      </c>
      <c r="O240" s="15"/>
      <c r="P240" s="13"/>
      <c r="Q240" s="13" t="n">
        <v>3</v>
      </c>
      <c r="R240" s="13"/>
      <c r="S240" s="16"/>
      <c r="T240" s="12"/>
      <c r="U240" s="12"/>
      <c r="V240" s="14" t="e">
        <f aca="false">OFFSET(tbl_LoC,239,21,1,1)*OFFSET(tbl_LoC,239,20,1,1)</f>
        <v>#VALUE!</v>
      </c>
      <c r="W240" s="17" t="n">
        <v>103</v>
      </c>
      <c r="X240" s="14" t="n">
        <f aca="false">Y240/(1-0.15)/(1-0.6)</f>
        <v>500</v>
      </c>
      <c r="Y240" s="18" t="n">
        <v>170</v>
      </c>
      <c r="Z240" s="19" t="n">
        <f aca="false">OFFSET(tbl_LoC,239,22,1,1)*OFFSET(tbl_LoC,239,20,1,1)</f>
        <v>0</v>
      </c>
      <c r="AA240" s="13" t="e">
        <f aca="false">VLOOKUP(OFFSET(tbl_LoC,239,10,1,1),'[1]List of components'!$C$1:$F$1048576,2,FALSE())</f>
        <v>#N/A</v>
      </c>
      <c r="AB240" s="13"/>
      <c r="AC240" s="13"/>
    </row>
    <row r="241" customFormat="false" ht="15" hidden="false" customHeight="false" outlineLevel="0" collapsed="false">
      <c r="A241" s="11" t="s">
        <v>0</v>
      </c>
      <c r="B241" s="11" t="s">
        <v>1</v>
      </c>
      <c r="C241" s="11" t="s">
        <v>2</v>
      </c>
      <c r="D241" s="11" t="s">
        <v>3</v>
      </c>
      <c r="E241" s="12"/>
      <c r="F241" s="11"/>
      <c r="G241" s="11" t="s">
        <v>6</v>
      </c>
      <c r="H241" s="11"/>
      <c r="I241" s="11"/>
      <c r="J241" s="13" t="s">
        <v>400</v>
      </c>
      <c r="K241" s="13" t="s">
        <v>506</v>
      </c>
      <c r="L241" s="13" t="s">
        <v>553</v>
      </c>
      <c r="M241" s="13" t="s">
        <v>554</v>
      </c>
      <c r="N241" s="14" t="n">
        <f aca="false">OFFSET(tbl_LoC,240,19,1,1)</f>
        <v>0</v>
      </c>
      <c r="O241" s="15"/>
      <c r="P241" s="13"/>
      <c r="Q241" s="13" t="n">
        <v>3</v>
      </c>
      <c r="R241" s="13"/>
      <c r="S241" s="16"/>
      <c r="T241" s="12"/>
      <c r="U241" s="12"/>
      <c r="V241" s="14" t="e">
        <f aca="false">OFFSET(tbl_LoC,240,21,1,1)*OFFSET(tbl_LoC,240,20,1,1)</f>
        <v>#VALUE!</v>
      </c>
      <c r="W241" s="17" t="n">
        <v>103</v>
      </c>
      <c r="X241" s="14" t="n">
        <f aca="false">Y241/(1-0.15)/(1-0.6)</f>
        <v>735.294117647059</v>
      </c>
      <c r="Y241" s="18" t="n">
        <v>250</v>
      </c>
      <c r="Z241" s="19" t="n">
        <f aca="false">OFFSET(tbl_LoC,240,22,1,1)*OFFSET(tbl_LoC,240,20,1,1)</f>
        <v>0</v>
      </c>
      <c r="AA241" s="13" t="e">
        <f aca="false">VLOOKUP(OFFSET(tbl_LoC,240,10,1,1),'[1]List of components'!$C$1:$F$1048576,2,FALSE())</f>
        <v>#N/A</v>
      </c>
      <c r="AB241" s="13"/>
      <c r="AC241" s="13"/>
    </row>
    <row r="242" customFormat="false" ht="15" hidden="false" customHeight="false" outlineLevel="0" collapsed="false">
      <c r="A242" s="11" t="s">
        <v>0</v>
      </c>
      <c r="B242" s="11" t="s">
        <v>1</v>
      </c>
      <c r="C242" s="11" t="s">
        <v>2</v>
      </c>
      <c r="D242" s="11" t="s">
        <v>3</v>
      </c>
      <c r="E242" s="12"/>
      <c r="F242" s="11"/>
      <c r="G242" s="11" t="s">
        <v>6</v>
      </c>
      <c r="H242" s="11"/>
      <c r="I242" s="11"/>
      <c r="J242" s="13" t="s">
        <v>400</v>
      </c>
      <c r="K242" s="13" t="s">
        <v>506</v>
      </c>
      <c r="L242" s="13" t="s">
        <v>555</v>
      </c>
      <c r="M242" s="13" t="s">
        <v>556</v>
      </c>
      <c r="N242" s="14" t="n">
        <f aca="false">OFFSET(tbl_LoC,241,19,1,1)</f>
        <v>0</v>
      </c>
      <c r="O242" s="15"/>
      <c r="P242" s="13"/>
      <c r="Q242" s="13" t="n">
        <v>7</v>
      </c>
      <c r="R242" s="13"/>
      <c r="S242" s="16"/>
      <c r="T242" s="12"/>
      <c r="U242" s="12" t="n">
        <v>2</v>
      </c>
      <c r="V242" s="14" t="e">
        <f aca="false">OFFSET(tbl_LoC,241,21,1,1)*OFFSET(tbl_LoC,241,20,1,1)</f>
        <v>#VALUE!</v>
      </c>
      <c r="W242" s="17" t="n">
        <v>103</v>
      </c>
      <c r="X242" s="14" t="n">
        <f aca="false">Y242/(1-0.15)/(1-0.6)</f>
        <v>588.235294117647</v>
      </c>
      <c r="Y242" s="18" t="n">
        <v>200</v>
      </c>
      <c r="Z242" s="19" t="n">
        <f aca="false">OFFSET(tbl_LoC,241,22,1,1)*OFFSET(tbl_LoC,241,20,1,1)</f>
        <v>206</v>
      </c>
      <c r="AA242" s="13" t="e">
        <f aca="false">VLOOKUP(OFFSET(tbl_LoC,241,10,1,1),'[1]List of components'!$C$1:$F$1048576,2,FALSE())</f>
        <v>#N/A</v>
      </c>
      <c r="AB242" s="13"/>
      <c r="AC242" s="13"/>
    </row>
    <row r="243" customFormat="false" ht="15" hidden="false" customHeight="false" outlineLevel="0" collapsed="false">
      <c r="A243" s="11" t="s">
        <v>0</v>
      </c>
      <c r="B243" s="11" t="s">
        <v>1</v>
      </c>
      <c r="C243" s="11" t="s">
        <v>2</v>
      </c>
      <c r="D243" s="11" t="s">
        <v>3</v>
      </c>
      <c r="E243" s="11"/>
      <c r="F243" s="11"/>
      <c r="G243" s="11" t="s">
        <v>6</v>
      </c>
      <c r="H243" s="11"/>
      <c r="I243" s="11"/>
      <c r="J243" s="13" t="s">
        <v>400</v>
      </c>
      <c r="K243" s="13" t="s">
        <v>506</v>
      </c>
      <c r="L243" s="13" t="s">
        <v>557</v>
      </c>
      <c r="M243" s="13" t="s">
        <v>558</v>
      </c>
      <c r="N243" s="14" t="n">
        <f aca="false">OFFSET(tbl_LoC,242,19,1,1)</f>
        <v>0</v>
      </c>
      <c r="O243" s="15"/>
      <c r="P243" s="13"/>
      <c r="Q243" s="13" t="n">
        <v>9</v>
      </c>
      <c r="R243" s="13"/>
      <c r="S243" s="16"/>
      <c r="T243" s="11"/>
      <c r="U243" s="11"/>
      <c r="V243" s="14" t="e">
        <f aca="false">OFFSET(tbl_LoC,242,21,1,1)*OFFSET(tbl_LoC,242,20,1,1)</f>
        <v>#VALUE!</v>
      </c>
      <c r="W243" s="17" t="n">
        <v>103</v>
      </c>
      <c r="X243" s="14" t="n">
        <f aca="false">Y243/(1-0.15)/(1-0.6)</f>
        <v>352.941176470588</v>
      </c>
      <c r="Y243" s="18" t="n">
        <v>120</v>
      </c>
      <c r="Z243" s="19" t="n">
        <f aca="false">OFFSET(tbl_LoC,242,22,1,1)*OFFSET(tbl_LoC,242,20,1,1)</f>
        <v>0</v>
      </c>
      <c r="AA243" s="13" t="e">
        <f aca="false">VLOOKUP(OFFSET(tbl_LoC,242,10,1,1),'[1]List of components'!$C$1:$F$1048576,2,FALSE())</f>
        <v>#N/A</v>
      </c>
      <c r="AB243" s="13"/>
      <c r="AC243" s="13"/>
    </row>
    <row r="244" customFormat="false" ht="15" hidden="false" customHeight="false" outlineLevel="0" collapsed="false">
      <c r="A244" s="11" t="s">
        <v>0</v>
      </c>
      <c r="B244" s="11" t="s">
        <v>1</v>
      </c>
      <c r="C244" s="11" t="s">
        <v>2</v>
      </c>
      <c r="D244" s="11" t="s">
        <v>3</v>
      </c>
      <c r="E244" s="11"/>
      <c r="F244" s="11"/>
      <c r="G244" s="11" t="s">
        <v>6</v>
      </c>
      <c r="H244" s="11"/>
      <c r="I244" s="11"/>
      <c r="J244" s="13" t="s">
        <v>400</v>
      </c>
      <c r="K244" s="13" t="s">
        <v>506</v>
      </c>
      <c r="L244" s="13" t="s">
        <v>559</v>
      </c>
      <c r="M244" s="13" t="s">
        <v>560</v>
      </c>
      <c r="N244" s="14" t="n">
        <f aca="false">OFFSET(tbl_LoC,243,19,1,1)</f>
        <v>0</v>
      </c>
      <c r="O244" s="15"/>
      <c r="P244" s="13"/>
      <c r="Q244" s="13" t="n">
        <v>8</v>
      </c>
      <c r="R244" s="13"/>
      <c r="S244" s="16"/>
      <c r="T244" s="11"/>
      <c r="U244" s="11"/>
      <c r="V244" s="14" t="e">
        <f aca="false">OFFSET(tbl_LoC,243,21,1,1)*OFFSET(tbl_LoC,243,20,1,1)</f>
        <v>#VALUE!</v>
      </c>
      <c r="W244" s="17" t="n">
        <v>103</v>
      </c>
      <c r="X244" s="14" t="n">
        <f aca="false">Y244/(1-0.15)/(1-0.6)</f>
        <v>470.588235294118</v>
      </c>
      <c r="Y244" s="18" t="n">
        <v>160</v>
      </c>
      <c r="Z244" s="19" t="n">
        <f aca="false">OFFSET(tbl_LoC,243,22,1,1)*OFFSET(tbl_LoC,243,20,1,1)</f>
        <v>0</v>
      </c>
      <c r="AA244" s="13" t="e">
        <f aca="false">VLOOKUP(OFFSET(tbl_LoC,243,10,1,1),'[1]List of components'!$C$1:$F$1048576,2,FALSE())</f>
        <v>#N/A</v>
      </c>
      <c r="AB244" s="13"/>
      <c r="AC244" s="13"/>
    </row>
    <row r="245" customFormat="false" ht="15" hidden="false" customHeight="false" outlineLevel="0" collapsed="false">
      <c r="A245" s="11" t="s">
        <v>0</v>
      </c>
      <c r="B245" s="11" t="s">
        <v>1</v>
      </c>
      <c r="C245" s="11" t="s">
        <v>2</v>
      </c>
      <c r="D245" s="11" t="s">
        <v>3</v>
      </c>
      <c r="E245" s="11"/>
      <c r="F245" s="11"/>
      <c r="G245" s="11" t="s">
        <v>6</v>
      </c>
      <c r="H245" s="11"/>
      <c r="I245" s="11"/>
      <c r="J245" s="13" t="s">
        <v>400</v>
      </c>
      <c r="K245" s="13" t="s">
        <v>506</v>
      </c>
      <c r="L245" s="13" t="s">
        <v>561</v>
      </c>
      <c r="M245" s="13" t="s">
        <v>562</v>
      </c>
      <c r="N245" s="14" t="n">
        <f aca="false">OFFSET(tbl_LoC,244,19,1,1)</f>
        <v>0</v>
      </c>
      <c r="O245" s="15"/>
      <c r="P245" s="13"/>
      <c r="Q245" s="13" t="n">
        <v>8</v>
      </c>
      <c r="R245" s="13"/>
      <c r="S245" s="16"/>
      <c r="T245" s="11"/>
      <c r="U245" s="11"/>
      <c r="V245" s="14" t="e">
        <f aca="false">OFFSET(tbl_LoC,244,21,1,1)*OFFSET(tbl_LoC,244,20,1,1)</f>
        <v>#VALUE!</v>
      </c>
      <c r="W245" s="17" t="n">
        <v>103</v>
      </c>
      <c r="X245" s="14" t="e">
        <f aca="false">Y245/(1-0.15)/(1-0.6)</f>
        <v>#N/A</v>
      </c>
      <c r="Y245" s="18" t="e">
        <f aca="false">VLOOKUP(OFFSET(tbl_LoC,244,10,1,1),'[1]List of components'!$C$1:$F$1048576,3,FALSE())</f>
        <v>#N/A</v>
      </c>
      <c r="Z245" s="19" t="n">
        <f aca="false">OFFSET(tbl_LoC,244,22,1,1)*OFFSET(tbl_LoC,244,20,1,1)</f>
        <v>0</v>
      </c>
      <c r="AA245" s="13" t="e">
        <f aca="false">VLOOKUP(OFFSET(tbl_LoC,244,10,1,1),'[1]List of components'!$C$1:$F$1048576,2,FALSE())</f>
        <v>#N/A</v>
      </c>
      <c r="AB245" s="13"/>
      <c r="AC245" s="13"/>
    </row>
    <row r="246" customFormat="false" ht="15" hidden="false" customHeight="false" outlineLevel="0" collapsed="false">
      <c r="A246" s="11" t="s">
        <v>0</v>
      </c>
      <c r="B246" s="11" t="s">
        <v>1</v>
      </c>
      <c r="C246" s="11" t="s">
        <v>2</v>
      </c>
      <c r="D246" s="11" t="s">
        <v>3</v>
      </c>
      <c r="E246" s="11"/>
      <c r="F246" s="11"/>
      <c r="G246" s="11" t="s">
        <v>6</v>
      </c>
      <c r="H246" s="11"/>
      <c r="I246" s="11"/>
      <c r="J246" s="13" t="s">
        <v>400</v>
      </c>
      <c r="K246" s="13" t="s">
        <v>462</v>
      </c>
      <c r="L246" s="24" t="s">
        <v>563</v>
      </c>
      <c r="M246" s="24" t="s">
        <v>564</v>
      </c>
      <c r="N246" s="25" t="e">
        <f aca="false">V246</f>
        <v>#VALUE!</v>
      </c>
      <c r="O246" s="15"/>
      <c r="P246" s="13"/>
      <c r="Q246" s="13" t="n">
        <v>20</v>
      </c>
      <c r="R246" s="13"/>
      <c r="S246" s="16"/>
      <c r="T246" s="11"/>
      <c r="U246" s="11"/>
      <c r="V246" s="14" t="e">
        <f aca="false">OFFSET(tbl_LoC,245,21,1,1)*OFFSET(tbl_LoC,245,20,1,1)</f>
        <v>#VALUE!</v>
      </c>
      <c r="W246" s="17" t="n">
        <v>103</v>
      </c>
      <c r="X246" s="14" t="n">
        <f aca="false">Y246/(1-0.15)/(1-0.6)</f>
        <v>2941.17647058824</v>
      </c>
      <c r="Y246" s="18" t="n">
        <v>1000</v>
      </c>
      <c r="Z246" s="19" t="n">
        <f aca="false">OFFSET(tbl_LoC,245,22,1,1)*OFFSET(tbl_LoC,245,20,1,1)</f>
        <v>0</v>
      </c>
      <c r="AA246" s="13" t="e">
        <f aca="false">VLOOKUP(OFFSET(tbl_LoC,245,10,1,1),'[1]List of components'!$C$1:$F$1048576,2,FALSE())</f>
        <v>#N/A</v>
      </c>
      <c r="AB246" s="13"/>
      <c r="AC246" s="13"/>
    </row>
    <row r="247" customFormat="false" ht="17.9" hidden="false" customHeight="false" outlineLevel="0" collapsed="false">
      <c r="A247" s="26" t="s">
        <v>0</v>
      </c>
      <c r="B247" s="27" t="s">
        <v>1</v>
      </c>
      <c r="C247" s="27" t="s">
        <v>2</v>
      </c>
      <c r="D247" s="27" t="s">
        <v>3</v>
      </c>
      <c r="E247" s="27" t="s">
        <v>4</v>
      </c>
      <c r="F247" s="11"/>
      <c r="G247" s="11" t="s">
        <v>6</v>
      </c>
      <c r="H247" s="11"/>
      <c r="I247" s="11"/>
      <c r="J247" s="13" t="s">
        <v>29</v>
      </c>
      <c r="K247" s="13"/>
      <c r="L247" s="15" t="s">
        <v>565</v>
      </c>
      <c r="M247" s="13" t="s">
        <v>566</v>
      </c>
      <c r="N247" s="25" t="e">
        <f aca="false">V247</f>
        <v>#VALUE!</v>
      </c>
      <c r="O247" s="15"/>
      <c r="P247" s="13"/>
      <c r="Q247" s="13"/>
      <c r="R247" s="13"/>
      <c r="S247" s="16"/>
      <c r="T247" s="11"/>
      <c r="U247" s="11"/>
      <c r="V247" s="14" t="e">
        <f aca="false">OFFSET(tbl_LoC,246,21,1,1)*OFFSET(tbl_LoC,246,20,1,1)</f>
        <v>#VALUE!</v>
      </c>
      <c r="W247" s="17" t="n">
        <v>103</v>
      </c>
      <c r="X247" s="14" t="n">
        <f aca="false">Y247/(1-0.15)/(1-0.6)</f>
        <v>0.294117647058824</v>
      </c>
      <c r="Y247" s="18" t="n">
        <v>0.1</v>
      </c>
      <c r="Z247" s="19" t="n">
        <f aca="false">OFFSET(tbl_LoC,246,22,1,1)*OFFSET(tbl_LoC,246,20,1,1)</f>
        <v>0</v>
      </c>
      <c r="AA247" s="13" t="str">
        <f aca="false">VLOOKUP(OFFSET(tbl_LoC,246,10,1,1),'[1]List of components'!$C$1:$F$1048576,2,FALSE())</f>
        <v/>
      </c>
      <c r="AB247" s="13"/>
      <c r="AC247" s="13"/>
    </row>
    <row r="248" customFormat="false" ht="17.9" hidden="false" customHeight="false" outlineLevel="0" collapsed="false">
      <c r="A248" s="26" t="s">
        <v>0</v>
      </c>
      <c r="B248" s="27" t="s">
        <v>1</v>
      </c>
      <c r="C248" s="27" t="s">
        <v>2</v>
      </c>
      <c r="D248" s="27" t="s">
        <v>3</v>
      </c>
      <c r="E248" s="27" t="s">
        <v>4</v>
      </c>
      <c r="F248" s="11"/>
      <c r="G248" s="11" t="s">
        <v>6</v>
      </c>
      <c r="H248" s="11"/>
      <c r="I248" s="11"/>
      <c r="J248" s="13" t="s">
        <v>29</v>
      </c>
      <c r="K248" s="13"/>
      <c r="L248" s="15" t="s">
        <v>567</v>
      </c>
      <c r="M248" s="13" t="s">
        <v>568</v>
      </c>
      <c r="N248" s="25" t="e">
        <f aca="false">V248</f>
        <v>#VALUE!</v>
      </c>
      <c r="O248" s="15"/>
      <c r="P248" s="13"/>
      <c r="Q248" s="13"/>
      <c r="R248" s="13"/>
      <c r="S248" s="16"/>
      <c r="T248" s="11"/>
      <c r="U248" s="11"/>
      <c r="V248" s="14" t="e">
        <f aca="false">OFFSET(tbl_LoC,247,21,1,1)*OFFSET(tbl_LoC,247,20,1,1)</f>
        <v>#VALUE!</v>
      </c>
      <c r="W248" s="17" t="n">
        <v>103</v>
      </c>
      <c r="X248" s="14" t="n">
        <f aca="false">Y248/(1-0.15)/(1-0.6)</f>
        <v>0.294117647058824</v>
      </c>
      <c r="Y248" s="18" t="n">
        <v>0.1</v>
      </c>
      <c r="Z248" s="19" t="n">
        <f aca="false">OFFSET(tbl_LoC,247,22,1,1)*OFFSET(tbl_LoC,247,20,1,1)</f>
        <v>0</v>
      </c>
      <c r="AA248" s="13" t="str">
        <f aca="false">VLOOKUP(OFFSET(tbl_LoC,247,10,1,1),'[1]List of components'!$C$1:$F$1048576,2,FALSE())</f>
        <v/>
      </c>
      <c r="AB248" s="13"/>
      <c r="AC248" s="13"/>
    </row>
    <row r="249" customFormat="false" ht="15" hidden="false" customHeight="false" outlineLevel="0" collapsed="false">
      <c r="A249" s="11" t="s">
        <v>0</v>
      </c>
      <c r="B249" s="11"/>
      <c r="C249" s="11"/>
      <c r="D249" s="11"/>
      <c r="E249" s="11"/>
      <c r="F249" s="11"/>
      <c r="G249" s="11"/>
      <c r="H249" s="11"/>
      <c r="I249" s="11"/>
      <c r="J249" s="13" t="s">
        <v>400</v>
      </c>
      <c r="K249" s="13" t="s">
        <v>462</v>
      </c>
      <c r="L249" s="13" t="s">
        <v>569</v>
      </c>
      <c r="M249" s="13" t="s">
        <v>570</v>
      </c>
      <c r="N249" s="25" t="e">
        <f aca="false">V249</f>
        <v>#VALUE!</v>
      </c>
      <c r="O249" s="15"/>
      <c r="P249" s="13"/>
      <c r="Q249" s="13" t="n">
        <v>0</v>
      </c>
      <c r="R249" s="13"/>
      <c r="S249" s="16" t="n">
        <v>1</v>
      </c>
      <c r="T249" s="11"/>
      <c r="U249" s="11"/>
      <c r="V249" s="14" t="e">
        <f aca="false">OFFSET(tbl_LoC,248,21,1,1)*OFFSET(tbl_LoC,248,20,1,1)</f>
        <v>#VALUE!</v>
      </c>
      <c r="W249" s="17" t="n">
        <v>103</v>
      </c>
      <c r="X249" s="14" t="n">
        <f aca="false">Y249/(1-0.15)/(1-0.6)</f>
        <v>176.470588235294</v>
      </c>
      <c r="Y249" s="18" t="n">
        <v>60</v>
      </c>
      <c r="Z249" s="19" t="n">
        <f aca="false">OFFSET(tbl_LoC,248,22,1,1)*OFFSET(tbl_LoC,248,20,1,1)</f>
        <v>0</v>
      </c>
      <c r="AA249" s="13" t="e">
        <f aca="false">VLOOKUP(OFFSET(tbl_LoC,248,10,1,1),'[1]List of components'!$C$1:$F$1048576,2,FALSE())</f>
        <v>#N/A</v>
      </c>
      <c r="AB249" s="13"/>
      <c r="AC249" s="13"/>
    </row>
    <row r="250" customFormat="false" ht="15" hidden="false" customHeight="false" outlineLevel="0" collapsed="false">
      <c r="A250" s="11"/>
      <c r="B250" s="11"/>
      <c r="C250" s="27" t="s">
        <v>2</v>
      </c>
      <c r="D250" s="11"/>
      <c r="E250" s="11"/>
      <c r="F250" s="11"/>
      <c r="G250" s="11" t="s">
        <v>6</v>
      </c>
      <c r="H250" s="11"/>
      <c r="I250" s="11"/>
      <c r="J250" s="28" t="s">
        <v>94</v>
      </c>
      <c r="K250" s="28" t="s">
        <v>170</v>
      </c>
      <c r="L250" s="13" t="s">
        <v>571</v>
      </c>
      <c r="M250" s="13" t="s">
        <v>572</v>
      </c>
      <c r="N250" s="25" t="e">
        <f aca="false">V250</f>
        <v>#VALUE!</v>
      </c>
      <c r="O250" s="15"/>
      <c r="P250" s="13"/>
      <c r="Q250" s="13" t="n">
        <v>250</v>
      </c>
      <c r="R250" s="13"/>
      <c r="S250" s="16"/>
      <c r="T250" s="11"/>
      <c r="U250" s="11"/>
      <c r="V250" s="14" t="e">
        <f aca="false">OFFSET(tbl_LoC,249,21,1,1)*OFFSET(tbl_LoC,249,20,1,1)</f>
        <v>#VALUE!</v>
      </c>
      <c r="W250" s="17" t="n">
        <v>103</v>
      </c>
      <c r="X250" s="14" t="e">
        <f aca="false">Y250/(1-0.15)/(1-0.6)</f>
        <v>#N/A</v>
      </c>
      <c r="Y250" s="18" t="e">
        <f aca="false">VLOOKUP(OFFSET(tbl_LoC,249,10,1,1),'[1]List of components'!$C$1:$F$1048576,3,FALSE())</f>
        <v>#N/A</v>
      </c>
      <c r="Z250" s="19" t="n">
        <f aca="false">OFFSET(tbl_LoC,249,22,1,1)*OFFSET(tbl_LoC,249,20,1,1)</f>
        <v>0</v>
      </c>
      <c r="AA250" s="13" t="e">
        <f aca="false">VLOOKUP(OFFSET(tbl_LoC,249,10,1,1),'[1]List of components'!$C$1:$F$1048576,2,FALSE())</f>
        <v>#N/A</v>
      </c>
      <c r="AB250" s="13"/>
      <c r="AC250" s="13"/>
    </row>
    <row r="251" customFormat="false" ht="15" hidden="false" customHeight="false" outlineLevel="0" collapsed="false">
      <c r="A251" s="11"/>
      <c r="B251" s="11"/>
      <c r="C251" s="27" t="s">
        <v>2</v>
      </c>
      <c r="D251" s="11"/>
      <c r="E251" s="11"/>
      <c r="F251" s="11"/>
      <c r="G251" s="11" t="s">
        <v>6</v>
      </c>
      <c r="H251" s="11"/>
      <c r="I251" s="11"/>
      <c r="J251" s="28" t="s">
        <v>94</v>
      </c>
      <c r="K251" s="28" t="s">
        <v>170</v>
      </c>
      <c r="L251" s="13" t="s">
        <v>573</v>
      </c>
      <c r="M251" s="13" t="s">
        <v>574</v>
      </c>
      <c r="N251" s="25" t="e">
        <f aca="false">V251</f>
        <v>#VALUE!</v>
      </c>
      <c r="O251" s="15"/>
      <c r="P251" s="13"/>
      <c r="Q251" s="13" t="n">
        <v>270</v>
      </c>
      <c r="R251" s="13"/>
      <c r="S251" s="16"/>
      <c r="T251" s="11"/>
      <c r="U251" s="11"/>
      <c r="V251" s="14" t="e">
        <f aca="false">OFFSET(tbl_LoC,250,21,1,1)*OFFSET(tbl_LoC,250,20,1,1)</f>
        <v>#VALUE!</v>
      </c>
      <c r="W251" s="17" t="n">
        <v>103</v>
      </c>
      <c r="X251" s="14" t="n">
        <f aca="false">Y251/(1-0.15)/(1-0.6)</f>
        <v>8529.41176470588</v>
      </c>
      <c r="Y251" s="18" t="n">
        <v>2900</v>
      </c>
      <c r="Z251" s="19" t="n">
        <f aca="false">OFFSET(tbl_LoC,250,22,1,1)*OFFSET(tbl_LoC,250,20,1,1)</f>
        <v>0</v>
      </c>
      <c r="AA251" s="13" t="e">
        <f aca="false">VLOOKUP(OFFSET(tbl_LoC,250,10,1,1),'[1]List of components'!$C$1:$F$1048576,2,FALSE())</f>
        <v>#N/A</v>
      </c>
      <c r="AB251" s="13"/>
      <c r="AC251" s="13"/>
    </row>
    <row r="252" customFormat="false" ht="15" hidden="false" customHeight="false" outlineLevel="0" collapsed="false">
      <c r="A252" s="11"/>
      <c r="B252" s="11"/>
      <c r="C252" s="27" t="s">
        <v>2</v>
      </c>
      <c r="D252" s="11"/>
      <c r="E252" s="11"/>
      <c r="F252" s="11"/>
      <c r="G252" s="11" t="s">
        <v>6</v>
      </c>
      <c r="H252" s="11"/>
      <c r="I252" s="11"/>
      <c r="J252" s="28" t="s">
        <v>94</v>
      </c>
      <c r="K252" s="28" t="s">
        <v>170</v>
      </c>
      <c r="L252" s="13" t="s">
        <v>575</v>
      </c>
      <c r="M252" s="13" t="s">
        <v>576</v>
      </c>
      <c r="N252" s="25" t="e">
        <f aca="false">V252</f>
        <v>#VALUE!</v>
      </c>
      <c r="O252" s="15"/>
      <c r="P252" s="13"/>
      <c r="Q252" s="13" t="n">
        <v>270</v>
      </c>
      <c r="R252" s="13"/>
      <c r="S252" s="16"/>
      <c r="T252" s="11"/>
      <c r="U252" s="11"/>
      <c r="V252" s="14" t="e">
        <f aca="false">OFFSET(tbl_LoC,251,21,1,1)*OFFSET(tbl_LoC,251,20,1,1)</f>
        <v>#VALUE!</v>
      </c>
      <c r="W252" s="17" t="n">
        <v>103</v>
      </c>
      <c r="X252" s="14" t="e">
        <f aca="false">Y252/(1-0.15)/(1-0.6)</f>
        <v>#N/A</v>
      </c>
      <c r="Y252" s="18" t="e">
        <f aca="false">VLOOKUP(OFFSET(tbl_LoC,251,10,1,1),'[1]List of components'!$C$1:$F$1048576,3,FALSE())</f>
        <v>#N/A</v>
      </c>
      <c r="Z252" s="19" t="n">
        <f aca="false">OFFSET(tbl_LoC,251,22,1,1)*OFFSET(tbl_LoC,251,20,1,1)</f>
        <v>0</v>
      </c>
      <c r="AA252" s="13" t="e">
        <f aca="false">VLOOKUP(OFFSET(tbl_LoC,251,10,1,1),'[1]List of components'!$C$1:$F$1048576,2,FALSE())</f>
        <v>#N/A</v>
      </c>
      <c r="AB252" s="13"/>
      <c r="AC252" s="13"/>
    </row>
    <row r="253" customFormat="false" ht="15" hidden="false" customHeight="false" outlineLevel="0" collapsed="false">
      <c r="A253" s="11"/>
      <c r="B253" s="11" t="s">
        <v>1</v>
      </c>
      <c r="C253" s="11" t="s">
        <v>2</v>
      </c>
      <c r="D253" s="11"/>
      <c r="E253" s="11"/>
      <c r="F253" s="11"/>
      <c r="G253" s="11" t="s">
        <v>6</v>
      </c>
      <c r="H253" s="11"/>
      <c r="I253" s="11"/>
      <c r="J253" s="13" t="s">
        <v>400</v>
      </c>
      <c r="K253" s="13" t="s">
        <v>462</v>
      </c>
      <c r="L253" s="13" t="s">
        <v>577</v>
      </c>
      <c r="M253" s="13" t="s">
        <v>578</v>
      </c>
      <c r="N253" s="14" t="n">
        <f aca="false">OFFSET(tbl_LoC,252,19,1,1)</f>
        <v>0</v>
      </c>
      <c r="O253" s="15"/>
      <c r="P253" s="13"/>
      <c r="Q253" s="13" t="n">
        <v>1</v>
      </c>
      <c r="R253" s="13"/>
      <c r="S253" s="16"/>
      <c r="T253" s="11"/>
      <c r="U253" s="11"/>
      <c r="V253" s="14" t="e">
        <f aca="false">OFFSET(tbl_LoC,252,21,1,1)*OFFSET(tbl_LoC,252,20,1,1)</f>
        <v>#VALUE!</v>
      </c>
      <c r="W253" s="17" t="n">
        <v>103</v>
      </c>
      <c r="X253" s="14" t="n">
        <f aca="false">Y253/(1-0.15)/(1-0.6)</f>
        <v>1323.52941176471</v>
      </c>
      <c r="Y253" s="18" t="n">
        <v>450</v>
      </c>
      <c r="Z253" s="19" t="n">
        <f aca="false">OFFSET(tbl_LoC,252,22,1,1)*OFFSET(tbl_LoC,252,20,1,1)</f>
        <v>0</v>
      </c>
      <c r="AA253" s="13" t="e">
        <f aca="false">VLOOKUP(OFFSET(tbl_LoC,252,10,1,1),'[1]List of components'!$C$1:$F$1048576,2,FALSE())</f>
        <v>#N/A</v>
      </c>
      <c r="AB253" s="13"/>
      <c r="AC253" s="13"/>
    </row>
    <row r="254" customFormat="false" ht="15" hidden="false" customHeight="false" outlineLevel="0" collapsed="false">
      <c r="A254" s="11"/>
      <c r="B254" s="11"/>
      <c r="C254" s="11" t="s">
        <v>2</v>
      </c>
      <c r="D254" s="11"/>
      <c r="E254" s="11"/>
      <c r="F254" s="11"/>
      <c r="G254" s="11" t="s">
        <v>6</v>
      </c>
      <c r="H254" s="11"/>
      <c r="I254" s="11"/>
      <c r="J254" s="13" t="s">
        <v>94</v>
      </c>
      <c r="K254" s="13" t="s">
        <v>170</v>
      </c>
      <c r="L254" s="13" t="s">
        <v>579</v>
      </c>
      <c r="M254" s="13" t="s">
        <v>580</v>
      </c>
      <c r="N254" s="14" t="n">
        <f aca="false">OFFSET(tbl_LoC,253,19,1,1)</f>
        <v>0</v>
      </c>
      <c r="O254" s="15"/>
      <c r="P254" s="13"/>
      <c r="Q254" s="13" t="n">
        <v>120</v>
      </c>
      <c r="R254" s="13"/>
      <c r="S254" s="16"/>
      <c r="T254" s="11"/>
      <c r="U254" s="11"/>
      <c r="V254" s="14" t="e">
        <f aca="false">OFFSET(tbl_LoC,253,21,1,1)*OFFSET(tbl_LoC,253,20,1,1)</f>
        <v>#VALUE!</v>
      </c>
      <c r="W254" s="17" t="n">
        <v>103</v>
      </c>
      <c r="X254" s="14" t="n">
        <f aca="false">Y254/(1-0.15)/(1-0.6)</f>
        <v>1823.52941176471</v>
      </c>
      <c r="Y254" s="18" t="n">
        <v>620</v>
      </c>
      <c r="Z254" s="19" t="n">
        <f aca="false">OFFSET(tbl_LoC,253,22,1,1)*OFFSET(tbl_LoC,253,20,1,1)</f>
        <v>0</v>
      </c>
      <c r="AA254" s="13" t="e">
        <f aca="false">VLOOKUP(OFFSET(tbl_LoC,253,10,1,1),'[1]List of components'!$C$1:$F$1048576,2,FALSE())</f>
        <v>#N/A</v>
      </c>
      <c r="AB254" s="13"/>
      <c r="AC254" s="13"/>
    </row>
    <row r="255" customFormat="false" ht="15" hidden="false" customHeight="false" outlineLevel="0" collapsed="false">
      <c r="A255" s="11" t="s">
        <v>0</v>
      </c>
      <c r="B255" s="11" t="s">
        <v>1</v>
      </c>
      <c r="C255" s="11" t="s">
        <v>2</v>
      </c>
      <c r="D255" s="11" t="s">
        <v>3</v>
      </c>
      <c r="E255" s="11"/>
      <c r="F255" s="11"/>
      <c r="G255" s="11" t="s">
        <v>6</v>
      </c>
      <c r="H255" s="11"/>
      <c r="I255" s="11"/>
      <c r="J255" s="13" t="s">
        <v>256</v>
      </c>
      <c r="K255" s="13" t="s">
        <v>262</v>
      </c>
      <c r="L255" s="13" t="s">
        <v>581</v>
      </c>
      <c r="M255" s="13" t="s">
        <v>582</v>
      </c>
      <c r="N255" s="14" t="n">
        <f aca="false">OFFSET(tbl_LoC,254,19,1,1)</f>
        <v>0</v>
      </c>
      <c r="O255" s="15"/>
      <c r="P255" s="13"/>
      <c r="Q255" s="13" t="n">
        <v>160</v>
      </c>
      <c r="R255" s="13"/>
      <c r="S255" s="16"/>
      <c r="T255" s="11"/>
      <c r="U255" s="11"/>
      <c r="V255" s="14" t="e">
        <f aca="false">OFFSET(tbl_LoC,254,21,1,1)*OFFSET(tbl_LoC,254,20,1,1)</f>
        <v>#VALUE!</v>
      </c>
      <c r="W255" s="17" t="n">
        <v>103</v>
      </c>
      <c r="X255" s="14" t="e">
        <f aca="false">Y255/(1-0.15)/(1-0.6)</f>
        <v>#N/A</v>
      </c>
      <c r="Y255" s="18" t="e">
        <f aca="false">VLOOKUP(OFFSET(tbl_LoC,254,10,1,1),'[1]List of components'!$C$1:$F$1048576,3,FALSE())</f>
        <v>#N/A</v>
      </c>
      <c r="Z255" s="19" t="n">
        <f aca="false">OFFSET(tbl_LoC,254,22,1,1)*OFFSET(tbl_LoC,254,20,1,1)</f>
        <v>0</v>
      </c>
      <c r="AA255" s="13" t="e">
        <f aca="false">VLOOKUP(OFFSET(tbl_LoC,254,10,1,1),'[1]List of components'!$C$1:$F$1048576,2,FALSE())</f>
        <v>#N/A</v>
      </c>
      <c r="AB255" s="13"/>
      <c r="AC255" s="13"/>
    </row>
    <row r="256" customFormat="false" ht="15" hidden="false" customHeight="false" outlineLevel="0" collapsed="false">
      <c r="A256" s="11" t="s">
        <v>0</v>
      </c>
      <c r="B256" s="11" t="s">
        <v>1</v>
      </c>
      <c r="C256" s="11" t="s">
        <v>2</v>
      </c>
      <c r="D256" s="11" t="s">
        <v>3</v>
      </c>
      <c r="E256" s="11"/>
      <c r="F256" s="11"/>
      <c r="G256" s="11" t="s">
        <v>6</v>
      </c>
      <c r="H256" s="11"/>
      <c r="I256" s="11"/>
      <c r="J256" s="13" t="s">
        <v>400</v>
      </c>
      <c r="K256" s="13" t="s">
        <v>415</v>
      </c>
      <c r="L256" s="13" t="s">
        <v>583</v>
      </c>
      <c r="M256" s="13" t="s">
        <v>584</v>
      </c>
      <c r="N256" s="14" t="n">
        <f aca="false">OFFSET(tbl_LoC,255,19,1,1)</f>
        <v>0</v>
      </c>
      <c r="O256" s="15"/>
      <c r="P256" s="13"/>
      <c r="Q256" s="13" t="n">
        <v>9</v>
      </c>
      <c r="R256" s="13"/>
      <c r="S256" s="16"/>
      <c r="T256" s="11"/>
      <c r="U256" s="11"/>
      <c r="V256" s="14" t="e">
        <f aca="false">OFFSET(tbl_LoC,255,21,1,1)*OFFSET(tbl_LoC,255,20,1,1)</f>
        <v>#VALUE!</v>
      </c>
      <c r="W256" s="17" t="n">
        <v>103</v>
      </c>
      <c r="X256" s="14" t="e">
        <f aca="false">Y256/(1-0.15)/(1-0.6)</f>
        <v>#N/A</v>
      </c>
      <c r="Y256" s="18" t="e">
        <f aca="false">VLOOKUP(OFFSET(tbl_LoC,255,10,1,1),'[1]List of components'!$C$1:$F$1048576,3,FALSE())</f>
        <v>#N/A</v>
      </c>
      <c r="Z256" s="19" t="n">
        <f aca="false">OFFSET(tbl_LoC,255,22,1,1)*OFFSET(tbl_LoC,255,20,1,1)</f>
        <v>0</v>
      </c>
      <c r="AA256" s="13" t="e">
        <f aca="false">VLOOKUP(OFFSET(tbl_LoC,255,10,1,1),'[1]List of components'!$C$1:$F$1048576,2,FALSE())</f>
        <v>#N/A</v>
      </c>
      <c r="AB256" s="13"/>
      <c r="AC256" s="13"/>
    </row>
    <row r="257" customFormat="false" ht="15" hidden="false" customHeight="false" outlineLevel="0" collapsed="false">
      <c r="A257" s="11" t="s">
        <v>0</v>
      </c>
      <c r="B257" s="11" t="s">
        <v>1</v>
      </c>
      <c r="C257" s="11" t="s">
        <v>2</v>
      </c>
      <c r="D257" s="11" t="s">
        <v>3</v>
      </c>
      <c r="E257" s="11"/>
      <c r="F257" s="11"/>
      <c r="G257" s="11" t="s">
        <v>6</v>
      </c>
      <c r="H257" s="11"/>
      <c r="I257" s="11"/>
      <c r="J257" s="13" t="s">
        <v>400</v>
      </c>
      <c r="K257" s="13" t="s">
        <v>415</v>
      </c>
      <c r="L257" s="13" t="s">
        <v>585</v>
      </c>
      <c r="M257" s="13" t="s">
        <v>586</v>
      </c>
      <c r="N257" s="14" t="n">
        <f aca="false">OFFSET(tbl_LoC,256,19,1,1)</f>
        <v>0</v>
      </c>
      <c r="O257" s="15"/>
      <c r="P257" s="13"/>
      <c r="Q257" s="13" t="n">
        <v>9</v>
      </c>
      <c r="R257" s="13"/>
      <c r="S257" s="16"/>
      <c r="T257" s="11"/>
      <c r="U257" s="11"/>
      <c r="V257" s="14" t="e">
        <f aca="false">OFFSET(tbl_LoC,256,21,1,1)*OFFSET(tbl_LoC,256,20,1,1)</f>
        <v>#VALUE!</v>
      </c>
      <c r="W257" s="17" t="n">
        <v>103</v>
      </c>
      <c r="X257" s="14" t="e">
        <f aca="false">Y257/(1-0.15)/(1-0.6)</f>
        <v>#N/A</v>
      </c>
      <c r="Y257" s="18" t="e">
        <f aca="false">VLOOKUP(OFFSET(tbl_LoC,256,10,1,1),'[1]List of components'!$C$1:$F$1048576,3,FALSE())</f>
        <v>#N/A</v>
      </c>
      <c r="Z257" s="19" t="n">
        <f aca="false">OFFSET(tbl_LoC,256,22,1,1)*OFFSET(tbl_LoC,256,20,1,1)</f>
        <v>0</v>
      </c>
      <c r="AA257" s="13" t="e">
        <f aca="false">VLOOKUP(OFFSET(tbl_LoC,256,10,1,1),'[1]List of components'!$C$1:$F$1048576,2,FALSE())</f>
        <v>#N/A</v>
      </c>
      <c r="AB257" s="13"/>
      <c r="AC257" s="13"/>
    </row>
    <row r="258" customFormat="false" ht="15" hidden="false" customHeight="false" outlineLevel="0" collapsed="false">
      <c r="A258" s="11" t="s">
        <v>0</v>
      </c>
      <c r="B258" s="11" t="s">
        <v>1</v>
      </c>
      <c r="C258" s="11" t="s">
        <v>2</v>
      </c>
      <c r="D258" s="11" t="s">
        <v>3</v>
      </c>
      <c r="E258" s="11" t="s">
        <v>4</v>
      </c>
      <c r="F258" s="11"/>
      <c r="G258" s="11" t="s">
        <v>6</v>
      </c>
      <c r="H258" s="11"/>
      <c r="I258" s="11"/>
      <c r="J258" s="13" t="s">
        <v>400</v>
      </c>
      <c r="K258" s="13" t="s">
        <v>415</v>
      </c>
      <c r="L258" s="13" t="s">
        <v>587</v>
      </c>
      <c r="M258" s="13" t="s">
        <v>588</v>
      </c>
      <c r="N258" s="14" t="n">
        <f aca="false">OFFSET(tbl_LoC,257,19,1,1)</f>
        <v>0</v>
      </c>
      <c r="O258" s="15"/>
      <c r="P258" s="13"/>
      <c r="Q258" s="13" t="n">
        <v>9</v>
      </c>
      <c r="R258" s="13"/>
      <c r="S258" s="16"/>
      <c r="T258" s="11"/>
      <c r="U258" s="11"/>
      <c r="V258" s="14" t="e">
        <f aca="false">OFFSET(tbl_LoC,257,21,1,1)*OFFSET(tbl_LoC,257,20,1,1)</f>
        <v>#VALUE!</v>
      </c>
      <c r="W258" s="17" t="n">
        <v>103</v>
      </c>
      <c r="X258" s="14" t="n">
        <f aca="false">Y258/(1-0.15)/(1-0.6)</f>
        <v>1352.94117647059</v>
      </c>
      <c r="Y258" s="18" t="n">
        <v>460</v>
      </c>
      <c r="Z258" s="19" t="n">
        <f aca="false">OFFSET(tbl_LoC,257,22,1,1)*OFFSET(tbl_LoC,257,20,1,1)</f>
        <v>0</v>
      </c>
      <c r="AA258" s="13" t="e">
        <f aca="false">VLOOKUP(OFFSET(tbl_LoC,257,10,1,1),'[1]List of components'!$C$1:$F$1048576,2,FALSE())</f>
        <v>#N/A</v>
      </c>
      <c r="AB258" s="13"/>
      <c r="AC258" s="13"/>
    </row>
    <row r="259" customFormat="false" ht="15" hidden="false" customHeight="false" outlineLevel="0" collapsed="false">
      <c r="A259" s="11" t="s">
        <v>0</v>
      </c>
      <c r="B259" s="11" t="s">
        <v>1</v>
      </c>
      <c r="C259" s="11" t="s">
        <v>2</v>
      </c>
      <c r="D259" s="11" t="s">
        <v>3</v>
      </c>
      <c r="E259" s="11" t="s">
        <v>4</v>
      </c>
      <c r="F259" s="11"/>
      <c r="G259" s="11" t="s">
        <v>6</v>
      </c>
      <c r="H259" s="11"/>
      <c r="I259" s="11"/>
      <c r="J259" s="13" t="s">
        <v>400</v>
      </c>
      <c r="K259" s="13" t="s">
        <v>415</v>
      </c>
      <c r="L259" s="13" t="s">
        <v>589</v>
      </c>
      <c r="M259" s="13" t="s">
        <v>590</v>
      </c>
      <c r="N259" s="14" t="n">
        <f aca="false">OFFSET(tbl_LoC,258,19,1,1)</f>
        <v>0</v>
      </c>
      <c r="O259" s="15"/>
      <c r="P259" s="13"/>
      <c r="Q259" s="13" t="n">
        <v>9</v>
      </c>
      <c r="R259" s="13"/>
      <c r="S259" s="16"/>
      <c r="T259" s="11"/>
      <c r="U259" s="11"/>
      <c r="V259" s="14" t="e">
        <f aca="false">OFFSET(tbl_LoC,258,21,1,1)*OFFSET(tbl_LoC,258,20,1,1)</f>
        <v>#VALUE!</v>
      </c>
      <c r="W259" s="17" t="n">
        <v>103</v>
      </c>
      <c r="X259" s="14" t="e">
        <f aca="false">Y259/(1-0.15)/(1-0.6)</f>
        <v>#N/A</v>
      </c>
      <c r="Y259" s="18" t="e">
        <f aca="false">VLOOKUP(OFFSET(tbl_LoC,258,10,1,1),'[1]List of components'!$C$1:$F$1048576,3,FALSE())</f>
        <v>#N/A</v>
      </c>
      <c r="Z259" s="19" t="n">
        <f aca="false">OFFSET(tbl_LoC,258,22,1,1)*OFFSET(tbl_LoC,258,20,1,1)</f>
        <v>0</v>
      </c>
      <c r="AA259" s="13" t="e">
        <f aca="false">VLOOKUP(OFFSET(tbl_LoC,258,10,1,1),'[1]List of components'!$C$1:$F$1048576,2,FALSE())</f>
        <v>#N/A</v>
      </c>
      <c r="AB259" s="13"/>
      <c r="AC259" s="13"/>
    </row>
    <row r="260" customFormat="false" ht="15" hidden="false" customHeight="false" outlineLevel="0" collapsed="false">
      <c r="A260" s="11" t="s">
        <v>0</v>
      </c>
      <c r="B260" s="11" t="s">
        <v>1</v>
      </c>
      <c r="C260" s="11"/>
      <c r="D260" s="11"/>
      <c r="E260" s="11"/>
      <c r="F260" s="11"/>
      <c r="G260" s="11"/>
      <c r="H260" s="11"/>
      <c r="I260" s="11"/>
      <c r="J260" s="13" t="s">
        <v>94</v>
      </c>
      <c r="K260" s="13" t="s">
        <v>170</v>
      </c>
      <c r="L260" s="13" t="s">
        <v>591</v>
      </c>
      <c r="M260" s="13" t="s">
        <v>592</v>
      </c>
      <c r="N260" s="14" t="n">
        <f aca="false">OFFSET(tbl_LoC,259,19,1,1)</f>
        <v>0</v>
      </c>
      <c r="O260" s="15"/>
      <c r="P260" s="13"/>
      <c r="Q260" s="13"/>
      <c r="R260" s="13"/>
      <c r="S260" s="16"/>
      <c r="T260" s="11"/>
      <c r="U260" s="11"/>
      <c r="V260" s="14" t="e">
        <f aca="false">OFFSET(tbl_LoC,259,21,1,1)*OFFSET(tbl_LoC,259,20,1,1)</f>
        <v>#VALUE!</v>
      </c>
      <c r="W260" s="17" t="n">
        <v>103</v>
      </c>
      <c r="X260" s="14" t="n">
        <f aca="false">Y260/(1-0.15)/(1-0.6)</f>
        <v>6176.47058823529</v>
      </c>
      <c r="Y260" s="18" t="n">
        <v>2100</v>
      </c>
      <c r="Z260" s="29" t="n">
        <f aca="false">OFFSET(tbl_LoC,259,22,1,1)*OFFSET(tbl_LoC,259,20,1,1)</f>
        <v>0</v>
      </c>
      <c r="AA260" s="13" t="e">
        <f aca="false">VLOOKUP(OFFSET(tbl_LoC,259,10,1,1),'[1]List of components'!$C$1:$F$1048576,2,FALSE())</f>
        <v>#N/A</v>
      </c>
      <c r="AB260" s="13"/>
      <c r="AC260" s="13"/>
    </row>
    <row r="261" customFormat="false" ht="15" hidden="false" customHeight="false" outlineLevel="0" collapsed="false">
      <c r="A261" s="11" t="s">
        <v>0</v>
      </c>
      <c r="B261" s="11" t="s">
        <v>1</v>
      </c>
      <c r="C261" s="11"/>
      <c r="D261" s="11"/>
      <c r="E261" s="11"/>
      <c r="F261" s="11"/>
      <c r="G261" s="11"/>
      <c r="H261" s="11"/>
      <c r="I261" s="11"/>
      <c r="J261" s="13" t="s">
        <v>94</v>
      </c>
      <c r="K261" s="13" t="s">
        <v>170</v>
      </c>
      <c r="L261" s="13" t="s">
        <v>593</v>
      </c>
      <c r="M261" s="13" t="s">
        <v>594</v>
      </c>
      <c r="N261" s="14" t="n">
        <f aca="false">OFFSET(tbl_LoC,260,19,1,1)</f>
        <v>0</v>
      </c>
      <c r="O261" s="15"/>
      <c r="P261" s="13"/>
      <c r="Q261" s="13"/>
      <c r="R261" s="13"/>
      <c r="S261" s="16"/>
      <c r="T261" s="11"/>
      <c r="U261" s="11"/>
      <c r="V261" s="14" t="e">
        <f aca="false">OFFSET(tbl_LoC,260,21,1,1)*OFFSET(tbl_LoC,260,20,1,1)</f>
        <v>#VALUE!</v>
      </c>
      <c r="W261" s="17" t="n">
        <v>103</v>
      </c>
      <c r="X261" s="14" t="n">
        <f aca="false">Y261/(1-0.15)/(1-0.6)</f>
        <v>7647.05882352941</v>
      </c>
      <c r="Y261" s="18" t="n">
        <v>2600</v>
      </c>
      <c r="Z261" s="19" t="n">
        <f aca="false">OFFSET(tbl_LoC,260,22,1,1)*OFFSET(tbl_LoC,260,20,1,1)</f>
        <v>0</v>
      </c>
      <c r="AA261" s="13" t="e">
        <f aca="false">VLOOKUP(OFFSET(tbl_LoC,260,10,1,1),'[1]List of components'!$C$1:$F$1048576,2,FALSE())</f>
        <v>#N/A</v>
      </c>
      <c r="AB261" s="13"/>
      <c r="AC261" s="13"/>
    </row>
    <row r="262" customFormat="false" ht="15" hidden="false" customHeight="false" outlineLevel="0" collapsed="false">
      <c r="A262" s="11" t="s">
        <v>0</v>
      </c>
      <c r="B262" s="11" t="s">
        <v>1</v>
      </c>
      <c r="C262" s="11" t="s">
        <v>2</v>
      </c>
      <c r="D262" s="11" t="s">
        <v>3</v>
      </c>
      <c r="E262" s="12" t="s">
        <v>4</v>
      </c>
      <c r="F262" s="11"/>
      <c r="G262" s="11" t="s">
        <v>6</v>
      </c>
      <c r="H262" s="11"/>
      <c r="I262" s="11"/>
      <c r="J262" s="13" t="s">
        <v>400</v>
      </c>
      <c r="K262" s="13" t="s">
        <v>506</v>
      </c>
      <c r="L262" s="13" t="s">
        <v>595</v>
      </c>
      <c r="M262" s="13" t="s">
        <v>596</v>
      </c>
      <c r="N262" s="14" t="n">
        <f aca="false">OFFSET(tbl_LoC,261,19,1,1)</f>
        <v>0</v>
      </c>
      <c r="O262" s="15"/>
      <c r="P262" s="13"/>
      <c r="Q262" s="13" t="n">
        <v>3</v>
      </c>
      <c r="R262" s="13"/>
      <c r="S262" s="16"/>
      <c r="T262" s="12"/>
      <c r="U262" s="12"/>
      <c r="V262" s="14" t="e">
        <f aca="false">OFFSET(tbl_LoC,261,21,1,1)*OFFSET(tbl_LoC,261,20,1,1)</f>
        <v>#VALUE!</v>
      </c>
      <c r="W262" s="17" t="n">
        <v>103</v>
      </c>
      <c r="X262" s="14" t="e">
        <f aca="false">Y262/(1-0.15)/(1-0.6)</f>
        <v>#N/A</v>
      </c>
      <c r="Y262" s="18" t="e">
        <f aca="false">VLOOKUP(OFFSET(tbl_LoC,261,10,1,1),'[1]List of components'!$C$1:$F$1048576,3,FALSE())</f>
        <v>#N/A</v>
      </c>
      <c r="Z262" s="19" t="n">
        <f aca="false">OFFSET(tbl_LoC,261,22,1,1)*OFFSET(tbl_LoC,261,20,1,1)</f>
        <v>0</v>
      </c>
      <c r="AA262" s="13" t="e">
        <f aca="false">VLOOKUP(OFFSET(tbl_LoC,261,10,1,1),'[1]List of components'!$C$1:$F$1048576,2,FALSE())</f>
        <v>#N/A</v>
      </c>
      <c r="AB262" s="13"/>
      <c r="AC262" s="13"/>
    </row>
    <row r="263" customFormat="false" ht="99.95" hidden="false" customHeight="false" outlineLevel="0" collapsed="false">
      <c r="A263" s="11" t="s">
        <v>0</v>
      </c>
      <c r="B263" s="11"/>
      <c r="C263" s="11"/>
      <c r="D263" s="11"/>
      <c r="E263" s="11"/>
      <c r="F263" s="11"/>
      <c r="G263" s="11"/>
      <c r="H263" s="11"/>
      <c r="I263" s="11"/>
      <c r="J263" s="13" t="s">
        <v>32</v>
      </c>
      <c r="K263" s="13"/>
      <c r="L263" s="13" t="s">
        <v>597</v>
      </c>
      <c r="M263" s="13" t="s">
        <v>598</v>
      </c>
      <c r="N263" s="14" t="n">
        <f aca="false">OFFSET(tbl_LoC,262,19,1,1)</f>
        <v>0</v>
      </c>
      <c r="O263" s="15" t="s">
        <v>599</v>
      </c>
      <c r="P263" s="13" t="s">
        <v>600</v>
      </c>
      <c r="Q263" s="13" t="n">
        <v>150</v>
      </c>
      <c r="R263" s="13"/>
      <c r="S263" s="16"/>
      <c r="T263" s="11"/>
      <c r="U263" s="11"/>
      <c r="V263" s="14" t="e">
        <f aca="false">OFFSET(tbl_LoC,262,21,1,1)*OFFSET(tbl_LoC,262,20,1,1)</f>
        <v>#VALUE!</v>
      </c>
      <c r="W263" s="17" t="n">
        <v>103</v>
      </c>
      <c r="X263" s="14" t="n">
        <f aca="false">Y263/(1-0.15)/(1-0.6)</f>
        <v>6881.94117647059</v>
      </c>
      <c r="Y263" s="18" t="n">
        <v>2339.86</v>
      </c>
      <c r="Z263" s="19" t="n">
        <f aca="false">OFFSET(tbl_LoC,262,22,1,1)*OFFSET(tbl_LoC,262,20,1,1)</f>
        <v>0</v>
      </c>
      <c r="AA263" s="13" t="str">
        <f aca="false">VLOOKUP(OFFSET(tbl_LoC,262,10,1,1),'[1]List of components'!$C$1:$F$1048576,2,FALSE())</f>
        <v/>
      </c>
      <c r="AB263" s="13"/>
      <c r="AC263" s="13" t="n">
        <v>31212</v>
      </c>
    </row>
    <row r="264" customFormat="false" ht="99.95" hidden="false" customHeight="false" outlineLevel="0" collapsed="false">
      <c r="A264" s="11" t="s">
        <v>0</v>
      </c>
      <c r="B264" s="11"/>
      <c r="C264" s="11"/>
      <c r="D264" s="11"/>
      <c r="E264" s="11"/>
      <c r="F264" s="11"/>
      <c r="G264" s="11"/>
      <c r="H264" s="11"/>
      <c r="I264" s="11"/>
      <c r="J264" s="13" t="s">
        <v>32</v>
      </c>
      <c r="K264" s="13"/>
      <c r="L264" s="13" t="s">
        <v>48</v>
      </c>
      <c r="M264" s="13" t="s">
        <v>601</v>
      </c>
      <c r="N264" s="14" t="n">
        <f aca="false">OFFSET(tbl_LoC,263,19,1,1)</f>
        <v>0</v>
      </c>
      <c r="O264" s="15" t="s">
        <v>602</v>
      </c>
      <c r="P264" s="13" t="s">
        <v>603</v>
      </c>
      <c r="Q264" s="13" t="n">
        <v>150</v>
      </c>
      <c r="R264" s="13"/>
      <c r="S264" s="16"/>
      <c r="T264" s="11"/>
      <c r="U264" s="11"/>
      <c r="V264" s="14" t="e">
        <f aca="false">OFFSET(tbl_LoC,263,21,1,1)*OFFSET(tbl_LoC,263,20,1,1)</f>
        <v>#VALUE!</v>
      </c>
      <c r="W264" s="17" t="n">
        <v>103</v>
      </c>
      <c r="X264" s="14" t="n">
        <f aca="false">Y264/(1-0.15)/(1-0.6)</f>
        <v>6441.29411764706</v>
      </c>
      <c r="Y264" s="18" t="n">
        <v>2190.04</v>
      </c>
      <c r="Z264" s="19" t="n">
        <f aca="false">OFFSET(tbl_LoC,263,22,1,1)*OFFSET(tbl_LoC,263,20,1,1)</f>
        <v>0</v>
      </c>
      <c r="AA264" s="13" t="str">
        <f aca="false">VLOOKUP(OFFSET(tbl_LoC,263,10,1,1),'[1]List of components'!$C$1:$F$1048576,2,FALSE())</f>
        <v/>
      </c>
      <c r="AB264" s="13"/>
      <c r="AC264" s="13" t="n">
        <v>31211</v>
      </c>
    </row>
    <row r="265" customFormat="false" ht="83.55" hidden="false" customHeight="false" outlineLevel="0" collapsed="false">
      <c r="A265" s="11" t="s">
        <v>0</v>
      </c>
      <c r="B265" s="11"/>
      <c r="C265" s="11"/>
      <c r="D265" s="11"/>
      <c r="E265" s="11"/>
      <c r="F265" s="11"/>
      <c r="G265" s="11"/>
      <c r="H265" s="11"/>
      <c r="I265" s="11"/>
      <c r="J265" s="13" t="s">
        <v>32</v>
      </c>
      <c r="K265" s="13"/>
      <c r="L265" s="13" t="s">
        <v>597</v>
      </c>
      <c r="M265" s="13" t="s">
        <v>604</v>
      </c>
      <c r="N265" s="25" t="e">
        <f aca="false">V265</f>
        <v>#VALUE!</v>
      </c>
      <c r="O265" s="15" t="s">
        <v>605</v>
      </c>
      <c r="P265" s="13" t="s">
        <v>606</v>
      </c>
      <c r="Q265" s="13" t="n">
        <v>170</v>
      </c>
      <c r="R265" s="13"/>
      <c r="S265" s="16"/>
      <c r="T265" s="11"/>
      <c r="U265" s="11"/>
      <c r="V265" s="14" t="e">
        <f aca="false">OFFSET(tbl_LoC,264,21,1,1)*OFFSET(tbl_LoC,264,20,1,1)</f>
        <v>#VALUE!</v>
      </c>
      <c r="W265" s="17" t="n">
        <v>103</v>
      </c>
      <c r="X265" s="14" t="n">
        <f aca="false">Y265/(1-0.15)/(1-0.6)</f>
        <v>9382.35294117647</v>
      </c>
      <c r="Y265" s="18" t="n">
        <v>3190</v>
      </c>
      <c r="Z265" s="19" t="n">
        <f aca="false">OFFSET(tbl_LoC,264,22,1,1)*OFFSET(tbl_LoC,264,20,1,1)</f>
        <v>0</v>
      </c>
      <c r="AA265" s="13" t="str">
        <f aca="false">VLOOKUP(OFFSET(tbl_LoC,264,10,1,1),'[1]List of components'!$C$1:$F$1048576,2,FALSE())</f>
        <v/>
      </c>
      <c r="AB265" s="13"/>
      <c r="AC265" s="13" t="n">
        <v>34896</v>
      </c>
    </row>
    <row r="266" customFormat="false" ht="83.55" hidden="false" customHeight="false" outlineLevel="0" collapsed="false">
      <c r="A266" s="11" t="s">
        <v>0</v>
      </c>
      <c r="B266" s="11"/>
      <c r="C266" s="11"/>
      <c r="D266" s="11"/>
      <c r="E266" s="11"/>
      <c r="F266" s="11"/>
      <c r="G266" s="11"/>
      <c r="H266" s="11"/>
      <c r="I266" s="11"/>
      <c r="J266" s="13" t="s">
        <v>32</v>
      </c>
      <c r="K266" s="13"/>
      <c r="L266" s="13" t="s">
        <v>48</v>
      </c>
      <c r="M266" s="13" t="s">
        <v>607</v>
      </c>
      <c r="N266" s="25" t="e">
        <f aca="false">V266</f>
        <v>#VALUE!</v>
      </c>
      <c r="O266" s="15" t="s">
        <v>608</v>
      </c>
      <c r="P266" s="13" t="s">
        <v>609</v>
      </c>
      <c r="Q266" s="13" t="n">
        <v>170</v>
      </c>
      <c r="R266" s="13"/>
      <c r="S266" s="16"/>
      <c r="T266" s="11"/>
      <c r="U266" s="11"/>
      <c r="V266" s="14" t="e">
        <f aca="false">OFFSET(tbl_LoC,265,21,1,1)*OFFSET(tbl_LoC,265,20,1,1)</f>
        <v>#VALUE!</v>
      </c>
      <c r="W266" s="17" t="n">
        <v>103</v>
      </c>
      <c r="X266" s="14" t="n">
        <f aca="false">Y266/(1-0.15)/(1-0.6)</f>
        <v>7885.5</v>
      </c>
      <c r="Y266" s="18" t="n">
        <v>2681.07</v>
      </c>
      <c r="Z266" s="19" t="n">
        <f aca="false">OFFSET(tbl_LoC,265,22,1,1)*OFFSET(tbl_LoC,265,20,1,1)</f>
        <v>0</v>
      </c>
      <c r="AA266" s="13" t="str">
        <f aca="false">VLOOKUP(OFFSET(tbl_LoC,265,10,1,1),'[1]List of components'!$C$1:$F$1048576,2,FALSE())</f>
        <v/>
      </c>
      <c r="AB266" s="13"/>
      <c r="AC266" s="13" t="n">
        <v>31616</v>
      </c>
    </row>
    <row r="267" customFormat="false" ht="102.6" hidden="false" customHeight="false" outlineLevel="0" collapsed="false">
      <c r="A267" s="11" t="s">
        <v>0</v>
      </c>
      <c r="B267" s="11"/>
      <c r="C267" s="11"/>
      <c r="D267" s="11"/>
      <c r="E267" s="11"/>
      <c r="F267" s="11"/>
      <c r="G267" s="11"/>
      <c r="H267" s="11"/>
      <c r="I267" s="11"/>
      <c r="J267" s="13" t="s">
        <v>32</v>
      </c>
      <c r="K267" s="13"/>
      <c r="L267" s="13" t="s">
        <v>44</v>
      </c>
      <c r="M267" s="13" t="s">
        <v>610</v>
      </c>
      <c r="N267" s="14" t="n">
        <f aca="false">OFFSET(tbl_LoC,266,19,1,1)</f>
        <v>0</v>
      </c>
      <c r="O267" s="15" t="s">
        <v>611</v>
      </c>
      <c r="P267" s="13" t="s">
        <v>612</v>
      </c>
      <c r="Q267" s="13" t="n">
        <v>150</v>
      </c>
      <c r="R267" s="13"/>
      <c r="S267" s="16"/>
      <c r="T267" s="11"/>
      <c r="U267" s="11"/>
      <c r="V267" s="14" t="e">
        <f aca="false">OFFSET(tbl_LoC,266,21,1,1)*OFFSET(tbl_LoC,266,20,1,1)</f>
        <v>#VALUE!</v>
      </c>
      <c r="W267" s="17" t="n">
        <v>103</v>
      </c>
      <c r="X267" s="14" t="n">
        <f aca="false">Y267/(1-0.15)/(1-0.6)</f>
        <v>6470.58823529412</v>
      </c>
      <c r="Y267" s="18" t="n">
        <v>2200</v>
      </c>
      <c r="Z267" s="19" t="n">
        <f aca="false">OFFSET(tbl_LoC,266,22,1,1)*OFFSET(tbl_LoC,266,20,1,1)</f>
        <v>0</v>
      </c>
      <c r="AA267" s="13" t="str">
        <f aca="false">VLOOKUP(OFFSET(tbl_LoC,266,10,1,1),'[1]List of components'!$C$1:$F$1048576,2,FALSE())</f>
        <v/>
      </c>
      <c r="AB267" s="13"/>
      <c r="AC267" s="13" t="n">
        <v>31213</v>
      </c>
    </row>
    <row r="268" customFormat="false" ht="85.8" hidden="false" customHeight="false" outlineLevel="0" collapsed="false">
      <c r="A268" s="11" t="s">
        <v>0</v>
      </c>
      <c r="B268" s="11"/>
      <c r="C268" s="11"/>
      <c r="D268" s="11"/>
      <c r="E268" s="11"/>
      <c r="F268" s="11"/>
      <c r="G268" s="11"/>
      <c r="H268" s="11"/>
      <c r="I268" s="11"/>
      <c r="J268" s="13" t="s">
        <v>32</v>
      </c>
      <c r="K268" s="13"/>
      <c r="L268" s="13" t="s">
        <v>44</v>
      </c>
      <c r="M268" s="13" t="s">
        <v>613</v>
      </c>
      <c r="N268" s="25" t="e">
        <f aca="false">V268</f>
        <v>#VALUE!</v>
      </c>
      <c r="O268" s="15" t="s">
        <v>614</v>
      </c>
      <c r="P268" s="13" t="s">
        <v>615</v>
      </c>
      <c r="Q268" s="13" t="n">
        <v>170</v>
      </c>
      <c r="R268" s="13"/>
      <c r="S268" s="16"/>
      <c r="T268" s="11"/>
      <c r="U268" s="11"/>
      <c r="V268" s="14" t="e">
        <f aca="false">OFFSET(tbl_LoC,267,21,1,1)*OFFSET(tbl_LoC,267,20,1,1)</f>
        <v>#VALUE!</v>
      </c>
      <c r="W268" s="17" t="n">
        <v>103</v>
      </c>
      <c r="X268" s="14" t="n">
        <f aca="false">Y268/(1-0.15)/(1-0.6)</f>
        <v>8947.55882352941</v>
      </c>
      <c r="Y268" s="18" t="n">
        <v>3042.17</v>
      </c>
      <c r="Z268" s="19" t="n">
        <f aca="false">OFFSET(tbl_LoC,267,22,1,1)*OFFSET(tbl_LoC,267,20,1,1)</f>
        <v>0</v>
      </c>
      <c r="AA268" s="13" t="str">
        <f aca="false">VLOOKUP(OFFSET(tbl_LoC,267,10,1,1),'[1]List of components'!$C$1:$F$1048576,2,FALSE())</f>
        <v/>
      </c>
      <c r="AB268" s="13"/>
      <c r="AC268" s="13" t="n">
        <v>36088</v>
      </c>
    </row>
    <row r="269" customFormat="false" ht="99.95" hidden="false" customHeight="false" outlineLevel="0" collapsed="false">
      <c r="A269" s="11" t="s">
        <v>0</v>
      </c>
      <c r="B269" s="11"/>
      <c r="C269" s="11"/>
      <c r="D269" s="11"/>
      <c r="E269" s="11"/>
      <c r="F269" s="11"/>
      <c r="G269" s="11"/>
      <c r="H269" s="11"/>
      <c r="I269" s="11"/>
      <c r="J269" s="13" t="s">
        <v>32</v>
      </c>
      <c r="K269" s="13"/>
      <c r="L269" s="13" t="s">
        <v>40</v>
      </c>
      <c r="M269" s="13" t="s">
        <v>616</v>
      </c>
      <c r="N269" s="14" t="n">
        <f aca="false">OFFSET(tbl_LoC,268,19,1,1)</f>
        <v>0</v>
      </c>
      <c r="O269" s="15" t="s">
        <v>617</v>
      </c>
      <c r="P269" s="13" t="s">
        <v>618</v>
      </c>
      <c r="Q269" s="13" t="n">
        <v>150</v>
      </c>
      <c r="R269" s="13"/>
      <c r="S269" s="16"/>
      <c r="T269" s="11"/>
      <c r="U269" s="11"/>
      <c r="V269" s="14" t="e">
        <f aca="false">OFFSET(tbl_LoC,268,21,1,1)*OFFSET(tbl_LoC,268,20,1,1)</f>
        <v>#VALUE!</v>
      </c>
      <c r="W269" s="17" t="n">
        <v>103</v>
      </c>
      <c r="X269" s="14" t="n">
        <f aca="false">Y269/(1-0.15)/(1-0.6)</f>
        <v>8420.20588235294</v>
      </c>
      <c r="Y269" s="18" t="n">
        <v>2862.87</v>
      </c>
      <c r="Z269" s="19" t="n">
        <f aca="false">OFFSET(tbl_LoC,268,22,1,1)*OFFSET(tbl_LoC,268,20,1,1)</f>
        <v>0</v>
      </c>
      <c r="AA269" s="13" t="str">
        <f aca="false">VLOOKUP(OFFSET(tbl_LoC,268,10,1,1),'[1]List of components'!$C$1:$F$1048576,2,FALSE())</f>
        <v/>
      </c>
      <c r="AB269" s="13"/>
      <c r="AC269" s="13" t="n">
        <v>29004</v>
      </c>
    </row>
    <row r="270" customFormat="false" ht="99.95" hidden="false" customHeight="false" outlineLevel="0" collapsed="false">
      <c r="A270" s="11" t="s">
        <v>0</v>
      </c>
      <c r="B270" s="11"/>
      <c r="C270" s="11"/>
      <c r="D270" s="11"/>
      <c r="E270" s="11"/>
      <c r="F270" s="11"/>
      <c r="G270" s="11"/>
      <c r="H270" s="11"/>
      <c r="I270" s="11"/>
      <c r="J270" s="13" t="s">
        <v>32</v>
      </c>
      <c r="K270" s="13"/>
      <c r="L270" s="13" t="s">
        <v>40</v>
      </c>
      <c r="M270" s="13" t="s">
        <v>619</v>
      </c>
      <c r="N270" s="25" t="e">
        <f aca="false">V270</f>
        <v>#VALUE!</v>
      </c>
      <c r="O270" s="15" t="s">
        <v>620</v>
      </c>
      <c r="P270" s="13" t="s">
        <v>621</v>
      </c>
      <c r="Q270" s="13" t="n">
        <v>170</v>
      </c>
      <c r="R270" s="13"/>
      <c r="S270" s="16"/>
      <c r="T270" s="11"/>
      <c r="U270" s="11"/>
      <c r="V270" s="14" t="e">
        <f aca="false">OFFSET(tbl_LoC,269,21,1,1)*OFFSET(tbl_LoC,269,20,1,1)</f>
        <v>#VALUE!</v>
      </c>
      <c r="W270" s="17" t="n">
        <v>103</v>
      </c>
      <c r="X270" s="14" t="n">
        <f aca="false">Y270/(1-0.15)/(1-0.6)</f>
        <v>12543.7058823529</v>
      </c>
      <c r="Y270" s="18" t="n">
        <v>4264.86</v>
      </c>
      <c r="Z270" s="19" t="n">
        <f aca="false">OFFSET(tbl_LoC,269,22,1,1)*OFFSET(tbl_LoC,269,20,1,1)</f>
        <v>0</v>
      </c>
      <c r="AA270" s="13" t="str">
        <f aca="false">VLOOKUP(OFFSET(tbl_LoC,269,10,1,1),'[1]List of components'!$C$1:$F$1048576,2,FALSE())</f>
        <v/>
      </c>
      <c r="AB270" s="13"/>
      <c r="AC270" s="13" t="n">
        <v>38131</v>
      </c>
    </row>
    <row r="271" customFormat="false" ht="99.95" hidden="false" customHeight="false" outlineLevel="0" collapsed="false">
      <c r="A271" s="11" t="s">
        <v>0</v>
      </c>
      <c r="B271" s="11"/>
      <c r="C271" s="11"/>
      <c r="D271" s="11"/>
      <c r="E271" s="11"/>
      <c r="F271" s="11"/>
      <c r="G271" s="11"/>
      <c r="H271" s="11"/>
      <c r="I271" s="11"/>
      <c r="J271" s="13" t="s">
        <v>32</v>
      </c>
      <c r="K271" s="13"/>
      <c r="L271" s="13" t="s">
        <v>622</v>
      </c>
      <c r="M271" s="13" t="s">
        <v>623</v>
      </c>
      <c r="N271" s="14" t="n">
        <f aca="false">OFFSET(tbl_LoC,270,19,1,1)</f>
        <v>0</v>
      </c>
      <c r="O271" s="15" t="s">
        <v>624</v>
      </c>
      <c r="P271" s="13" t="s">
        <v>625</v>
      </c>
      <c r="Q271" s="13" t="n">
        <v>170</v>
      </c>
      <c r="R271" s="13"/>
      <c r="S271" s="16"/>
      <c r="T271" s="11"/>
      <c r="U271" s="11"/>
      <c r="V271" s="14" t="e">
        <f aca="false">OFFSET(tbl_LoC,270,21,1,1)*OFFSET(tbl_LoC,270,20,1,1)</f>
        <v>#VALUE!</v>
      </c>
      <c r="W271" s="17" t="n">
        <v>103</v>
      </c>
      <c r="X271" s="14" t="n">
        <f aca="false">Y271/(1-0.15)/(1-0.6)</f>
        <v>11576</v>
      </c>
      <c r="Y271" s="18" t="n">
        <v>3935.84</v>
      </c>
      <c r="Z271" s="19" t="n">
        <f aca="false">OFFSET(tbl_LoC,270,22,1,1)*OFFSET(tbl_LoC,270,20,1,1)</f>
        <v>0</v>
      </c>
      <c r="AA271" s="13" t="str">
        <f aca="false">VLOOKUP(OFFSET(tbl_LoC,270,10,1,1),'[1]List of components'!$C$1:$F$1048576,2,FALSE())</f>
        <v/>
      </c>
      <c r="AB271" s="13"/>
      <c r="AC271" s="13" t="n">
        <v>32038</v>
      </c>
    </row>
    <row r="272" customFormat="false" ht="99.95" hidden="false" customHeight="false" outlineLevel="0" collapsed="false">
      <c r="A272" s="11" t="s">
        <v>0</v>
      </c>
      <c r="B272" s="11"/>
      <c r="C272" s="11"/>
      <c r="D272" s="11"/>
      <c r="E272" s="11"/>
      <c r="F272" s="11"/>
      <c r="G272" s="11"/>
      <c r="H272" s="11"/>
      <c r="I272" s="11"/>
      <c r="J272" s="13" t="s">
        <v>32</v>
      </c>
      <c r="K272" s="13"/>
      <c r="L272" s="13" t="s">
        <v>52</v>
      </c>
      <c r="M272" s="13" t="s">
        <v>626</v>
      </c>
      <c r="N272" s="14" t="n">
        <f aca="false">OFFSET(tbl_LoC,271,19,1,1)</f>
        <v>0</v>
      </c>
      <c r="O272" s="15" t="s">
        <v>627</v>
      </c>
      <c r="P272" s="13" t="s">
        <v>628</v>
      </c>
      <c r="Q272" s="13" t="n">
        <v>200</v>
      </c>
      <c r="R272" s="13"/>
      <c r="S272" s="16"/>
      <c r="T272" s="11"/>
      <c r="U272" s="11"/>
      <c r="V272" s="14" t="e">
        <f aca="false">OFFSET(tbl_LoC,271,21,1,1)*OFFSET(tbl_LoC,271,20,1,1)</f>
        <v>#VALUE!</v>
      </c>
      <c r="W272" s="17" t="n">
        <v>103</v>
      </c>
      <c r="X272" s="14" t="n">
        <f aca="false">Y272/(1-0.15)/(1-0.6)</f>
        <v>14724.8823529412</v>
      </c>
      <c r="Y272" s="18" t="n">
        <v>5006.46</v>
      </c>
      <c r="Z272" s="19" t="n">
        <f aca="false">OFFSET(tbl_LoC,271,22,1,1)*OFFSET(tbl_LoC,271,20,1,1)</f>
        <v>0</v>
      </c>
      <c r="AA272" s="13" t="str">
        <f aca="false">VLOOKUP(OFFSET(tbl_LoC,271,10,1,1),'[1]List of components'!$C$1:$F$1048576,2,FALSE())</f>
        <v/>
      </c>
      <c r="AB272" s="13"/>
      <c r="AC272" s="13" t="n">
        <v>32039</v>
      </c>
    </row>
    <row r="273" customFormat="false" ht="99.95" hidden="false" customHeight="false" outlineLevel="0" collapsed="false">
      <c r="A273" s="11" t="s">
        <v>0</v>
      </c>
      <c r="B273" s="11"/>
      <c r="C273" s="11"/>
      <c r="D273" s="11"/>
      <c r="E273" s="11"/>
      <c r="F273" s="11"/>
      <c r="G273" s="11"/>
      <c r="H273" s="11"/>
      <c r="I273" s="11"/>
      <c r="J273" s="13" t="s">
        <v>32</v>
      </c>
      <c r="K273" s="13" t="s">
        <v>75</v>
      </c>
      <c r="L273" s="13" t="s">
        <v>71</v>
      </c>
      <c r="M273" s="13" t="s">
        <v>629</v>
      </c>
      <c r="N273" s="14" t="n">
        <f aca="false">OFFSET(tbl_LoC,272,19,1,1)</f>
        <v>0</v>
      </c>
      <c r="O273" s="15" t="s">
        <v>630</v>
      </c>
      <c r="P273" s="13" t="s">
        <v>631</v>
      </c>
      <c r="Q273" s="13" t="n">
        <v>170</v>
      </c>
      <c r="R273" s="13"/>
      <c r="S273" s="16"/>
      <c r="T273" s="11"/>
      <c r="U273" s="11"/>
      <c r="V273" s="14" t="e">
        <f aca="false">OFFSET(tbl_LoC,272,21,1,1)*OFFSET(tbl_LoC,272,20,1,1)</f>
        <v>#VALUE!</v>
      </c>
      <c r="W273" s="17" t="n">
        <v>103</v>
      </c>
      <c r="X273" s="14" t="n">
        <f aca="false">Y273/(1-0.15)/(1-0.6)</f>
        <v>12689.4705882353</v>
      </c>
      <c r="Y273" s="18" t="n">
        <v>4314.42</v>
      </c>
      <c r="Z273" s="19" t="n">
        <f aca="false">OFFSET(tbl_LoC,272,22,1,1)*OFFSET(tbl_LoC,272,20,1,1)</f>
        <v>0</v>
      </c>
      <c r="AA273" s="13" t="e">
        <f aca="false">VLOOKUP(OFFSET(tbl_LoC,272,10,1,1),'[1]List of components'!$C$1:$F$1048576,2,FALSE())</f>
        <v>#N/A</v>
      </c>
      <c r="AB273" s="13"/>
      <c r="AC273" s="13" t="n">
        <v>32721</v>
      </c>
    </row>
    <row r="274" customFormat="false" ht="99.95" hidden="false" customHeight="false" outlineLevel="0" collapsed="false">
      <c r="A274" s="11" t="s">
        <v>0</v>
      </c>
      <c r="B274" s="11"/>
      <c r="C274" s="11"/>
      <c r="D274" s="11"/>
      <c r="E274" s="11"/>
      <c r="F274" s="11"/>
      <c r="G274" s="11"/>
      <c r="H274" s="11"/>
      <c r="I274" s="11"/>
      <c r="J274" s="13" t="s">
        <v>32</v>
      </c>
      <c r="K274" s="13"/>
      <c r="L274" s="13" t="s">
        <v>71</v>
      </c>
      <c r="M274" s="13" t="s">
        <v>632</v>
      </c>
      <c r="N274" s="30" t="e">
        <f aca="false">V274</f>
        <v>#VALUE!</v>
      </c>
      <c r="O274" s="15" t="s">
        <v>633</v>
      </c>
      <c r="P274" s="13" t="s">
        <v>634</v>
      </c>
      <c r="Q274" s="13" t="n">
        <v>200</v>
      </c>
      <c r="R274" s="13"/>
      <c r="S274" s="16"/>
      <c r="T274" s="11"/>
      <c r="U274" s="11"/>
      <c r="V274" s="14" t="e">
        <f aca="false">OFFSET(tbl_LoC,273,21,1,1)*OFFSET(tbl_LoC,273,20,1,1)</f>
        <v>#VALUE!</v>
      </c>
      <c r="W274" s="17" t="n">
        <v>103</v>
      </c>
      <c r="X274" s="14" t="n">
        <f aca="false">Y274/(1-0.15)/(1-0.6)</f>
        <v>10448.3235294118</v>
      </c>
      <c r="Y274" s="18" t="n">
        <v>3552.43</v>
      </c>
      <c r="Z274" s="19" t="n">
        <f aca="false">OFFSET(tbl_LoC,273,22,1,1)*OFFSET(tbl_LoC,273,20,1,1)</f>
        <v>0</v>
      </c>
      <c r="AA274" s="13" t="str">
        <f aca="false">VLOOKUP(OFFSET(tbl_LoC,273,10,1,1),'[1]List of components'!$C$1:$F$1048576,2,FALSE())</f>
        <v/>
      </c>
      <c r="AB274" s="13"/>
      <c r="AC274" s="13" t="n">
        <v>32321</v>
      </c>
    </row>
    <row r="275" customFormat="false" ht="67.15" hidden="false" customHeight="false" outlineLevel="0" collapsed="false">
      <c r="A275" s="11"/>
      <c r="B275" s="11"/>
      <c r="C275" s="11"/>
      <c r="D275" s="11"/>
      <c r="E275" s="11"/>
      <c r="F275" s="11"/>
      <c r="G275" s="11" t="s">
        <v>6</v>
      </c>
      <c r="H275" s="11"/>
      <c r="I275" s="11"/>
      <c r="J275" s="13" t="s">
        <v>32</v>
      </c>
      <c r="K275" s="13"/>
      <c r="L275" s="24" t="s">
        <v>48</v>
      </c>
      <c r="M275" s="13" t="s">
        <v>635</v>
      </c>
      <c r="N275" s="14" t="n">
        <f aca="false">OFFSET(tbl_LoC,274,19,1,1)</f>
        <v>0</v>
      </c>
      <c r="O275" s="31" t="s">
        <v>636</v>
      </c>
      <c r="P275" s="13" t="s">
        <v>637</v>
      </c>
      <c r="Q275" s="13" t="n">
        <v>190</v>
      </c>
      <c r="R275" s="13"/>
      <c r="S275" s="16"/>
      <c r="T275" s="11"/>
      <c r="U275" s="11"/>
      <c r="V275" s="14" t="e">
        <f aca="false">OFFSET(tbl_LoC,274,21,1,1)*OFFSET(tbl_LoC,274,20,1,1)</f>
        <v>#VALUE!</v>
      </c>
      <c r="W275" s="17" t="n">
        <v>103</v>
      </c>
      <c r="X275" s="14" t="n">
        <f aca="false">Y275/(1-0.15)/(1-0.6)</f>
        <v>7921.02941176471</v>
      </c>
      <c r="Y275" s="18" t="n">
        <v>2693.15</v>
      </c>
      <c r="Z275" s="19" t="n">
        <f aca="false">OFFSET(tbl_LoC,274,22,1,1)*OFFSET(tbl_LoC,274,20,1,1)</f>
        <v>0</v>
      </c>
      <c r="AA275" s="13" t="str">
        <f aca="false">VLOOKUP(OFFSET(tbl_LoC,274,10,1,1),'[1]List of components'!$C$1:$F$1048576,2,FALSE())</f>
        <v/>
      </c>
      <c r="AB275" s="13"/>
      <c r="AC275" s="13" t="n">
        <v>36525</v>
      </c>
    </row>
    <row r="276" customFormat="false" ht="67.15" hidden="false" customHeight="false" outlineLevel="0" collapsed="false">
      <c r="A276" s="11"/>
      <c r="B276" s="11"/>
      <c r="C276" s="11"/>
      <c r="D276" s="11"/>
      <c r="E276" s="11"/>
      <c r="F276" s="11"/>
      <c r="G276" s="11" t="s">
        <v>6</v>
      </c>
      <c r="H276" s="11"/>
      <c r="I276" s="11"/>
      <c r="J276" s="13" t="s">
        <v>32</v>
      </c>
      <c r="K276" s="13"/>
      <c r="L276" s="24" t="s">
        <v>80</v>
      </c>
      <c r="M276" s="13" t="s">
        <v>638</v>
      </c>
      <c r="N276" s="14" t="n">
        <f aca="false">OFFSET(tbl_LoC,275,19,1,1)</f>
        <v>0</v>
      </c>
      <c r="O276" s="31" t="s">
        <v>639</v>
      </c>
      <c r="P276" s="13" t="s">
        <v>640</v>
      </c>
      <c r="Q276" s="13" t="n">
        <v>190</v>
      </c>
      <c r="R276" s="13"/>
      <c r="S276" s="16"/>
      <c r="T276" s="11"/>
      <c r="U276" s="11"/>
      <c r="V276" s="14" t="e">
        <f aca="false">OFFSET(tbl_LoC,275,21,1,1)*OFFSET(tbl_LoC,275,20,1,1)</f>
        <v>#VALUE!</v>
      </c>
      <c r="W276" s="17" t="n">
        <v>103</v>
      </c>
      <c r="X276" s="14" t="n">
        <f aca="false">Y276/(1-0.15)/(1-0.6)</f>
        <v>10671.5294117647</v>
      </c>
      <c r="Y276" s="18" t="n">
        <v>3628.32</v>
      </c>
      <c r="Z276" s="19" t="n">
        <f aca="false">OFFSET(tbl_LoC,275,22,1,1)*OFFSET(tbl_LoC,275,20,1,1)</f>
        <v>0</v>
      </c>
      <c r="AA276" s="13" t="str">
        <f aca="false">VLOOKUP(OFFSET(tbl_LoC,275,10,1,1),'[1]List of components'!$C$1:$F$1048576,2,FALSE())</f>
        <v/>
      </c>
      <c r="AB276" s="13"/>
      <c r="AC276" s="13" t="n">
        <v>36527</v>
      </c>
    </row>
    <row r="277" customFormat="false" ht="67.15" hidden="false" customHeight="false" outlineLevel="0" collapsed="false">
      <c r="A277" s="11"/>
      <c r="B277" s="11"/>
      <c r="C277" s="11"/>
      <c r="D277" s="11"/>
      <c r="E277" s="11"/>
      <c r="F277" s="11"/>
      <c r="G277" s="11" t="s">
        <v>6</v>
      </c>
      <c r="H277" s="11"/>
      <c r="I277" s="11"/>
      <c r="J277" s="13" t="s">
        <v>32</v>
      </c>
      <c r="K277" s="13"/>
      <c r="L277" s="24" t="s">
        <v>44</v>
      </c>
      <c r="M277" s="13" t="s">
        <v>641</v>
      </c>
      <c r="N277" s="14" t="n">
        <f aca="false">OFFSET(tbl_LoC,276,19,1,1)</f>
        <v>0</v>
      </c>
      <c r="O277" s="31" t="s">
        <v>642</v>
      </c>
      <c r="P277" s="13" t="s">
        <v>643</v>
      </c>
      <c r="Q277" s="13" t="n">
        <v>190</v>
      </c>
      <c r="R277" s="13"/>
      <c r="S277" s="16"/>
      <c r="T277" s="11"/>
      <c r="U277" s="11"/>
      <c r="V277" s="14" t="e">
        <f aca="false">OFFSET(tbl_LoC,276,21,1,1)*OFFSET(tbl_LoC,276,20,1,1)</f>
        <v>#VALUE!</v>
      </c>
      <c r="W277" s="17" t="n">
        <v>103</v>
      </c>
      <c r="X277" s="14" t="n">
        <f aca="false">Y277/(1-0.15)/(1-0.6)</f>
        <v>10713.7647058824</v>
      </c>
      <c r="Y277" s="18" t="n">
        <v>3642.68</v>
      </c>
      <c r="Z277" s="19" t="n">
        <f aca="false">OFFSET(tbl_LoC,276,22,1,1)*OFFSET(tbl_LoC,276,20,1,1)</f>
        <v>0</v>
      </c>
      <c r="AA277" s="13" t="str">
        <f aca="false">VLOOKUP(OFFSET(tbl_LoC,276,10,1,1),'[1]List of components'!$C$1:$F$1048576,2,FALSE())</f>
        <v/>
      </c>
      <c r="AB277" s="13"/>
      <c r="AC277" s="13" t="n">
        <v>36528</v>
      </c>
    </row>
    <row r="278" customFormat="false" ht="67.15" hidden="false" customHeight="false" outlineLevel="0" collapsed="false">
      <c r="A278" s="11"/>
      <c r="B278" s="11"/>
      <c r="C278" s="11"/>
      <c r="D278" s="11"/>
      <c r="E278" s="11"/>
      <c r="F278" s="11"/>
      <c r="G278" s="11" t="s">
        <v>6</v>
      </c>
      <c r="H278" s="11"/>
      <c r="I278" s="11"/>
      <c r="J278" s="13" t="s">
        <v>32</v>
      </c>
      <c r="K278" s="13"/>
      <c r="L278" s="24" t="s">
        <v>76</v>
      </c>
      <c r="M278" s="13" t="s">
        <v>644</v>
      </c>
      <c r="N278" s="14" t="n">
        <f aca="false">OFFSET(tbl_LoC,277,19,1,1)</f>
        <v>0</v>
      </c>
      <c r="O278" s="31" t="s">
        <v>645</v>
      </c>
      <c r="P278" s="13" t="s">
        <v>646</v>
      </c>
      <c r="Q278" s="13" t="n">
        <v>210</v>
      </c>
      <c r="R278" s="13"/>
      <c r="S278" s="16"/>
      <c r="T278" s="11"/>
      <c r="U278" s="11"/>
      <c r="V278" s="14" t="e">
        <f aca="false">OFFSET(tbl_LoC,277,21,1,1)*OFFSET(tbl_LoC,277,20,1,1)</f>
        <v>#VALUE!</v>
      </c>
      <c r="W278" s="17" t="n">
        <v>103</v>
      </c>
      <c r="X278" s="14" t="n">
        <f aca="false">Y278/(1-0.15)/(1-0.6)</f>
        <v>11470.5882352941</v>
      </c>
      <c r="Y278" s="18" t="n">
        <v>3900</v>
      </c>
      <c r="Z278" s="19" t="n">
        <f aca="false">OFFSET(tbl_LoC,277,22,1,1)*OFFSET(tbl_LoC,277,20,1,1)</f>
        <v>0</v>
      </c>
      <c r="AA278" s="13" t="str">
        <f aca="false">VLOOKUP(OFFSET(tbl_LoC,277,10,1,1),'[1]List of components'!$C$1:$F$1048576,2,FALSE())</f>
        <v/>
      </c>
      <c r="AB278" s="13"/>
      <c r="AC278" s="13" t="n">
        <v>36277</v>
      </c>
    </row>
    <row r="279" customFormat="false" ht="67.15" hidden="false" customHeight="false" outlineLevel="0" collapsed="false">
      <c r="A279" s="11"/>
      <c r="B279" s="11"/>
      <c r="C279" s="11"/>
      <c r="D279" s="11"/>
      <c r="E279" s="11"/>
      <c r="F279" s="11"/>
      <c r="G279" s="11" t="s">
        <v>6</v>
      </c>
      <c r="H279" s="11"/>
      <c r="I279" s="11"/>
      <c r="J279" s="13" t="s">
        <v>32</v>
      </c>
      <c r="K279" s="13"/>
      <c r="L279" s="24" t="s">
        <v>40</v>
      </c>
      <c r="M279" s="24" t="s">
        <v>647</v>
      </c>
      <c r="N279" s="14" t="n">
        <f aca="false">OFFSET(tbl_LoC,278,19,1,1)</f>
        <v>0</v>
      </c>
      <c r="O279" s="31" t="s">
        <v>648</v>
      </c>
      <c r="P279" s="13" t="s">
        <v>649</v>
      </c>
      <c r="Q279" s="13" t="n">
        <v>210</v>
      </c>
      <c r="R279" s="13"/>
      <c r="S279" s="16"/>
      <c r="T279" s="11"/>
      <c r="U279" s="11"/>
      <c r="V279" s="14" t="e">
        <f aca="false">OFFSET(tbl_LoC,278,21,1,1)*OFFSET(tbl_LoC,278,20,1,1)</f>
        <v>#VALUE!</v>
      </c>
      <c r="W279" s="17" t="n">
        <v>103</v>
      </c>
      <c r="X279" s="14" t="n">
        <f aca="false">Y279/(1-0.15)/(1-0.6)</f>
        <v>10913.3235294118</v>
      </c>
      <c r="Y279" s="18" t="n">
        <v>3710.53</v>
      </c>
      <c r="Z279" s="19" t="n">
        <f aca="false">OFFSET(tbl_LoC,278,22,1,1)*OFFSET(tbl_LoC,278,20,1,1)</f>
        <v>0</v>
      </c>
      <c r="AA279" s="13" t="str">
        <f aca="false">VLOOKUP(OFFSET(tbl_LoC,278,10,1,1),'[1]List of components'!$C$1:$F$1048576,2,FALSE())</f>
        <v/>
      </c>
      <c r="AB279" s="13"/>
      <c r="AC279" s="13" t="n">
        <v>36277</v>
      </c>
    </row>
    <row r="280" customFormat="false" ht="67.15" hidden="false" customHeight="false" outlineLevel="0" collapsed="false">
      <c r="A280" s="11"/>
      <c r="B280" s="11"/>
      <c r="C280" s="11"/>
      <c r="D280" s="11"/>
      <c r="E280" s="11"/>
      <c r="F280" s="11"/>
      <c r="G280" s="11" t="s">
        <v>6</v>
      </c>
      <c r="H280" s="11"/>
      <c r="I280" s="11"/>
      <c r="J280" s="13" t="s">
        <v>32</v>
      </c>
      <c r="K280" s="13"/>
      <c r="L280" s="13" t="s">
        <v>52</v>
      </c>
      <c r="M280" s="13" t="s">
        <v>650</v>
      </c>
      <c r="N280" s="14" t="n">
        <f aca="false">OFFSET(tbl_LoC,279,19,1,1)</f>
        <v>0</v>
      </c>
      <c r="O280" s="31" t="s">
        <v>651</v>
      </c>
      <c r="P280" s="13" t="s">
        <v>652</v>
      </c>
      <c r="Q280" s="13" t="n">
        <v>240</v>
      </c>
      <c r="R280" s="13"/>
      <c r="S280" s="16"/>
      <c r="T280" s="11"/>
      <c r="U280" s="11"/>
      <c r="V280" s="14" t="e">
        <f aca="false">OFFSET(tbl_LoC,279,21,1,1)*OFFSET(tbl_LoC,279,20,1,1)</f>
        <v>#VALUE!</v>
      </c>
      <c r="W280" s="17" t="n">
        <v>103</v>
      </c>
      <c r="X280" s="14" t="n">
        <f aca="false">Y280/(1-0.15)/(1-0.6)</f>
        <v>15059.9705882353</v>
      </c>
      <c r="Y280" s="18" t="n">
        <v>5120.39</v>
      </c>
      <c r="Z280" s="19" t="n">
        <f aca="false">OFFSET(tbl_LoC,279,22,1,1)*OFFSET(tbl_LoC,279,20,1,1)</f>
        <v>0</v>
      </c>
      <c r="AA280" s="13" t="str">
        <f aca="false">VLOOKUP(OFFSET(tbl_LoC,279,10,1,1),'[1]List of components'!$C$1:$F$1048576,2,FALSE())</f>
        <v/>
      </c>
      <c r="AB280" s="13"/>
      <c r="AC280" s="13" t="n">
        <v>36530</v>
      </c>
    </row>
    <row r="281" customFormat="false" ht="15" hidden="false" customHeight="false" outlineLevel="0" collapsed="false">
      <c r="A281" s="11"/>
      <c r="B281" s="11"/>
      <c r="C281" s="11"/>
      <c r="D281" s="11"/>
      <c r="E281" s="11"/>
      <c r="G281" s="11"/>
      <c r="H281" s="11" t="s">
        <v>7</v>
      </c>
      <c r="I281" s="11" t="n">
        <v>1</v>
      </c>
      <c r="J281" s="13" t="s">
        <v>94</v>
      </c>
      <c r="K281" s="13" t="s">
        <v>170</v>
      </c>
      <c r="L281" s="32" t="s">
        <v>653</v>
      </c>
      <c r="M281" s="24" t="s">
        <v>654</v>
      </c>
      <c r="N281" s="14" t="n">
        <f aca="false">OFFSET(tbl_LoC,280,19,1,1)</f>
        <v>0</v>
      </c>
      <c r="O281" s="15"/>
      <c r="P281" s="13"/>
      <c r="Q281" s="13" t="n">
        <v>150</v>
      </c>
      <c r="R281" s="13"/>
      <c r="S281" s="16"/>
      <c r="T281" s="11"/>
      <c r="U281" s="11"/>
      <c r="V281" s="25" t="e">
        <f aca="false">OFFSET(tbl_LoC,280,21,1,1)*OFFSET(tbl_LoC,280,20,1,1)</f>
        <v>#VALUE!</v>
      </c>
      <c r="W281" s="17"/>
      <c r="X281" s="14"/>
      <c r="Y281" s="18"/>
      <c r="Z281" s="19" t="n">
        <f aca="false">OFFSET(tbl_LoC,280,22,1,1)*OFFSET(tbl_LoC,280,20,1,1)</f>
        <v>0</v>
      </c>
      <c r="AA281" s="13" t="n">
        <v>820</v>
      </c>
      <c r="AB281" s="13"/>
      <c r="AC281" s="13"/>
    </row>
    <row r="282" customFormat="false" ht="15" hidden="false" customHeight="false" outlineLevel="0" collapsed="false">
      <c r="A282" s="11"/>
      <c r="B282" s="11"/>
      <c r="C282" s="11"/>
      <c r="D282" s="11"/>
      <c r="E282" s="11"/>
      <c r="G282" s="11"/>
      <c r="H282" s="11" t="s">
        <v>7</v>
      </c>
      <c r="I282" s="11" t="n">
        <v>1</v>
      </c>
      <c r="J282" s="13" t="s">
        <v>94</v>
      </c>
      <c r="K282" s="13" t="s">
        <v>170</v>
      </c>
      <c r="L282" s="32" t="s">
        <v>655</v>
      </c>
      <c r="M282" s="24" t="s">
        <v>656</v>
      </c>
      <c r="N282" s="14" t="n">
        <f aca="false">OFFSET(tbl_LoC,281,19,1,1)</f>
        <v>0</v>
      </c>
      <c r="O282" s="15"/>
      <c r="P282" s="13"/>
      <c r="Q282" s="13" t="n">
        <v>165</v>
      </c>
      <c r="R282" s="13"/>
      <c r="S282" s="16"/>
      <c r="T282" s="11"/>
      <c r="U282" s="11"/>
      <c r="V282" s="25" t="e">
        <f aca="false">OFFSET(tbl_LoC,281,21,1,1)*OFFSET(tbl_LoC,281,20,1,1)</f>
        <v>#VALUE!</v>
      </c>
      <c r="W282" s="17"/>
      <c r="X282" s="14"/>
      <c r="Y282" s="18"/>
      <c r="Z282" s="19" t="n">
        <f aca="false">OFFSET(tbl_LoC,281,22,1,1)*OFFSET(tbl_LoC,281,20,1,1)</f>
        <v>0</v>
      </c>
      <c r="AA282" s="13" t="n">
        <v>1200</v>
      </c>
      <c r="AB282" s="13"/>
      <c r="AC282" s="13"/>
    </row>
    <row r="283" customFormat="false" ht="15" hidden="false" customHeight="false" outlineLevel="0" collapsed="false">
      <c r="A283" s="11"/>
      <c r="B283" s="11"/>
      <c r="C283" s="11"/>
      <c r="D283" s="11"/>
      <c r="E283" s="11"/>
      <c r="G283" s="11"/>
      <c r="H283" s="11" t="s">
        <v>7</v>
      </c>
      <c r="I283" s="11"/>
      <c r="J283" s="13" t="s">
        <v>94</v>
      </c>
      <c r="K283" s="13" t="s">
        <v>170</v>
      </c>
      <c r="L283" s="33" t="s">
        <v>657</v>
      </c>
      <c r="M283" s="13" t="s">
        <v>658</v>
      </c>
      <c r="N283" s="14" t="n">
        <f aca="false">OFFSET(tbl_LoC,282,19,1,1)</f>
        <v>0</v>
      </c>
      <c r="O283" s="15"/>
      <c r="P283" s="13"/>
      <c r="Q283" s="13" t="n">
        <v>185</v>
      </c>
      <c r="R283" s="13"/>
      <c r="S283" s="16"/>
      <c r="T283" s="11"/>
      <c r="U283" s="11"/>
      <c r="V283" s="14" t="e">
        <f aca="false">OFFSET(tbl_LoC,282,21,1,1)*OFFSET(tbl_LoC,282,20,1,1)</f>
        <v>#VALUE!</v>
      </c>
      <c r="W283" s="17"/>
      <c r="X283" s="14"/>
      <c r="Y283" s="18" t="n">
        <v>1500</v>
      </c>
      <c r="Z283" s="19" t="n">
        <f aca="false">OFFSET(tbl_LoC,282,22,1,1)*OFFSET(tbl_LoC,282,20,1,1)</f>
        <v>0</v>
      </c>
      <c r="AA283" s="13" t="n">
        <v>980</v>
      </c>
      <c r="AB283" s="13"/>
      <c r="AC283" s="13"/>
    </row>
    <row r="284" customFormat="false" ht="15" hidden="false" customHeight="false" outlineLevel="0" collapsed="false">
      <c r="A284" s="11"/>
      <c r="B284" s="11"/>
      <c r="C284" s="11"/>
      <c r="D284" s="11"/>
      <c r="E284" s="11"/>
      <c r="G284" s="11"/>
      <c r="H284" s="11" t="s">
        <v>7</v>
      </c>
      <c r="I284" s="11"/>
      <c r="J284" s="13" t="s">
        <v>94</v>
      </c>
      <c r="K284" s="13" t="s">
        <v>170</v>
      </c>
      <c r="L284" s="33" t="s">
        <v>659</v>
      </c>
      <c r="M284" s="13" t="s">
        <v>660</v>
      </c>
      <c r="N284" s="14" t="n">
        <f aca="false">OFFSET(tbl_LoC,283,19,1,1)</f>
        <v>0</v>
      </c>
      <c r="O284" s="15"/>
      <c r="P284" s="13"/>
      <c r="Q284" s="13" t="n">
        <v>150</v>
      </c>
      <c r="R284" s="13"/>
      <c r="S284" s="16"/>
      <c r="T284" s="11"/>
      <c r="U284" s="11"/>
      <c r="V284" s="14" t="e">
        <f aca="false">OFFSET(tbl_LoC,283,21,1,1)*OFFSET(tbl_LoC,283,20,1,1)</f>
        <v>#VALUE!</v>
      </c>
      <c r="W284" s="17"/>
      <c r="X284" s="14"/>
      <c r="Y284" s="18"/>
      <c r="Z284" s="19" t="n">
        <f aca="false">OFFSET(tbl_LoC,283,22,1,1)*OFFSET(tbl_LoC,283,20,1,1)</f>
        <v>0</v>
      </c>
      <c r="AA284" s="13" t="n">
        <v>980</v>
      </c>
      <c r="AB284" s="13"/>
      <c r="AC284" s="13"/>
    </row>
    <row r="285" customFormat="false" ht="15" hidden="false" customHeight="false" outlineLevel="0" collapsed="false">
      <c r="A285" s="11"/>
      <c r="B285" s="11"/>
      <c r="C285" s="11"/>
      <c r="D285" s="11"/>
      <c r="E285" s="11"/>
      <c r="G285" s="11"/>
      <c r="H285" s="11" t="s">
        <v>7</v>
      </c>
      <c r="I285" s="11"/>
      <c r="J285" s="13" t="s">
        <v>94</v>
      </c>
      <c r="K285" s="13" t="s">
        <v>170</v>
      </c>
      <c r="L285" s="33" t="s">
        <v>661</v>
      </c>
      <c r="M285" s="13" t="s">
        <v>662</v>
      </c>
      <c r="N285" s="14" t="n">
        <f aca="false">OFFSET(tbl_LoC,284,19,1,1)</f>
        <v>0</v>
      </c>
      <c r="O285" s="15"/>
      <c r="P285" s="13"/>
      <c r="Q285" s="13" t="n">
        <v>205</v>
      </c>
      <c r="R285" s="13"/>
      <c r="S285" s="16"/>
      <c r="T285" s="11"/>
      <c r="U285" s="11"/>
      <c r="V285" s="14" t="e">
        <f aca="false">OFFSET(tbl_LoC,284,21,1,1)*OFFSET(tbl_LoC,284,20,1,1)</f>
        <v>#VALUE!</v>
      </c>
      <c r="W285" s="17"/>
      <c r="X285" s="14"/>
      <c r="Y285" s="18"/>
      <c r="Z285" s="19" t="n">
        <f aca="false">OFFSET(tbl_LoC,284,22,1,1)*OFFSET(tbl_LoC,284,20,1,1)</f>
        <v>0</v>
      </c>
      <c r="AA285" s="13" t="n">
        <v>1350</v>
      </c>
      <c r="AB285" s="13"/>
      <c r="AC285" s="13"/>
    </row>
    <row r="286" customFormat="false" ht="15" hidden="false" customHeight="false" outlineLevel="0" collapsed="false">
      <c r="A286" s="11"/>
      <c r="B286" s="11"/>
      <c r="C286" s="11"/>
      <c r="D286" s="11"/>
      <c r="E286" s="11"/>
      <c r="G286" s="11"/>
      <c r="H286" s="11" t="s">
        <v>7</v>
      </c>
      <c r="I286" s="11"/>
      <c r="J286" s="13" t="s">
        <v>94</v>
      </c>
      <c r="K286" s="13" t="s">
        <v>170</v>
      </c>
      <c r="L286" s="33" t="s">
        <v>663</v>
      </c>
      <c r="M286" s="24" t="s">
        <v>664</v>
      </c>
      <c r="N286" s="14" t="n">
        <f aca="false">OFFSET(tbl_LoC,285,19,1,1)</f>
        <v>0</v>
      </c>
      <c r="O286" s="15"/>
      <c r="P286" s="13"/>
      <c r="Q286" s="13" t="n">
        <v>205</v>
      </c>
      <c r="R286" s="13"/>
      <c r="S286" s="16"/>
      <c r="T286" s="11"/>
      <c r="U286" s="11"/>
      <c r="V286" s="14" t="e">
        <f aca="false">OFFSET(tbl_LoC,285,21,1,1)*OFFSET(tbl_LoC,285,20,1,1)</f>
        <v>#VALUE!</v>
      </c>
      <c r="W286" s="17"/>
      <c r="X286" s="14"/>
      <c r="Y286" s="18"/>
      <c r="Z286" s="19" t="n">
        <f aca="false">OFFSET(tbl_LoC,285,22,1,1)*OFFSET(tbl_LoC,285,20,1,1)</f>
        <v>0</v>
      </c>
      <c r="AA286" s="13" t="n">
        <v>1100</v>
      </c>
      <c r="AB286" s="13"/>
      <c r="AC286" s="13"/>
    </row>
    <row r="287" customFormat="false" ht="15" hidden="false" customHeight="false" outlineLevel="0" collapsed="false">
      <c r="A287" s="11"/>
      <c r="B287" s="11"/>
      <c r="C287" s="11"/>
      <c r="D287" s="11"/>
      <c r="E287" s="11"/>
      <c r="G287" s="11"/>
      <c r="H287" s="11" t="s">
        <v>7</v>
      </c>
      <c r="I287" s="11"/>
      <c r="J287" s="13" t="s">
        <v>94</v>
      </c>
      <c r="K287" s="13" t="s">
        <v>170</v>
      </c>
      <c r="L287" s="33" t="s">
        <v>665</v>
      </c>
      <c r="M287" s="24" t="s">
        <v>666</v>
      </c>
      <c r="N287" s="14" t="n">
        <f aca="false">OFFSET(tbl_LoC,286,19,1,1)</f>
        <v>0</v>
      </c>
      <c r="O287" s="15"/>
      <c r="P287" s="13"/>
      <c r="Q287" s="13" t="n">
        <v>165</v>
      </c>
      <c r="R287" s="13"/>
      <c r="S287" s="16"/>
      <c r="T287" s="11"/>
      <c r="U287" s="11"/>
      <c r="V287" s="14" t="e">
        <f aca="false">OFFSET(tbl_LoC,286,21,1,1)*OFFSET(tbl_LoC,286,20,1,1)</f>
        <v>#VALUE!</v>
      </c>
      <c r="W287" s="17"/>
      <c r="X287" s="14"/>
      <c r="Y287" s="18" t="n">
        <v>1400</v>
      </c>
      <c r="Z287" s="19" t="n">
        <f aca="false">OFFSET(tbl_LoC,286,22,1,1)*OFFSET(tbl_LoC,286,20,1,1)</f>
        <v>0</v>
      </c>
      <c r="AA287" s="13" t="n">
        <v>1700</v>
      </c>
      <c r="AB287" s="13"/>
      <c r="AC287" s="13"/>
    </row>
    <row r="288" customFormat="false" ht="15" hidden="false" customHeight="false" outlineLevel="0" collapsed="false">
      <c r="A288" s="11"/>
      <c r="B288" s="11"/>
      <c r="C288" s="11"/>
      <c r="D288" s="11"/>
      <c r="E288" s="11"/>
      <c r="G288" s="11"/>
      <c r="H288" s="11" t="s">
        <v>7</v>
      </c>
      <c r="I288" s="11"/>
      <c r="J288" s="13" t="s">
        <v>94</v>
      </c>
      <c r="K288" s="13" t="s">
        <v>170</v>
      </c>
      <c r="L288" s="33" t="s">
        <v>667</v>
      </c>
      <c r="M288" s="13" t="s">
        <v>668</v>
      </c>
      <c r="N288" s="14" t="n">
        <f aca="false">OFFSET(tbl_LoC,287,19,1,1)</f>
        <v>0</v>
      </c>
      <c r="O288" s="15"/>
      <c r="P288" s="13"/>
      <c r="Q288" s="13" t="n">
        <v>185</v>
      </c>
      <c r="R288" s="13"/>
      <c r="S288" s="16"/>
      <c r="T288" s="11"/>
      <c r="U288" s="11"/>
      <c r="V288" s="14" t="e">
        <f aca="false">OFFSET(tbl_LoC,287,21,1,1)*OFFSET(tbl_LoC,287,20,1,1)</f>
        <v>#VALUE!</v>
      </c>
      <c r="W288" s="17"/>
      <c r="X288" s="14"/>
      <c r="Y288" s="18"/>
      <c r="Z288" s="19" t="n">
        <f aca="false">OFFSET(tbl_LoC,287,22,1,1)*OFFSET(tbl_LoC,287,20,1,1)</f>
        <v>0</v>
      </c>
      <c r="AA288" s="13" t="n">
        <v>1070</v>
      </c>
      <c r="AB288" s="13"/>
      <c r="AC288" s="13"/>
    </row>
    <row r="289" customFormat="false" ht="15" hidden="false" customHeight="false" outlineLevel="0" collapsed="false">
      <c r="A289" s="11"/>
      <c r="B289" s="11"/>
      <c r="C289" s="11"/>
      <c r="D289" s="11"/>
      <c r="E289" s="11"/>
      <c r="G289" s="11"/>
      <c r="H289" s="11" t="s">
        <v>7</v>
      </c>
      <c r="I289" s="11" t="n">
        <v>1</v>
      </c>
      <c r="J289" s="13" t="s">
        <v>94</v>
      </c>
      <c r="K289" s="13" t="s">
        <v>170</v>
      </c>
      <c r="L289" s="32" t="s">
        <v>669</v>
      </c>
      <c r="M289" s="24" t="s">
        <v>670</v>
      </c>
      <c r="N289" s="14" t="n">
        <f aca="false">OFFSET(tbl_LoC,288,19,1,1)</f>
        <v>0</v>
      </c>
      <c r="O289" s="15"/>
      <c r="P289" s="13"/>
      <c r="Q289" s="13" t="n">
        <v>185</v>
      </c>
      <c r="R289" s="13"/>
      <c r="S289" s="16"/>
      <c r="T289" s="11"/>
      <c r="U289" s="11"/>
      <c r="V289" s="14" t="e">
        <f aca="false">OFFSET(tbl_LoC,288,21,1,1)*OFFSET(tbl_LoC,288,20,1,1)</f>
        <v>#VALUE!</v>
      </c>
      <c r="W289" s="17"/>
      <c r="X289" s="14"/>
      <c r="Y289" s="18"/>
      <c r="Z289" s="19" t="n">
        <f aca="false">OFFSET(tbl_LoC,288,22,1,1)*OFFSET(tbl_LoC,288,20,1,1)</f>
        <v>0</v>
      </c>
      <c r="AA289" s="13" t="e">
        <f aca="false">VLOOKUP(OFFSET(tbl_LoC,288,10,1,1),'[1]List of components'!$C$1:$F$1048576,2,FALSE())</f>
        <v>#N/A</v>
      </c>
      <c r="AB289" s="13" t="s">
        <v>671</v>
      </c>
      <c r="AC289" s="13"/>
    </row>
    <row r="290" customFormat="false" ht="15" hidden="false" customHeight="false" outlineLevel="0" collapsed="false">
      <c r="A290" s="11"/>
      <c r="B290" s="11"/>
      <c r="C290" s="11"/>
      <c r="D290" s="11"/>
      <c r="E290" s="11"/>
      <c r="G290" s="11"/>
      <c r="H290" s="11" t="s">
        <v>7</v>
      </c>
      <c r="I290" s="11"/>
      <c r="J290" s="13" t="s">
        <v>94</v>
      </c>
      <c r="K290" s="13" t="s">
        <v>170</v>
      </c>
      <c r="L290" s="33" t="s">
        <v>672</v>
      </c>
      <c r="M290" s="13" t="s">
        <v>673</v>
      </c>
      <c r="N290" s="14" t="n">
        <f aca="false">OFFSET(tbl_LoC,289,19,1,1)</f>
        <v>0</v>
      </c>
      <c r="O290" s="15"/>
      <c r="P290" s="13"/>
      <c r="Q290" s="13" t="n">
        <v>270</v>
      </c>
      <c r="R290" s="13"/>
      <c r="S290" s="16"/>
      <c r="T290" s="11"/>
      <c r="U290" s="11"/>
      <c r="V290" s="14" t="e">
        <f aca="false">OFFSET(tbl_LoC,289,21,1,1)*OFFSET(tbl_LoC,289,20,1,1)</f>
        <v>#VALUE!</v>
      </c>
      <c r="W290" s="17"/>
      <c r="X290" s="14"/>
      <c r="Y290" s="18"/>
      <c r="Z290" s="19" t="n">
        <f aca="false">OFFSET(tbl_LoC,289,22,1,1)*OFFSET(tbl_LoC,289,20,1,1)</f>
        <v>0</v>
      </c>
      <c r="AA290" s="13" t="n">
        <v>1300</v>
      </c>
      <c r="AB290" s="13"/>
      <c r="AC290" s="13"/>
    </row>
    <row r="291" customFormat="false" ht="15" hidden="false" customHeight="false" outlineLevel="0" collapsed="false">
      <c r="A291" s="11"/>
      <c r="B291" s="11"/>
      <c r="C291" s="11"/>
      <c r="D291" s="11"/>
      <c r="E291" s="11"/>
      <c r="G291" s="11"/>
      <c r="H291" s="11" t="s">
        <v>7</v>
      </c>
      <c r="I291" s="11"/>
      <c r="J291" s="13" t="s">
        <v>94</v>
      </c>
      <c r="K291" s="13" t="s">
        <v>170</v>
      </c>
      <c r="L291" s="33" t="s">
        <v>674</v>
      </c>
      <c r="M291" s="13" t="s">
        <v>675</v>
      </c>
      <c r="N291" s="14" t="n">
        <f aca="false">OFFSET(tbl_LoC,290,19,1,1)</f>
        <v>0</v>
      </c>
      <c r="O291" s="15"/>
      <c r="P291" s="13"/>
      <c r="Q291" s="13" t="n">
        <v>195</v>
      </c>
      <c r="R291" s="13"/>
      <c r="S291" s="16"/>
      <c r="T291" s="11"/>
      <c r="U291" s="11"/>
      <c r="V291" s="14" t="e">
        <f aca="false">OFFSET(tbl_LoC,290,21,1,1)*OFFSET(tbl_LoC,290,20,1,1)</f>
        <v>#VALUE!</v>
      </c>
      <c r="W291" s="17"/>
      <c r="X291" s="14"/>
      <c r="Y291" s="18"/>
      <c r="Z291" s="19" t="n">
        <f aca="false">OFFSET(tbl_LoC,290,22,1,1)*OFFSET(tbl_LoC,290,20,1,1)</f>
        <v>0</v>
      </c>
      <c r="AA291" s="13" t="n">
        <v>1800</v>
      </c>
      <c r="AB291" s="13"/>
      <c r="AC291" s="13"/>
    </row>
    <row r="292" customFormat="false" ht="15" hidden="false" customHeight="false" outlineLevel="0" collapsed="false">
      <c r="A292" s="11"/>
      <c r="B292" s="11"/>
      <c r="C292" s="11"/>
      <c r="D292" s="11"/>
      <c r="E292" s="11"/>
      <c r="G292" s="11"/>
      <c r="H292" s="11" t="s">
        <v>7</v>
      </c>
      <c r="I292" s="11" t="n">
        <v>1</v>
      </c>
      <c r="J292" s="13" t="s">
        <v>94</v>
      </c>
      <c r="K292" s="13" t="s">
        <v>170</v>
      </c>
      <c r="L292" s="34" t="s">
        <v>676</v>
      </c>
      <c r="M292" s="24" t="s">
        <v>677</v>
      </c>
      <c r="N292" s="14" t="n">
        <f aca="false">OFFSET(tbl_LoC,291,19,1,1)</f>
        <v>0</v>
      </c>
      <c r="O292" s="15"/>
      <c r="P292" s="13"/>
      <c r="Q292" s="13" t="n">
        <v>270</v>
      </c>
      <c r="R292" s="13"/>
      <c r="S292" s="16"/>
      <c r="T292" s="11"/>
      <c r="U292" s="11"/>
      <c r="V292" s="14" t="e">
        <f aca="false">OFFSET(tbl_LoC,291,21,1,1)*OFFSET(tbl_LoC,291,20,1,1)</f>
        <v>#VALUE!</v>
      </c>
      <c r="W292" s="17"/>
      <c r="X292" s="14"/>
      <c r="Y292" s="18"/>
      <c r="Z292" s="19" t="n">
        <f aca="false">OFFSET(tbl_LoC,291,22,1,1)*OFFSET(tbl_LoC,291,20,1,1)</f>
        <v>0</v>
      </c>
      <c r="AA292" s="13" t="n">
        <v>2300</v>
      </c>
      <c r="AB292" s="13"/>
      <c r="AC292" s="13"/>
    </row>
    <row r="293" customFormat="false" ht="15" hidden="false" customHeight="false" outlineLevel="0" collapsed="false">
      <c r="A293" s="11"/>
      <c r="B293" s="11"/>
      <c r="C293" s="11"/>
      <c r="D293" s="11"/>
      <c r="E293" s="11"/>
      <c r="G293" s="11"/>
      <c r="H293" s="11" t="s">
        <v>7</v>
      </c>
      <c r="I293" s="11" t="n">
        <v>1</v>
      </c>
      <c r="J293" s="13" t="s">
        <v>94</v>
      </c>
      <c r="K293" s="13" t="s">
        <v>170</v>
      </c>
      <c r="L293" s="34" t="s">
        <v>678</v>
      </c>
      <c r="M293" s="24" t="s">
        <v>679</v>
      </c>
      <c r="N293" s="14" t="n">
        <f aca="false">OFFSET(tbl_LoC,292,19,1,1)</f>
        <v>0</v>
      </c>
      <c r="O293" s="15"/>
      <c r="P293" s="13"/>
      <c r="Q293" s="13" t="n">
        <v>205</v>
      </c>
      <c r="R293" s="13"/>
      <c r="S293" s="16"/>
      <c r="T293" s="11"/>
      <c r="U293" s="11"/>
      <c r="V293" s="14" t="e">
        <f aca="false">OFFSET(tbl_LoC,292,21,1,1)*OFFSET(tbl_LoC,292,20,1,1)</f>
        <v>#VALUE!</v>
      </c>
      <c r="W293" s="17"/>
      <c r="X293" s="14"/>
      <c r="Y293" s="18"/>
      <c r="Z293" s="19" t="n">
        <f aca="false">OFFSET(tbl_LoC,292,22,1,1)*OFFSET(tbl_LoC,292,20,1,1)</f>
        <v>0</v>
      </c>
      <c r="AA293" s="13" t="n">
        <v>2950</v>
      </c>
      <c r="AB293" s="13"/>
      <c r="AC293" s="13"/>
    </row>
    <row r="294" customFormat="false" ht="15" hidden="false" customHeight="false" outlineLevel="0" collapsed="false">
      <c r="A294" s="11"/>
      <c r="B294" s="11"/>
      <c r="C294" s="11"/>
      <c r="D294" s="11"/>
      <c r="E294" s="11"/>
      <c r="G294" s="11"/>
      <c r="H294" s="11" t="s">
        <v>7</v>
      </c>
      <c r="I294" s="11"/>
      <c r="J294" s="13" t="s">
        <v>94</v>
      </c>
      <c r="K294" s="13" t="s">
        <v>170</v>
      </c>
      <c r="L294" s="35" t="s">
        <v>680</v>
      </c>
      <c r="M294" s="24" t="s">
        <v>681</v>
      </c>
      <c r="N294" s="14" t="n">
        <f aca="false">OFFSET(tbl_LoC,293,19,1,1)</f>
        <v>0</v>
      </c>
      <c r="O294" s="15"/>
      <c r="P294" s="13"/>
      <c r="Q294" s="13" t="n">
        <v>205</v>
      </c>
      <c r="R294" s="13"/>
      <c r="S294" s="16"/>
      <c r="T294" s="11"/>
      <c r="U294" s="11"/>
      <c r="V294" s="14" t="e">
        <f aca="false">OFFSET(tbl_LoC,293,21,1,1)*OFFSET(tbl_LoC,293,20,1,1)</f>
        <v>#VALUE!</v>
      </c>
      <c r="W294" s="17"/>
      <c r="X294" s="14"/>
      <c r="Y294" s="18"/>
      <c r="Z294" s="19" t="n">
        <f aca="false">OFFSET(tbl_LoC,293,22,1,1)*OFFSET(tbl_LoC,293,20,1,1)</f>
        <v>0</v>
      </c>
      <c r="AA294" s="13" t="n">
        <v>2850</v>
      </c>
      <c r="AB294" s="13"/>
      <c r="AC294" s="13"/>
    </row>
    <row r="295" customFormat="false" ht="15" hidden="false" customHeight="false" outlineLevel="0" collapsed="false">
      <c r="A295" s="11"/>
      <c r="B295" s="11"/>
      <c r="C295" s="11"/>
      <c r="D295" s="11"/>
      <c r="E295" s="11"/>
      <c r="G295" s="11"/>
      <c r="H295" s="11" t="s">
        <v>7</v>
      </c>
      <c r="I295" s="11"/>
      <c r="J295" s="13" t="s">
        <v>94</v>
      </c>
      <c r="K295" s="13" t="s">
        <v>170</v>
      </c>
      <c r="L295" s="33" t="s">
        <v>682</v>
      </c>
      <c r="M295" s="13" t="s">
        <v>683</v>
      </c>
      <c r="N295" s="14" t="n">
        <f aca="false">OFFSET(tbl_LoC,294,19,1,1)</f>
        <v>0</v>
      </c>
      <c r="O295" s="15"/>
      <c r="P295" s="13"/>
      <c r="Q295" s="13" t="n">
        <v>205</v>
      </c>
      <c r="R295" s="13"/>
      <c r="S295" s="16"/>
      <c r="T295" s="11"/>
      <c r="U295" s="11"/>
      <c r="V295" s="14" t="e">
        <f aca="false">OFFSET(tbl_LoC,294,21,1,1)*OFFSET(tbl_LoC,294,20,1,1)</f>
        <v>#VALUE!</v>
      </c>
      <c r="W295" s="17"/>
      <c r="X295" s="14"/>
      <c r="Y295" s="18"/>
      <c r="Z295" s="19" t="n">
        <f aca="false">OFFSET(tbl_LoC,294,22,1,1)*OFFSET(tbl_LoC,294,20,1,1)</f>
        <v>0</v>
      </c>
      <c r="AA295" s="13" t="n">
        <v>1780</v>
      </c>
      <c r="AB295" s="13"/>
      <c r="AC295" s="13"/>
    </row>
    <row r="296" customFormat="false" ht="15" hidden="false" customHeight="false" outlineLevel="0" collapsed="false">
      <c r="A296" s="11"/>
      <c r="B296" s="11"/>
      <c r="C296" s="11"/>
      <c r="D296" s="11"/>
      <c r="E296" s="11"/>
      <c r="G296" s="11"/>
      <c r="H296" s="11" t="s">
        <v>7</v>
      </c>
      <c r="I296" s="11"/>
      <c r="J296" s="13" t="s">
        <v>94</v>
      </c>
      <c r="K296" s="13" t="s">
        <v>170</v>
      </c>
      <c r="L296" s="33" t="s">
        <v>684</v>
      </c>
      <c r="M296" s="13" t="s">
        <v>685</v>
      </c>
      <c r="N296" s="14" t="n">
        <f aca="false">OFFSET(tbl_LoC,295,19,1,1)</f>
        <v>0</v>
      </c>
      <c r="O296" s="15"/>
      <c r="P296" s="13"/>
      <c r="Q296" s="13" t="n">
        <v>225</v>
      </c>
      <c r="R296" s="13"/>
      <c r="S296" s="16"/>
      <c r="T296" s="11"/>
      <c r="U296" s="11"/>
      <c r="V296" s="14" t="e">
        <f aca="false">OFFSET(tbl_LoC,295,21,1,1)*OFFSET(tbl_LoC,295,20,1,1)</f>
        <v>#VALUE!</v>
      </c>
      <c r="W296" s="17"/>
      <c r="X296" s="14"/>
      <c r="Y296" s="18"/>
      <c r="Z296" s="19" t="n">
        <f aca="false">OFFSET(tbl_LoC,295,22,1,1)*OFFSET(tbl_LoC,295,20,1,1)</f>
        <v>0</v>
      </c>
      <c r="AA296" s="13" t="n">
        <v>2030</v>
      </c>
      <c r="AB296" s="13"/>
      <c r="AC296" s="13"/>
    </row>
    <row r="297" customFormat="false" ht="15" hidden="false" customHeight="false" outlineLevel="0" collapsed="false">
      <c r="A297" s="11"/>
      <c r="B297" s="11"/>
      <c r="C297" s="11"/>
      <c r="D297" s="11"/>
      <c r="E297" s="11"/>
      <c r="G297" s="11"/>
      <c r="H297" s="11" t="s">
        <v>7</v>
      </c>
      <c r="I297" s="11"/>
      <c r="J297" s="13" t="s">
        <v>94</v>
      </c>
      <c r="K297" s="13" t="s">
        <v>170</v>
      </c>
      <c r="L297" s="33" t="s">
        <v>686</v>
      </c>
      <c r="M297" s="13" t="s">
        <v>687</v>
      </c>
      <c r="N297" s="14" t="n">
        <f aca="false">OFFSET(tbl_LoC,296,19,1,1)</f>
        <v>0</v>
      </c>
      <c r="O297" s="15"/>
      <c r="P297" s="13"/>
      <c r="Q297" s="13" t="n">
        <v>270</v>
      </c>
      <c r="R297" s="13"/>
      <c r="S297" s="16"/>
      <c r="T297" s="11"/>
      <c r="U297" s="11"/>
      <c r="V297" s="14" t="e">
        <f aca="false">OFFSET(tbl_LoC,296,21,1,1)*OFFSET(tbl_LoC,296,20,1,1)</f>
        <v>#VALUE!</v>
      </c>
      <c r="W297" s="17"/>
      <c r="X297" s="14"/>
      <c r="Y297" s="18"/>
      <c r="Z297" s="19" t="n">
        <f aca="false">OFFSET(tbl_LoC,296,22,1,1)*OFFSET(tbl_LoC,296,20,1,1)</f>
        <v>0</v>
      </c>
      <c r="AA297" s="13" t="n">
        <v>2350</v>
      </c>
      <c r="AB297" s="13"/>
      <c r="AC297" s="13"/>
    </row>
    <row r="298" customFormat="false" ht="15" hidden="false" customHeight="false" outlineLevel="0" collapsed="false">
      <c r="A298" s="11"/>
      <c r="B298" s="11"/>
      <c r="C298" s="11"/>
      <c r="D298" s="11"/>
      <c r="E298" s="11"/>
      <c r="G298" s="11"/>
      <c r="H298" s="11" t="s">
        <v>7</v>
      </c>
      <c r="I298" s="11" t="n">
        <v>1</v>
      </c>
      <c r="J298" s="13" t="s">
        <v>94</v>
      </c>
      <c r="K298" s="13" t="s">
        <v>170</v>
      </c>
      <c r="L298" s="34" t="s">
        <v>688</v>
      </c>
      <c r="M298" s="24" t="s">
        <v>689</v>
      </c>
      <c r="N298" s="14" t="n">
        <f aca="false">OFFSET(tbl_LoC,297,19,1,1)</f>
        <v>0</v>
      </c>
      <c r="O298" s="15"/>
      <c r="P298" s="13"/>
      <c r="Q298" s="13" t="n">
        <v>350</v>
      </c>
      <c r="R298" s="13"/>
      <c r="S298" s="16"/>
      <c r="T298" s="11"/>
      <c r="U298" s="11"/>
      <c r="V298" s="14" t="e">
        <f aca="false">OFFSET(tbl_LoC,297,21,1,1)*OFFSET(tbl_LoC,297,20,1,1)</f>
        <v>#VALUE!</v>
      </c>
      <c r="W298" s="17"/>
      <c r="X298" s="14"/>
      <c r="Y298" s="18"/>
      <c r="Z298" s="19" t="n">
        <f aca="false">OFFSET(tbl_LoC,297,22,1,1)*OFFSET(tbl_LoC,297,20,1,1)</f>
        <v>0</v>
      </c>
      <c r="AA298" s="13" t="n">
        <v>3900</v>
      </c>
      <c r="AB298" s="13"/>
      <c r="AC298" s="13"/>
    </row>
    <row r="299" customFormat="false" ht="15" hidden="false" customHeight="false" outlineLevel="0" collapsed="false">
      <c r="A299" s="11"/>
      <c r="B299" s="11"/>
      <c r="C299" s="11"/>
      <c r="D299" s="11"/>
      <c r="E299" s="11"/>
      <c r="G299" s="11"/>
      <c r="H299" s="11" t="s">
        <v>7</v>
      </c>
      <c r="I299" s="11"/>
      <c r="J299" s="13" t="s">
        <v>94</v>
      </c>
      <c r="K299" s="13" t="s">
        <v>170</v>
      </c>
      <c r="L299" s="33" t="s">
        <v>690</v>
      </c>
      <c r="M299" s="13" t="s">
        <v>691</v>
      </c>
      <c r="N299" s="14" t="n">
        <f aca="false">OFFSET(tbl_LoC,298,19,1,1)</f>
        <v>0</v>
      </c>
      <c r="O299" s="15"/>
      <c r="P299" s="13"/>
      <c r="Q299" s="13" t="n">
        <v>225</v>
      </c>
      <c r="R299" s="13"/>
      <c r="S299" s="16"/>
      <c r="T299" s="11"/>
      <c r="U299" s="11"/>
      <c r="V299" s="14" t="e">
        <f aca="false">OFFSET(tbl_LoC,298,21,1,1)*OFFSET(tbl_LoC,298,20,1,1)</f>
        <v>#VALUE!</v>
      </c>
      <c r="W299" s="17"/>
      <c r="X299" s="14"/>
      <c r="Y299" s="18"/>
      <c r="Z299" s="19" t="n">
        <f aca="false">OFFSET(tbl_LoC,298,22,1,1)*OFFSET(tbl_LoC,298,20,1,1)</f>
        <v>0</v>
      </c>
      <c r="AA299" s="13" t="n">
        <v>2550</v>
      </c>
      <c r="AB299" s="13"/>
      <c r="AC299" s="13"/>
    </row>
    <row r="300" customFormat="false" ht="15" hidden="false" customHeight="false" outlineLevel="0" collapsed="false">
      <c r="A300" s="11"/>
      <c r="B300" s="11"/>
      <c r="C300" s="11"/>
      <c r="D300" s="11"/>
      <c r="E300" s="11"/>
      <c r="G300" s="11"/>
      <c r="H300" s="11" t="s">
        <v>7</v>
      </c>
      <c r="I300" s="11"/>
      <c r="J300" s="13" t="s">
        <v>94</v>
      </c>
      <c r="K300" s="13" t="s">
        <v>170</v>
      </c>
      <c r="L300" s="35" t="s">
        <v>692</v>
      </c>
      <c r="M300" s="13" t="s">
        <v>693</v>
      </c>
      <c r="N300" s="14" t="n">
        <f aca="false">OFFSET(tbl_LoC,299,19,1,1)</f>
        <v>0</v>
      </c>
      <c r="O300" s="15"/>
      <c r="P300" s="13"/>
      <c r="Q300" s="13" t="n">
        <v>270</v>
      </c>
      <c r="R300" s="13"/>
      <c r="S300" s="16"/>
      <c r="T300" s="11"/>
      <c r="U300" s="11"/>
      <c r="V300" s="14" t="e">
        <f aca="false">OFFSET(tbl_LoC,299,21,1,1)*OFFSET(tbl_LoC,299,20,1,1)</f>
        <v>#VALUE!</v>
      </c>
      <c r="W300" s="17"/>
      <c r="X300" s="14"/>
      <c r="Y300" s="18" t="n">
        <v>1650</v>
      </c>
      <c r="Z300" s="19" t="n">
        <f aca="false">OFFSET(tbl_LoC,299,22,1,1)*OFFSET(tbl_LoC,299,20,1,1)</f>
        <v>0</v>
      </c>
      <c r="AA300" s="13" t="e">
        <f aca="false">VLOOKUP(OFFSET(tbl_LoC,299,10,1,1),'[1]List of components'!$C$1:$F$1048576,2,FALSE())</f>
        <v>#N/A</v>
      </c>
      <c r="AB300" s="13" t="s">
        <v>671</v>
      </c>
      <c r="AC300" s="13"/>
    </row>
    <row r="301" customFormat="false" ht="15" hidden="false" customHeight="false" outlineLevel="0" collapsed="false">
      <c r="A301" s="11"/>
      <c r="B301" s="11"/>
      <c r="C301" s="11"/>
      <c r="D301" s="11"/>
      <c r="E301" s="11"/>
      <c r="G301" s="11"/>
      <c r="H301" s="11" t="s">
        <v>7</v>
      </c>
      <c r="I301" s="11"/>
      <c r="J301" s="13" t="s">
        <v>94</v>
      </c>
      <c r="K301" s="13" t="s">
        <v>170</v>
      </c>
      <c r="L301" s="35" t="s">
        <v>694</v>
      </c>
      <c r="M301" s="13" t="s">
        <v>693</v>
      </c>
      <c r="N301" s="14" t="n">
        <f aca="false">OFFSET(tbl_LoC,300,19,1,1)</f>
        <v>0</v>
      </c>
      <c r="O301" s="15"/>
      <c r="P301" s="13"/>
      <c r="Q301" s="13" t="n">
        <v>195</v>
      </c>
      <c r="R301" s="13"/>
      <c r="S301" s="16"/>
      <c r="T301" s="11"/>
      <c r="U301" s="11"/>
      <c r="V301" s="14"/>
      <c r="W301" s="17"/>
      <c r="X301" s="14"/>
      <c r="Y301" s="18" t="n">
        <v>1490</v>
      </c>
      <c r="Z301" s="19"/>
      <c r="AA301" s="13"/>
      <c r="AB301" s="13"/>
      <c r="AC301" s="13"/>
    </row>
    <row r="302" customFormat="false" ht="15" hidden="false" customHeight="false" outlineLevel="0" collapsed="false">
      <c r="A302" s="11"/>
      <c r="B302" s="11"/>
      <c r="C302" s="11"/>
      <c r="D302" s="11"/>
      <c r="E302" s="11"/>
      <c r="G302" s="11"/>
      <c r="H302" s="11" t="s">
        <v>7</v>
      </c>
      <c r="I302" s="11"/>
      <c r="J302" s="13" t="s">
        <v>94</v>
      </c>
      <c r="K302" s="13" t="s">
        <v>170</v>
      </c>
      <c r="L302" s="35" t="s">
        <v>695</v>
      </c>
      <c r="M302" s="24" t="s">
        <v>696</v>
      </c>
      <c r="N302" s="14" t="n">
        <f aca="false">OFFSET(tbl_LoC,301,19,1,1)</f>
        <v>0</v>
      </c>
      <c r="O302" s="15"/>
      <c r="P302" s="13"/>
      <c r="Q302" s="13" t="n">
        <v>225</v>
      </c>
      <c r="R302" s="13"/>
      <c r="S302" s="16"/>
      <c r="T302" s="11"/>
      <c r="U302" s="11"/>
      <c r="V302" s="14" t="e">
        <f aca="false">OFFSET(tbl_LoC,301,21,1,1)*OFFSET(tbl_LoC,301,20,1,1)</f>
        <v>#VALUE!</v>
      </c>
      <c r="W302" s="17"/>
      <c r="X302" s="14"/>
      <c r="Y302" s="18"/>
      <c r="Z302" s="19" t="n">
        <f aca="false">OFFSET(tbl_LoC,301,22,1,1)*OFFSET(tbl_LoC,301,20,1,1)</f>
        <v>0</v>
      </c>
      <c r="AA302" s="13" t="n">
        <v>1650</v>
      </c>
      <c r="AB302" s="13"/>
      <c r="AC302" s="13"/>
    </row>
    <row r="303" customFormat="false" ht="15" hidden="false" customHeight="false" outlineLevel="0" collapsed="false">
      <c r="A303" s="11"/>
      <c r="B303" s="11"/>
      <c r="C303" s="11"/>
      <c r="D303" s="11"/>
      <c r="E303" s="11"/>
      <c r="G303" s="11"/>
      <c r="H303" s="11" t="s">
        <v>7</v>
      </c>
      <c r="I303" s="11"/>
      <c r="J303" s="13" t="s">
        <v>94</v>
      </c>
      <c r="K303" s="13" t="s">
        <v>170</v>
      </c>
      <c r="L303" s="35" t="s">
        <v>697</v>
      </c>
      <c r="M303" s="24" t="s">
        <v>698</v>
      </c>
      <c r="N303" s="14" t="n">
        <f aca="false">OFFSET(tbl_LoC,302,19,1,1)</f>
        <v>0</v>
      </c>
      <c r="O303" s="15"/>
      <c r="P303" s="13"/>
      <c r="Q303" s="13" t="n">
        <v>225</v>
      </c>
      <c r="R303" s="13"/>
      <c r="S303" s="16"/>
      <c r="T303" s="11"/>
      <c r="U303" s="11"/>
      <c r="V303" s="14" t="e">
        <f aca="false">OFFSET(tbl_LoC,302,21,1,1)*OFFSET(tbl_LoC,302,20,1,1)</f>
        <v>#VALUE!</v>
      </c>
      <c r="W303" s="17"/>
      <c r="X303" s="14"/>
      <c r="Y303" s="18"/>
      <c r="Z303" s="19" t="n">
        <f aca="false">OFFSET(tbl_LoC,302,22,1,1)*OFFSET(tbl_LoC,302,20,1,1)</f>
        <v>0</v>
      </c>
      <c r="AA303" s="13" t="n">
        <v>1950</v>
      </c>
      <c r="AB303" s="13"/>
      <c r="AC303" s="13"/>
    </row>
    <row r="304" customFormat="false" ht="15" hidden="false" customHeight="false" outlineLevel="0" collapsed="false">
      <c r="L304" s="35" t="s">
        <v>699</v>
      </c>
      <c r="M304" s="24" t="s">
        <v>700</v>
      </c>
      <c r="Q304" s="2" t="n">
        <v>270</v>
      </c>
      <c r="Y304" s="6" t="n">
        <v>2600</v>
      </c>
    </row>
    <row r="305" customFormat="false" ht="15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  <c r="I305" s="11"/>
      <c r="J305" s="13"/>
      <c r="K305" s="13"/>
      <c r="L305" s="35" t="s">
        <v>701</v>
      </c>
      <c r="M305" s="24" t="s">
        <v>702</v>
      </c>
      <c r="N305" s="14" t="n">
        <f aca="false">OFFSET(tbl_LoC,304,19,1,1)</f>
        <v>0</v>
      </c>
      <c r="O305" s="15"/>
      <c r="P305" s="13"/>
      <c r="Q305" s="13" t="n">
        <v>250</v>
      </c>
      <c r="R305" s="13"/>
      <c r="S305" s="16"/>
      <c r="T305" s="11"/>
      <c r="U305" s="11"/>
      <c r="V305" s="14" t="e">
        <f aca="false">OFFSET(tbl_LoC,304,21,1,1)*OFFSET(tbl_LoC,304,20,1,1)</f>
        <v>#VALUE!</v>
      </c>
      <c r="W305" s="17"/>
      <c r="X305" s="14"/>
      <c r="Y305" s="18"/>
      <c r="Z305" s="19" t="n">
        <f aca="false">OFFSET(tbl_LoC,304,22,1,1)*OFFSET(tbl_LoC,304,20,1,1)</f>
        <v>0</v>
      </c>
      <c r="AA305" s="36" t="str">
        <f aca="false">VLOOKUP(OFFSET(tbl_LoC,304,10,1,1),'[1]List of components'!$C$1:$F$1048576,2,FALSE())</f>
        <v/>
      </c>
      <c r="AB305" s="13"/>
      <c r="AC305" s="13"/>
    </row>
    <row r="306" customFormat="false" ht="15" hidden="false" customHeight="false" outlineLevel="0" collapsed="false">
      <c r="A306" s="11"/>
      <c r="B306" s="11"/>
      <c r="C306" s="11"/>
      <c r="D306" s="11"/>
      <c r="E306" s="11"/>
      <c r="G306" s="11"/>
      <c r="H306" s="11" t="s">
        <v>7</v>
      </c>
      <c r="I306" s="11" t="n">
        <v>1</v>
      </c>
      <c r="J306" s="13" t="s">
        <v>94</v>
      </c>
      <c r="K306" s="13" t="s">
        <v>170</v>
      </c>
      <c r="L306" s="34" t="s">
        <v>703</v>
      </c>
      <c r="M306" s="24" t="s">
        <v>704</v>
      </c>
      <c r="N306" s="14" t="n">
        <f aca="false">OFFSET(tbl_LoC,305,19,1,1)</f>
        <v>0</v>
      </c>
      <c r="O306" s="15"/>
      <c r="P306" s="13"/>
      <c r="Q306" s="13" t="n">
        <v>350</v>
      </c>
      <c r="R306" s="13"/>
      <c r="S306" s="16"/>
      <c r="T306" s="11"/>
      <c r="U306" s="11"/>
      <c r="V306" s="14" t="e">
        <f aca="false">OFFSET(tbl_LoC,305,21,1,1)*OFFSET(tbl_LoC,305,20,1,1)</f>
        <v>#VALUE!</v>
      </c>
      <c r="W306" s="17"/>
      <c r="X306" s="14"/>
      <c r="Y306" s="18"/>
      <c r="Z306" s="19" t="n">
        <f aca="false">OFFSET(tbl_LoC,305,22,1,1)*OFFSET(tbl_LoC,305,20,1,1)</f>
        <v>0</v>
      </c>
      <c r="AA306" s="13" t="n">
        <v>3500</v>
      </c>
      <c r="AB306" s="13"/>
      <c r="AC306" s="13"/>
    </row>
    <row r="307" customFormat="false" ht="15" hidden="false" customHeight="false" outlineLevel="0" collapsed="false">
      <c r="A307" s="11"/>
      <c r="B307" s="11"/>
      <c r="C307" s="11"/>
      <c r="D307" s="11"/>
      <c r="E307" s="11"/>
      <c r="G307" s="11"/>
      <c r="H307" s="11" t="s">
        <v>7</v>
      </c>
      <c r="I307" s="11"/>
      <c r="J307" s="13" t="s">
        <v>94</v>
      </c>
      <c r="K307" s="13" t="s">
        <v>170</v>
      </c>
      <c r="L307" s="35" t="s">
        <v>705</v>
      </c>
      <c r="M307" s="13" t="s">
        <v>706</v>
      </c>
      <c r="N307" s="14" t="n">
        <f aca="false">OFFSET(tbl_LoC,306,19,1,1)</f>
        <v>0</v>
      </c>
      <c r="O307" s="15"/>
      <c r="P307" s="13"/>
      <c r="Q307" s="13" t="n">
        <v>300</v>
      </c>
      <c r="R307" s="13"/>
      <c r="S307" s="16"/>
      <c r="T307" s="11"/>
      <c r="U307" s="11"/>
      <c r="V307" s="14" t="e">
        <f aca="false">OFFSET(tbl_LoC,306,21,1,1)*OFFSET(tbl_LoC,306,20,1,1)</f>
        <v>#VALUE!</v>
      </c>
      <c r="W307" s="17"/>
      <c r="X307" s="14"/>
      <c r="Y307" s="18" t="n">
        <v>3450</v>
      </c>
      <c r="Z307" s="19" t="n">
        <f aca="false">OFFSET(tbl_LoC,306,22,1,1)*OFFSET(tbl_LoC,306,20,1,1)</f>
        <v>0</v>
      </c>
      <c r="AA307" s="13" t="n">
        <v>1500</v>
      </c>
      <c r="AB307" s="13"/>
      <c r="AC307" s="13"/>
    </row>
    <row r="308" customFormat="false" ht="15" hidden="false" customHeight="false" outlineLevel="0" collapsed="false">
      <c r="A308" s="11"/>
      <c r="B308" s="11"/>
      <c r="C308" s="11"/>
      <c r="D308" s="11"/>
      <c r="E308" s="11"/>
      <c r="G308" s="11"/>
      <c r="H308" s="11" t="s">
        <v>7</v>
      </c>
      <c r="I308" s="11" t="n">
        <v>1</v>
      </c>
      <c r="J308" s="13" t="s">
        <v>94</v>
      </c>
      <c r="K308" s="13" t="s">
        <v>170</v>
      </c>
      <c r="L308" s="34" t="s">
        <v>707</v>
      </c>
      <c r="M308" s="13" t="s">
        <v>708</v>
      </c>
      <c r="N308" s="14" t="n">
        <f aca="false">OFFSET(tbl_LoC,307,19,1,1)</f>
        <v>0</v>
      </c>
      <c r="O308" s="15"/>
      <c r="P308" s="13"/>
      <c r="Q308" s="13" t="n">
        <v>300</v>
      </c>
      <c r="R308" s="13"/>
      <c r="S308" s="16"/>
      <c r="T308" s="11"/>
      <c r="U308" s="11"/>
      <c r="V308" s="14" t="e">
        <f aca="false">OFFSET(tbl_LoC,307,21,1,1)*OFFSET(tbl_LoC,307,20,1,1)</f>
        <v>#VALUE!</v>
      </c>
      <c r="W308" s="17"/>
      <c r="X308" s="14"/>
      <c r="Y308" s="18"/>
      <c r="Z308" s="19" t="n">
        <f aca="false">OFFSET(tbl_LoC,307,22,1,1)*OFFSET(tbl_LoC,307,20,1,1)</f>
        <v>0</v>
      </c>
      <c r="AA308" s="13" t="n">
        <v>4300</v>
      </c>
      <c r="AB308" s="13"/>
      <c r="AC308" s="13"/>
    </row>
    <row r="309" customFormat="false" ht="15" hidden="false" customHeight="false" outlineLevel="0" collapsed="false">
      <c r="A309" s="11"/>
      <c r="B309" s="11"/>
      <c r="C309" s="11"/>
      <c r="D309" s="11"/>
      <c r="E309" s="11"/>
      <c r="G309" s="11"/>
      <c r="H309" s="11" t="s">
        <v>7</v>
      </c>
      <c r="I309" s="11"/>
      <c r="J309" s="13" t="s">
        <v>94</v>
      </c>
      <c r="K309" s="13" t="s">
        <v>170</v>
      </c>
      <c r="L309" s="35" t="s">
        <v>709</v>
      </c>
      <c r="M309" s="13" t="s">
        <v>710</v>
      </c>
      <c r="N309" s="14" t="n">
        <f aca="false">OFFSET(tbl_LoC,308,19,1,1)</f>
        <v>0</v>
      </c>
      <c r="O309" s="15"/>
      <c r="P309" s="13"/>
      <c r="Q309" s="13" t="n">
        <v>300</v>
      </c>
      <c r="R309" s="13"/>
      <c r="S309" s="16"/>
      <c r="T309" s="11"/>
      <c r="U309" s="11"/>
      <c r="V309" s="14" t="e">
        <f aca="false">OFFSET(tbl_LoC,308,21,1,1)*OFFSET(tbl_LoC,308,20,1,1)</f>
        <v>#VALUE!</v>
      </c>
      <c r="W309" s="17"/>
      <c r="X309" s="14"/>
      <c r="Y309" s="18" t="n">
        <v>5100</v>
      </c>
      <c r="Z309" s="19" t="n">
        <f aca="false">OFFSET(tbl_LoC,308,22,1,1)*OFFSET(tbl_LoC,308,20,1,1)</f>
        <v>0</v>
      </c>
      <c r="AA309" s="13" t="n">
        <v>2900</v>
      </c>
      <c r="AB309" s="13"/>
      <c r="AC309" s="13"/>
    </row>
    <row r="310" customFormat="false" ht="15" hidden="false" customHeight="false" outlineLevel="0" collapsed="false">
      <c r="A310" s="11"/>
      <c r="B310" s="11"/>
      <c r="C310" s="11"/>
      <c r="D310" s="11"/>
      <c r="E310" s="11"/>
      <c r="G310" s="11"/>
      <c r="H310" s="11" t="s">
        <v>7</v>
      </c>
      <c r="I310" s="11" t="n">
        <v>1</v>
      </c>
      <c r="J310" s="13" t="s">
        <v>94</v>
      </c>
      <c r="K310" s="13" t="s">
        <v>170</v>
      </c>
      <c r="L310" s="34" t="s">
        <v>711</v>
      </c>
      <c r="M310" s="24" t="s">
        <v>712</v>
      </c>
      <c r="N310" s="14" t="n">
        <f aca="false">OFFSET(tbl_LoC,309,19,1,1)</f>
        <v>0</v>
      </c>
      <c r="O310" s="15"/>
      <c r="P310" s="13"/>
      <c r="Q310" s="13" t="n">
        <v>350</v>
      </c>
      <c r="R310" s="13"/>
      <c r="S310" s="16"/>
      <c r="T310" s="11"/>
      <c r="U310" s="11"/>
      <c r="V310" s="14" t="e">
        <f aca="false">OFFSET(tbl_LoC,309,21,1,1)*OFFSET(tbl_LoC,309,20,1,1)</f>
        <v>#VALUE!</v>
      </c>
      <c r="W310" s="17"/>
      <c r="X310" s="14"/>
      <c r="Y310" s="18"/>
      <c r="Z310" s="19" t="n">
        <f aca="false">OFFSET(tbl_LoC,309,22,1,1)*OFFSET(tbl_LoC,309,20,1,1)</f>
        <v>0</v>
      </c>
      <c r="AA310" s="13" t="n">
        <v>3600</v>
      </c>
      <c r="AB310" s="13"/>
      <c r="AC310" s="13"/>
    </row>
    <row r="311" customFormat="false" ht="15" hidden="false" customHeight="false" outlineLevel="0" collapsed="false">
      <c r="A311" s="11"/>
      <c r="B311" s="11"/>
      <c r="C311" s="11"/>
      <c r="D311" s="11"/>
      <c r="E311" s="11"/>
      <c r="G311" s="11"/>
      <c r="H311" s="11" t="s">
        <v>7</v>
      </c>
      <c r="I311" s="11" t="n">
        <v>1</v>
      </c>
      <c r="J311" s="13" t="s">
        <v>94</v>
      </c>
      <c r="K311" s="13" t="s">
        <v>170</v>
      </c>
      <c r="L311" s="34" t="s">
        <v>713</v>
      </c>
      <c r="M311" s="24" t="s">
        <v>714</v>
      </c>
      <c r="N311" s="14" t="n">
        <f aca="false">OFFSET(tbl_LoC,310,19,1,1)</f>
        <v>0</v>
      </c>
      <c r="O311" s="15"/>
      <c r="P311" s="13"/>
      <c r="Q311" s="13" t="n">
        <v>330</v>
      </c>
      <c r="R311" s="13"/>
      <c r="S311" s="16"/>
      <c r="T311" s="11"/>
      <c r="U311" s="11"/>
      <c r="V311" s="14" t="e">
        <f aca="false">OFFSET(tbl_LoC,310,21,1,1)*OFFSET(tbl_LoC,310,20,1,1)</f>
        <v>#VALUE!</v>
      </c>
      <c r="W311" s="17"/>
      <c r="X311" s="14"/>
      <c r="Y311" s="18"/>
      <c r="Z311" s="19" t="n">
        <f aca="false">OFFSET(tbl_LoC,310,22,1,1)*OFFSET(tbl_LoC,310,20,1,1)</f>
        <v>0</v>
      </c>
      <c r="AA311" s="13" t="n">
        <v>3300</v>
      </c>
      <c r="AB311" s="13"/>
      <c r="AC311" s="13"/>
    </row>
    <row r="312" customFormat="false" ht="15" hidden="false" customHeight="false" outlineLevel="0" collapsed="false">
      <c r="A312" s="11"/>
      <c r="B312" s="11"/>
      <c r="C312" s="11"/>
      <c r="D312" s="11"/>
      <c r="E312" s="11"/>
      <c r="G312" s="11"/>
      <c r="H312" s="11" t="s">
        <v>7</v>
      </c>
      <c r="I312" s="11" t="n">
        <v>1</v>
      </c>
      <c r="J312" s="13" t="s">
        <v>94</v>
      </c>
      <c r="K312" s="13" t="s">
        <v>170</v>
      </c>
      <c r="L312" s="34" t="s">
        <v>715</v>
      </c>
      <c r="M312" s="24" t="s">
        <v>716</v>
      </c>
      <c r="N312" s="14" t="n">
        <f aca="false">OFFSET(tbl_LoC,311,19,1,1)</f>
        <v>0</v>
      </c>
      <c r="O312" s="15"/>
      <c r="P312" s="13"/>
      <c r="Q312" s="13" t="n">
        <v>350</v>
      </c>
      <c r="R312" s="13"/>
      <c r="S312" s="16"/>
      <c r="T312" s="11"/>
      <c r="U312" s="11"/>
      <c r="V312" s="14" t="e">
        <f aca="false">OFFSET(tbl_LoC,311,21,1,1)*OFFSET(tbl_LoC,311,20,1,1)</f>
        <v>#VALUE!</v>
      </c>
      <c r="W312" s="17"/>
      <c r="X312" s="14"/>
      <c r="Y312" s="18"/>
      <c r="Z312" s="19" t="n">
        <f aca="false">OFFSET(tbl_LoC,311,22,1,1)*OFFSET(tbl_LoC,311,20,1,1)</f>
        <v>0</v>
      </c>
      <c r="AA312" s="13" t="n">
        <v>4300</v>
      </c>
      <c r="AB312" s="13"/>
      <c r="AC312" s="13"/>
    </row>
    <row r="313" customFormat="false" ht="15" hidden="false" customHeight="false" outlineLevel="0" collapsed="false">
      <c r="A313" s="11"/>
      <c r="B313" s="11"/>
      <c r="C313" s="11"/>
      <c r="D313" s="11"/>
      <c r="E313" s="11"/>
      <c r="G313" s="11"/>
      <c r="H313" s="11" t="s">
        <v>7</v>
      </c>
      <c r="I313" s="11" t="n">
        <v>1</v>
      </c>
      <c r="J313" s="13" t="s">
        <v>94</v>
      </c>
      <c r="K313" s="13" t="s">
        <v>170</v>
      </c>
      <c r="L313" s="34" t="s">
        <v>717</v>
      </c>
      <c r="M313" s="24" t="s">
        <v>718</v>
      </c>
      <c r="N313" s="14" t="n">
        <f aca="false">OFFSET(tbl_LoC,312,19,1,1)</f>
        <v>0</v>
      </c>
      <c r="O313" s="15"/>
      <c r="P313" s="13"/>
      <c r="Q313" s="13" t="n">
        <v>300</v>
      </c>
      <c r="R313" s="13"/>
      <c r="S313" s="16"/>
      <c r="T313" s="11"/>
      <c r="U313" s="11"/>
      <c r="V313" s="14" t="e">
        <f aca="false">OFFSET(tbl_LoC,312,21,1,1)*OFFSET(tbl_LoC,312,20,1,1)</f>
        <v>#VALUE!</v>
      </c>
      <c r="W313" s="17"/>
      <c r="X313" s="14"/>
      <c r="Y313" s="18"/>
      <c r="Z313" s="19" t="n">
        <f aca="false">OFFSET(tbl_LoC,312,22,1,1)*OFFSET(tbl_LoC,312,20,1,1)</f>
        <v>0</v>
      </c>
      <c r="AA313" s="13" t="n">
        <v>4500</v>
      </c>
      <c r="AB313" s="13"/>
      <c r="AC313" s="13"/>
    </row>
    <row r="314" customFormat="false" ht="15" hidden="false" customHeight="false" outlineLevel="0" collapsed="false">
      <c r="A314" s="11"/>
      <c r="B314" s="11"/>
      <c r="C314" s="11"/>
      <c r="D314" s="11"/>
      <c r="E314" s="11"/>
      <c r="G314" s="11"/>
      <c r="H314" s="11" t="s">
        <v>7</v>
      </c>
      <c r="I314" s="11" t="n">
        <v>1</v>
      </c>
      <c r="J314" s="13" t="s">
        <v>94</v>
      </c>
      <c r="K314" s="13" t="s">
        <v>170</v>
      </c>
      <c r="L314" s="34" t="s">
        <v>719</v>
      </c>
      <c r="M314" s="24" t="s">
        <v>720</v>
      </c>
      <c r="N314" s="14" t="n">
        <f aca="false">OFFSET(tbl_LoC,313,19,1,1)</f>
        <v>0</v>
      </c>
      <c r="O314" s="15"/>
      <c r="P314" s="13"/>
      <c r="Q314" s="13" t="n">
        <v>350</v>
      </c>
      <c r="R314" s="13"/>
      <c r="S314" s="16"/>
      <c r="T314" s="11"/>
      <c r="U314" s="11"/>
      <c r="V314" s="14" t="e">
        <f aca="false">OFFSET(tbl_LoC,313,21,1,1)*OFFSET(tbl_LoC,313,20,1,1)</f>
        <v>#VALUE!</v>
      </c>
      <c r="W314" s="17"/>
      <c r="X314" s="14"/>
      <c r="Y314" s="18"/>
      <c r="Z314" s="19" t="n">
        <f aca="false">OFFSET(tbl_LoC,313,22,1,1)*OFFSET(tbl_LoC,313,20,1,1)</f>
        <v>0</v>
      </c>
      <c r="AA314" s="13" t="n">
        <v>4500</v>
      </c>
      <c r="AB314" s="13"/>
      <c r="AC314" s="13"/>
    </row>
    <row r="315" customFormat="false" ht="15" hidden="false" customHeight="false" outlineLevel="0" collapsed="false">
      <c r="A315" s="11"/>
      <c r="B315" s="11"/>
      <c r="C315" s="11"/>
      <c r="D315" s="11"/>
      <c r="E315" s="11"/>
      <c r="G315" s="11"/>
      <c r="H315" s="11" t="s">
        <v>7</v>
      </c>
      <c r="I315" s="11" t="n">
        <v>1</v>
      </c>
      <c r="J315" s="13" t="s">
        <v>94</v>
      </c>
      <c r="K315" s="13" t="s">
        <v>170</v>
      </c>
      <c r="L315" s="34" t="s">
        <v>721</v>
      </c>
      <c r="M315" s="24" t="s">
        <v>722</v>
      </c>
      <c r="N315" s="14" t="n">
        <f aca="false">OFFSET(tbl_LoC,314,19,1,1)</f>
        <v>0</v>
      </c>
      <c r="O315" s="15"/>
      <c r="P315" s="13"/>
      <c r="Q315" s="13" t="n">
        <v>350</v>
      </c>
      <c r="R315" s="13"/>
      <c r="S315" s="16"/>
      <c r="T315" s="11"/>
      <c r="U315" s="11"/>
      <c r="V315" s="14" t="e">
        <f aca="false">OFFSET(tbl_LoC,314,21,1,1)*OFFSET(tbl_LoC,314,20,1,1)</f>
        <v>#VALUE!</v>
      </c>
      <c r="W315" s="17"/>
      <c r="X315" s="14"/>
      <c r="Y315" s="18"/>
      <c r="Z315" s="19" t="n">
        <f aca="false">OFFSET(tbl_LoC,314,22,1,1)*OFFSET(tbl_LoC,314,20,1,1)</f>
        <v>0</v>
      </c>
      <c r="AA315" s="13" t="n">
        <v>4300</v>
      </c>
      <c r="AB315" s="13"/>
      <c r="AC315" s="13"/>
    </row>
    <row r="316" customFormat="false" ht="15" hidden="false" customHeight="false" outlineLevel="0" collapsed="false">
      <c r="A316" s="11"/>
      <c r="B316" s="11"/>
      <c r="C316" s="11"/>
      <c r="D316" s="11"/>
      <c r="E316" s="11"/>
      <c r="G316" s="11"/>
      <c r="H316" s="11" t="s">
        <v>7</v>
      </c>
      <c r="I316" s="11"/>
      <c r="J316" s="13" t="s">
        <v>94</v>
      </c>
      <c r="K316" s="13" t="s">
        <v>170</v>
      </c>
      <c r="L316" s="35" t="s">
        <v>723</v>
      </c>
      <c r="M316" s="24" t="s">
        <v>724</v>
      </c>
      <c r="N316" s="14" t="n">
        <f aca="false">OFFSET(tbl_LoC,315,19,1,1)</f>
        <v>0</v>
      </c>
      <c r="O316" s="15"/>
      <c r="P316" s="13"/>
      <c r="Q316" s="13" t="n">
        <v>330</v>
      </c>
      <c r="R316" s="13"/>
      <c r="S316" s="16"/>
      <c r="T316" s="11"/>
      <c r="U316" s="11"/>
      <c r="V316" s="14" t="e">
        <f aca="false">OFFSET(tbl_LoC,315,21,1,1)*OFFSET(tbl_LoC,315,20,1,1)</f>
        <v>#VALUE!</v>
      </c>
      <c r="W316" s="17"/>
      <c r="X316" s="14"/>
      <c r="Y316" s="18" t="n">
        <v>5000</v>
      </c>
      <c r="Z316" s="19" t="n">
        <f aca="false">OFFSET(tbl_LoC,315,22,1,1)*OFFSET(tbl_LoC,315,20,1,1)</f>
        <v>0</v>
      </c>
      <c r="AA316" s="13" t="n">
        <v>10800</v>
      </c>
      <c r="AB316" s="13"/>
      <c r="AC316" s="13"/>
    </row>
    <row r="317" customFormat="false" ht="15" hidden="false" customHeight="false" outlineLevel="0" collapsed="false">
      <c r="A317" s="11"/>
      <c r="B317" s="11"/>
      <c r="C317" s="11"/>
      <c r="D317" s="11"/>
      <c r="E317" s="11"/>
      <c r="G317" s="11"/>
      <c r="H317" s="11" t="s">
        <v>7</v>
      </c>
      <c r="I317" s="11"/>
      <c r="J317" s="13" t="s">
        <v>94</v>
      </c>
      <c r="K317" s="13" t="s">
        <v>170</v>
      </c>
      <c r="L317" s="35" t="s">
        <v>725</v>
      </c>
      <c r="M317" s="24" t="s">
        <v>726</v>
      </c>
      <c r="N317" s="14" t="n">
        <f aca="false">OFFSET(tbl_LoC,316,19,1,1)</f>
        <v>0</v>
      </c>
      <c r="O317" s="15"/>
      <c r="P317" s="13"/>
      <c r="Q317" s="13" t="n">
        <v>125</v>
      </c>
      <c r="R317" s="13"/>
      <c r="S317" s="16"/>
      <c r="T317" s="11"/>
      <c r="U317" s="11"/>
      <c r="V317" s="14" t="e">
        <f aca="false">OFFSET(tbl_LoC,316,21,1,1)*OFFSET(tbl_LoC,316,20,1,1)</f>
        <v>#VALUE!</v>
      </c>
      <c r="W317" s="17"/>
      <c r="X317" s="14" t="n">
        <f aca="false">Y317/(1-0.15)/(1-0.6)</f>
        <v>1852.94117647059</v>
      </c>
      <c r="Y317" s="18" t="n">
        <v>630</v>
      </c>
      <c r="Z317" s="19" t="n">
        <f aca="false">OFFSET(tbl_LoC,316,22,1,1)*OFFSET(tbl_LoC,316,20,1,1)</f>
        <v>0</v>
      </c>
      <c r="AA317" s="13" t="e">
        <f aca="false">VLOOKUP(OFFSET(tbl_LoC,316,10,1,1),'[1]List of components'!$C$1:$F$1048576,2,FALSE())</f>
        <v>#N/A</v>
      </c>
      <c r="AB317" s="13" t="s">
        <v>671</v>
      </c>
      <c r="AC317" s="13"/>
    </row>
    <row r="318" customFormat="false" ht="15" hidden="false" customHeight="false" outlineLevel="0" collapsed="false">
      <c r="A318" s="11"/>
      <c r="B318" s="11"/>
      <c r="C318" s="11"/>
      <c r="D318" s="11"/>
      <c r="E318" s="11"/>
      <c r="G318" s="11"/>
      <c r="H318" s="11" t="s">
        <v>7</v>
      </c>
      <c r="I318" s="11"/>
      <c r="J318" s="13" t="s">
        <v>94</v>
      </c>
      <c r="K318" s="13" t="s">
        <v>170</v>
      </c>
      <c r="L318" s="35" t="s">
        <v>727</v>
      </c>
      <c r="M318" s="13" t="s">
        <v>728</v>
      </c>
      <c r="N318" s="14" t="n">
        <f aca="false">OFFSET(tbl_LoC,317,19,1,1)</f>
        <v>0</v>
      </c>
      <c r="O318" s="15"/>
      <c r="P318" s="13"/>
      <c r="Q318" s="13" t="n">
        <v>150</v>
      </c>
      <c r="R318" s="13"/>
      <c r="S318" s="16"/>
      <c r="T318" s="11"/>
      <c r="U318" s="11"/>
      <c r="V318" s="37" t="e">
        <f aca="false">OFFSET(tbl_LoC,317,21,1,1)*OFFSET(tbl_LoC,317,20,1,1)</f>
        <v>#VALUE!</v>
      </c>
      <c r="W318" s="17" t="n">
        <v>103</v>
      </c>
      <c r="X318" s="14" t="n">
        <f aca="false">Y318/(1-0.15)/(1-0.6)</f>
        <v>2647.05882352941</v>
      </c>
      <c r="Y318" s="18" t="n">
        <v>900</v>
      </c>
      <c r="Z318" s="19" t="n">
        <f aca="false">OFFSET(tbl_LoC,317,22,1,1)*OFFSET(tbl_LoC,317,20,1,1)</f>
        <v>0</v>
      </c>
      <c r="AA318" s="13" t="e">
        <f aca="false">VLOOKUP(OFFSET(tbl_LoC,317,10,1,1),'[1]List of components'!$C$1:$F$1048576,2,FALSE())</f>
        <v>#N/A</v>
      </c>
      <c r="AB318" s="13"/>
      <c r="AC318" s="13"/>
    </row>
    <row r="319" customFormat="false" ht="15" hidden="false" customHeight="false" outlineLevel="0" collapsed="false">
      <c r="A319" s="11"/>
      <c r="B319" s="11"/>
      <c r="C319" s="11"/>
      <c r="D319" s="11"/>
      <c r="E319" s="11"/>
      <c r="G319" s="11"/>
      <c r="H319" s="11" t="s">
        <v>7</v>
      </c>
      <c r="I319" s="11"/>
      <c r="J319" s="13" t="s">
        <v>94</v>
      </c>
      <c r="K319" s="13" t="s">
        <v>170</v>
      </c>
      <c r="L319" s="35" t="s">
        <v>729</v>
      </c>
      <c r="M319" s="13" t="s">
        <v>730</v>
      </c>
      <c r="N319" s="14" t="n">
        <f aca="false">OFFSET(tbl_LoC,318,19,1,1)</f>
        <v>0</v>
      </c>
      <c r="O319" s="15"/>
      <c r="P319" s="13"/>
      <c r="Q319" s="13" t="n">
        <v>150</v>
      </c>
      <c r="R319" s="13"/>
      <c r="S319" s="16"/>
      <c r="T319" s="11"/>
      <c r="U319" s="11"/>
      <c r="V319" s="37" t="e">
        <f aca="false">OFFSET(tbl_LoC,318,21,1,1)*OFFSET(tbl_LoC,318,20,1,1)</f>
        <v>#VALUE!</v>
      </c>
      <c r="W319" s="17" t="n">
        <v>103</v>
      </c>
      <c r="X319" s="14" t="n">
        <f aca="false">Y319/(1-0.15)/(1-0.6)</f>
        <v>1794.11764705882</v>
      </c>
      <c r="Y319" s="18" t="n">
        <v>610</v>
      </c>
      <c r="Z319" s="19" t="n">
        <f aca="false">OFFSET(tbl_LoC,318,22,1,1)*OFFSET(tbl_LoC,318,20,1,1)</f>
        <v>0</v>
      </c>
      <c r="AA319" s="13" t="e">
        <f aca="false">VLOOKUP(OFFSET(tbl_LoC,318,10,1,1),'[1]List of components'!$C$1:$F$1048576,2,FALSE())</f>
        <v>#N/A</v>
      </c>
      <c r="AB319" s="13"/>
      <c r="AC319" s="13"/>
    </row>
    <row r="320" customFormat="false" ht="15" hidden="false" customHeight="false" outlineLevel="0" collapsed="false">
      <c r="A320" s="11"/>
      <c r="B320" s="11"/>
      <c r="C320" s="11"/>
      <c r="D320" s="11"/>
      <c r="E320" s="11"/>
      <c r="G320" s="11"/>
      <c r="H320" s="11" t="s">
        <v>7</v>
      </c>
      <c r="I320" s="11"/>
      <c r="J320" s="13" t="s">
        <v>94</v>
      </c>
      <c r="K320" s="13" t="s">
        <v>170</v>
      </c>
      <c r="L320" s="35" t="s">
        <v>731</v>
      </c>
      <c r="M320" s="24" t="s">
        <v>732</v>
      </c>
      <c r="N320" s="14" t="n">
        <f aca="false">OFFSET(tbl_LoC,319,19,1,1)</f>
        <v>0</v>
      </c>
      <c r="O320" s="15"/>
      <c r="P320" s="13"/>
      <c r="Q320" s="13" t="n">
        <v>185</v>
      </c>
      <c r="R320" s="13"/>
      <c r="S320" s="16"/>
      <c r="T320" s="11"/>
      <c r="U320" s="11"/>
      <c r="V320" s="37" t="e">
        <f aca="false">OFFSET(tbl_LoC,319,21,1,1)*OFFSET(tbl_LoC,319,20,1,1)</f>
        <v>#VALUE!</v>
      </c>
      <c r="W320" s="17" t="n">
        <v>103</v>
      </c>
      <c r="X320" s="14" t="n">
        <f aca="false">Y320/(1-0.15)/(1-0.6)</f>
        <v>0</v>
      </c>
      <c r="Y320" s="18"/>
      <c r="Z320" s="19" t="n">
        <f aca="false">OFFSET(tbl_LoC,319,22,1,1)*OFFSET(tbl_LoC,319,20,1,1)</f>
        <v>0</v>
      </c>
      <c r="AA320" s="13" t="e">
        <f aca="false">VLOOKUP(OFFSET(tbl_LoC,319,10,1,1),'[1]List of components'!$C$1:$F$1048576,2,FALSE())</f>
        <v>#N/A</v>
      </c>
      <c r="AB320" s="13"/>
      <c r="AC320" s="13"/>
    </row>
    <row r="321" customFormat="false" ht="15" hidden="false" customHeight="false" outlineLevel="0" collapsed="false">
      <c r="A321" s="11"/>
      <c r="B321" s="11"/>
      <c r="C321" s="11"/>
      <c r="D321" s="11"/>
      <c r="E321" s="11"/>
      <c r="G321" s="11"/>
      <c r="H321" s="11" t="s">
        <v>7</v>
      </c>
      <c r="I321" s="11"/>
      <c r="J321" s="13" t="s">
        <v>94</v>
      </c>
      <c r="K321" s="13" t="s">
        <v>170</v>
      </c>
      <c r="L321" s="35" t="s">
        <v>733</v>
      </c>
      <c r="M321" s="24" t="s">
        <v>734</v>
      </c>
      <c r="N321" s="14" t="n">
        <f aca="false">OFFSET(tbl_LoC,320,19,1,1)</f>
        <v>0</v>
      </c>
      <c r="O321" s="17"/>
      <c r="P321" s="14"/>
      <c r="Q321" s="13" t="n">
        <v>150</v>
      </c>
      <c r="R321" s="19" t="n">
        <v>0</v>
      </c>
      <c r="S321" s="13" t="n">
        <v>570</v>
      </c>
      <c r="T321" s="11"/>
      <c r="U321" s="11"/>
      <c r="V321" s="37" t="e">
        <f aca="false">OFFSET(tbl_LoC,320,21,1,1)*OFFSET(tbl_LoC,320,20,1,1)</f>
        <v>#VALUE!</v>
      </c>
      <c r="W321" s="17" t="n">
        <v>103</v>
      </c>
      <c r="X321" s="14" t="n">
        <f aca="false">Y321/(1-0.15)/(1-0.6)</f>
        <v>1705.88235294118</v>
      </c>
      <c r="Y321" s="18" t="n">
        <v>580</v>
      </c>
      <c r="Z321" s="19" t="n">
        <f aca="false">OFFSET(tbl_LoC,320,22,1,1)*OFFSET(tbl_LoC,320,20,1,1)</f>
        <v>0</v>
      </c>
      <c r="AA321" s="13" t="n">
        <v>570</v>
      </c>
      <c r="AB321" s="13"/>
      <c r="AC321" s="13"/>
    </row>
    <row r="322" customFormat="false" ht="15" hidden="false" customHeight="false" outlineLevel="0" collapsed="false">
      <c r="A322" s="11"/>
      <c r="B322" s="11"/>
      <c r="C322" s="11"/>
      <c r="D322" s="11"/>
      <c r="E322" s="11"/>
      <c r="G322" s="11"/>
      <c r="H322" s="11" t="s">
        <v>7</v>
      </c>
      <c r="I322" s="11"/>
      <c r="J322" s="13" t="s">
        <v>94</v>
      </c>
      <c r="K322" s="13" t="s">
        <v>170</v>
      </c>
      <c r="L322" s="33" t="s">
        <v>735</v>
      </c>
      <c r="M322" s="13" t="s">
        <v>736</v>
      </c>
      <c r="N322" s="14" t="n">
        <f aca="false">OFFSET(tbl_LoC,321,19,1,1)</f>
        <v>0</v>
      </c>
      <c r="O322" s="15"/>
      <c r="P322" s="13"/>
      <c r="Q322" s="13" t="n">
        <v>185</v>
      </c>
      <c r="R322" s="13"/>
      <c r="S322" s="16"/>
      <c r="T322" s="11"/>
      <c r="U322" s="11"/>
      <c r="V322" s="37" t="e">
        <f aca="false">OFFSET(tbl_LoC,321,21,1,1)*OFFSET(tbl_LoC,321,20,1,1)</f>
        <v>#VALUE!</v>
      </c>
      <c r="W322" s="17" t="n">
        <v>103</v>
      </c>
      <c r="X322" s="14" t="n">
        <f aca="false">Y322/(1-0.15)/(1-0.6)</f>
        <v>1705.88235294118</v>
      </c>
      <c r="Y322" s="18" t="n">
        <v>580</v>
      </c>
      <c r="Z322" s="19" t="n">
        <f aca="false">OFFSET(tbl_LoC,321,22,1,1)*OFFSET(tbl_LoC,321,20,1,1)</f>
        <v>0</v>
      </c>
      <c r="AA322" s="13" t="n">
        <v>420</v>
      </c>
      <c r="AB322" s="13"/>
      <c r="AC322" s="13"/>
    </row>
    <row r="323" customFormat="false" ht="15" hidden="false" customHeight="false" outlineLevel="0" collapsed="false">
      <c r="A323" s="11"/>
      <c r="B323" s="11"/>
      <c r="C323" s="11"/>
      <c r="D323" s="11"/>
      <c r="E323" s="11"/>
      <c r="G323" s="11"/>
      <c r="H323" s="11" t="s">
        <v>7</v>
      </c>
      <c r="I323" s="11"/>
      <c r="J323" s="13" t="s">
        <v>94</v>
      </c>
      <c r="K323" s="13" t="s">
        <v>170</v>
      </c>
      <c r="L323" s="33" t="s">
        <v>737</v>
      </c>
      <c r="M323" s="13" t="s">
        <v>738</v>
      </c>
      <c r="N323" s="14" t="n">
        <f aca="false">OFFSET(tbl_LoC,322,19,1,1)</f>
        <v>0</v>
      </c>
      <c r="O323" s="15"/>
      <c r="P323" s="13"/>
      <c r="Q323" s="13" t="n">
        <v>205</v>
      </c>
      <c r="R323" s="13"/>
      <c r="S323" s="16"/>
      <c r="T323" s="11"/>
      <c r="U323" s="11"/>
      <c r="V323" s="14" t="e">
        <f aca="false">OFFSET(tbl_LoC,322,21,1,1)*OFFSET(tbl_LoC,322,20,1,1)</f>
        <v>#VALUE!</v>
      </c>
      <c r="W323" s="17" t="n">
        <v>103</v>
      </c>
      <c r="X323" s="14" t="n">
        <f aca="false">Y323/(1-0.15)/(1-0.6)</f>
        <v>3558.82352941176</v>
      </c>
      <c r="Y323" s="18" t="n">
        <v>1210</v>
      </c>
      <c r="Z323" s="19" t="n">
        <f aca="false">OFFSET(tbl_LoC,322,22,1,1)*OFFSET(tbl_LoC,322,20,1,1)</f>
        <v>0</v>
      </c>
      <c r="AA323" s="13" t="n">
        <v>815</v>
      </c>
      <c r="AB323" s="13"/>
      <c r="AC323" s="13"/>
    </row>
    <row r="324" customFormat="false" ht="15" hidden="false" customHeight="false" outlineLevel="0" collapsed="false">
      <c r="A324" s="11" t="s">
        <v>0</v>
      </c>
      <c r="B324" s="11" t="s">
        <v>1</v>
      </c>
      <c r="C324" s="11" t="s">
        <v>2</v>
      </c>
      <c r="D324" s="11"/>
      <c r="E324" s="11"/>
      <c r="F324" s="11"/>
      <c r="G324" s="11" t="s">
        <v>6</v>
      </c>
      <c r="H324" s="11"/>
      <c r="I324" s="11"/>
      <c r="J324" s="13" t="s">
        <v>256</v>
      </c>
      <c r="K324" s="13" t="s">
        <v>739</v>
      </c>
      <c r="L324" s="24" t="s">
        <v>740</v>
      </c>
      <c r="M324" s="13" t="s">
        <v>741</v>
      </c>
      <c r="N324" s="14" t="n">
        <f aca="false">OFFSET(tbl_LoC,323,19,1,1)</f>
        <v>0</v>
      </c>
      <c r="O324" s="15"/>
      <c r="P324" s="13"/>
      <c r="Q324" s="13" t="n">
        <v>10</v>
      </c>
      <c r="R324" s="13"/>
      <c r="S324" s="16"/>
      <c r="T324" s="11"/>
      <c r="U324" s="11"/>
      <c r="V324" s="14" t="e">
        <f aca="false">OFFSET(tbl_LoC,323,21,1,1)*OFFSET(tbl_LoC,323,20,1,1)</f>
        <v>#VALUE!</v>
      </c>
      <c r="W324" s="17" t="n">
        <v>103</v>
      </c>
      <c r="X324" s="14" t="n">
        <f aca="false">Y324/(1-0.15)/(1-0.6)</f>
        <v>367.647058823529</v>
      </c>
      <c r="Y324" s="18" t="n">
        <v>125</v>
      </c>
      <c r="Z324" s="19" t="n">
        <f aca="false">OFFSET(tbl_LoC,323,22,1,1)*OFFSET(tbl_LoC,323,20,1,1)</f>
        <v>0</v>
      </c>
      <c r="AA324" s="13" t="e">
        <f aca="false">VLOOKUP(OFFSET(tbl_LoC,323,10,1,1),'[1]List of components'!$C$1:$F$1048576,2,FALSE())</f>
        <v>#N/A</v>
      </c>
      <c r="AB324" s="13"/>
      <c r="AC324" s="13"/>
    </row>
    <row r="325" customFormat="false" ht="15" hidden="false" customHeight="false" outlineLevel="0" collapsed="false">
      <c r="A325" s="11"/>
      <c r="B325" s="11"/>
      <c r="C325" s="11"/>
      <c r="D325" s="11"/>
      <c r="E325" s="11"/>
      <c r="F325" s="11"/>
      <c r="G325" s="11" t="s">
        <v>6</v>
      </c>
      <c r="H325" s="11"/>
      <c r="I325" s="11"/>
      <c r="J325" s="13" t="s">
        <v>256</v>
      </c>
      <c r="K325" s="13" t="s">
        <v>739</v>
      </c>
      <c r="L325" s="13" t="s">
        <v>742</v>
      </c>
      <c r="M325" s="13" t="s">
        <v>743</v>
      </c>
      <c r="N325" s="14" t="n">
        <f aca="false">OFFSET(tbl_LoC,324,19,1,1)</f>
        <v>0</v>
      </c>
      <c r="O325" s="15"/>
      <c r="P325" s="13"/>
      <c r="Q325" s="13" t="n">
        <v>10</v>
      </c>
      <c r="R325" s="13"/>
      <c r="S325" s="16"/>
      <c r="T325" s="11"/>
      <c r="U325" s="11"/>
      <c r="V325" s="14" t="e">
        <f aca="false">OFFSET(tbl_LoC,324,21,1,1)*OFFSET(tbl_LoC,324,20,1,1)</f>
        <v>#VALUE!</v>
      </c>
      <c r="W325" s="17" t="n">
        <v>103</v>
      </c>
      <c r="X325" s="14" t="n">
        <f aca="false">Y325/(1-0.15)/(1-0.6)</f>
        <v>1617.64705882353</v>
      </c>
      <c r="Y325" s="18" t="n">
        <v>550</v>
      </c>
      <c r="Z325" s="19" t="n">
        <f aca="false">OFFSET(tbl_LoC,324,22,1,1)*OFFSET(tbl_LoC,324,20,1,1)</f>
        <v>0</v>
      </c>
      <c r="AA325" s="13" t="e">
        <f aca="false">VLOOKUP(OFFSET(tbl_LoC,324,10,1,1),'[1]List of components'!$C$1:$F$1048576,2,FALSE())</f>
        <v>#N/A</v>
      </c>
      <c r="AB325" s="13"/>
      <c r="AC325" s="13"/>
    </row>
    <row r="326" customFormat="false" ht="15" hidden="false" customHeight="false" outlineLevel="0" collapsed="false">
      <c r="A326" s="11"/>
      <c r="B326" s="38" t="s">
        <v>1</v>
      </c>
      <c r="C326" s="38" t="s">
        <v>2</v>
      </c>
      <c r="D326" s="11"/>
      <c r="E326" s="11"/>
      <c r="F326" s="11"/>
      <c r="G326" s="11" t="s">
        <v>6</v>
      </c>
      <c r="H326" s="11"/>
      <c r="I326" s="11"/>
      <c r="J326" s="13" t="s">
        <v>256</v>
      </c>
      <c r="K326" s="13" t="s">
        <v>739</v>
      </c>
      <c r="L326" s="24" t="s">
        <v>744</v>
      </c>
      <c r="M326" s="13" t="s">
        <v>745</v>
      </c>
      <c r="N326" s="14" t="n">
        <f aca="false">OFFSET(tbl_LoC,325,19,1,1)</f>
        <v>0</v>
      </c>
      <c r="O326" s="15"/>
      <c r="P326" s="13"/>
      <c r="Q326" s="13" t="n">
        <v>10</v>
      </c>
      <c r="R326" s="13"/>
      <c r="S326" s="16"/>
      <c r="T326" s="11"/>
      <c r="U326" s="11"/>
      <c r="V326" s="14" t="e">
        <f aca="false">OFFSET(tbl_LoC,325,21,1,1)*OFFSET(tbl_LoC,325,20,1,1)</f>
        <v>#VALUE!</v>
      </c>
      <c r="W326" s="17" t="n">
        <v>103</v>
      </c>
      <c r="X326" s="14" t="n">
        <f aca="false">Y326/(1-0.15)/(1-0.6)</f>
        <v>1382.35294117647</v>
      </c>
      <c r="Y326" s="18" t="n">
        <v>470</v>
      </c>
      <c r="Z326" s="19" t="n">
        <f aca="false">OFFSET(tbl_LoC,325,22,1,1)*OFFSET(tbl_LoC,325,20,1,1)</f>
        <v>0</v>
      </c>
      <c r="AA326" s="13" t="e">
        <f aca="false">VLOOKUP(OFFSET(tbl_LoC,325,10,1,1),'[1]List of components'!$C$1:$F$1048576,2,FALSE())</f>
        <v>#N/A</v>
      </c>
      <c r="AB326" s="13"/>
      <c r="AC326" s="13"/>
    </row>
    <row r="327" customFormat="false" ht="15" hidden="false" customHeight="false" outlineLevel="0" collapsed="false">
      <c r="A327" s="11"/>
      <c r="B327" s="11"/>
      <c r="C327" s="11"/>
      <c r="D327" s="11"/>
      <c r="E327" s="11"/>
      <c r="F327" s="11"/>
      <c r="G327" s="11" t="s">
        <v>6</v>
      </c>
      <c r="H327" s="11"/>
      <c r="I327" s="11"/>
      <c r="J327" s="13" t="s">
        <v>256</v>
      </c>
      <c r="K327" s="13" t="s">
        <v>739</v>
      </c>
      <c r="L327" s="24" t="s">
        <v>746</v>
      </c>
      <c r="M327" s="13" t="s">
        <v>747</v>
      </c>
      <c r="N327" s="14" t="n">
        <f aca="false">OFFSET(tbl_LoC,326,19,1,1)</f>
        <v>0</v>
      </c>
      <c r="O327" s="15"/>
      <c r="P327" s="13"/>
      <c r="Q327" s="13" t="n">
        <v>10</v>
      </c>
      <c r="R327" s="13"/>
      <c r="S327" s="16"/>
      <c r="T327" s="11"/>
      <c r="U327" s="11"/>
      <c r="V327" s="14" t="e">
        <f aca="false">OFFSET(tbl_LoC,326,21,1,1)*OFFSET(tbl_LoC,326,20,1,1)</f>
        <v>#VALUE!</v>
      </c>
      <c r="W327" s="17" t="n">
        <v>103</v>
      </c>
      <c r="X327" s="14" t="n">
        <f aca="false">Y327/(1-0.15)/(1-0.6)</f>
        <v>1147.05882352941</v>
      </c>
      <c r="Y327" s="18" t="n">
        <v>390</v>
      </c>
      <c r="Z327" s="19" t="n">
        <f aca="false">OFFSET(tbl_LoC,326,22,1,1)*OFFSET(tbl_LoC,326,20,1,1)</f>
        <v>0</v>
      </c>
      <c r="AA327" s="13" t="e">
        <f aca="false">VLOOKUP(OFFSET(tbl_LoC,326,10,1,1),'[1]List of components'!$C$1:$F$1048576,2,FALSE())</f>
        <v>#N/A</v>
      </c>
      <c r="AB327" s="13"/>
      <c r="AC327" s="13"/>
    </row>
    <row r="328" customFormat="false" ht="15" hidden="false" customHeight="false" outlineLevel="0" collapsed="false">
      <c r="A328" s="11"/>
      <c r="B328" s="11"/>
      <c r="C328" s="11"/>
      <c r="D328" s="11"/>
      <c r="E328" s="11"/>
      <c r="F328" s="11"/>
      <c r="G328" s="11" t="s">
        <v>6</v>
      </c>
      <c r="H328" s="11"/>
      <c r="I328" s="11"/>
      <c r="J328" s="13" t="s">
        <v>256</v>
      </c>
      <c r="K328" s="13" t="s">
        <v>739</v>
      </c>
      <c r="L328" s="24" t="s">
        <v>748</v>
      </c>
      <c r="M328" s="24" t="s">
        <v>749</v>
      </c>
      <c r="N328" s="14" t="n">
        <f aca="false">OFFSET(tbl_LoC,327,19,1,1)</f>
        <v>0</v>
      </c>
      <c r="O328" s="15"/>
      <c r="P328" s="13"/>
      <c r="Q328" s="13" t="n">
        <v>10</v>
      </c>
      <c r="R328" s="13"/>
      <c r="S328" s="16"/>
      <c r="T328" s="11"/>
      <c r="U328" s="11"/>
      <c r="V328" s="14" t="e">
        <f aca="false">OFFSET(tbl_LoC,327,21,1,1)*OFFSET(tbl_LoC,327,20,1,1)</f>
        <v>#VALUE!</v>
      </c>
      <c r="W328" s="17" t="n">
        <v>103</v>
      </c>
      <c r="X328" s="14" t="n">
        <f aca="false">Y328/(1-0.15)/(1-0.6)</f>
        <v>617.647058823529</v>
      </c>
      <c r="Y328" s="18" t="n">
        <v>210</v>
      </c>
      <c r="Z328" s="19" t="n">
        <f aca="false">OFFSET(tbl_LoC,327,22,1,1)*OFFSET(tbl_LoC,327,20,1,1)</f>
        <v>0</v>
      </c>
      <c r="AA328" s="13" t="e">
        <f aca="false">VLOOKUP(OFFSET(tbl_LoC,327,10,1,1),'[1]List of components'!$C$1:$F$1048576,2,FALSE())</f>
        <v>#N/A</v>
      </c>
      <c r="AB328" s="13"/>
      <c r="AC328" s="13"/>
    </row>
    <row r="329" customFormat="false" ht="15" hidden="false" customHeight="false" outlineLevel="0" collapsed="false">
      <c r="A329" s="11" t="s">
        <v>0</v>
      </c>
      <c r="B329" s="11" t="s">
        <v>1</v>
      </c>
      <c r="C329" s="11" t="s">
        <v>2</v>
      </c>
      <c r="D329" s="11" t="s">
        <v>3</v>
      </c>
      <c r="E329" s="11"/>
      <c r="F329" s="11"/>
      <c r="G329" s="11" t="s">
        <v>6</v>
      </c>
      <c r="H329" s="11"/>
      <c r="I329" s="11"/>
      <c r="J329" s="13" t="s">
        <v>256</v>
      </c>
      <c r="K329" s="13" t="s">
        <v>739</v>
      </c>
      <c r="L329" s="13" t="s">
        <v>750</v>
      </c>
      <c r="M329" s="13" t="s">
        <v>751</v>
      </c>
      <c r="N329" s="14" t="n">
        <f aca="false">OFFSET(tbl_LoC,328,19,1,1)</f>
        <v>0</v>
      </c>
      <c r="O329" s="15"/>
      <c r="P329" s="13"/>
      <c r="Q329" s="13" t="n">
        <v>10</v>
      </c>
      <c r="R329" s="13"/>
      <c r="S329" s="16"/>
      <c r="T329" s="11"/>
      <c r="U329" s="11"/>
      <c r="V329" s="14" t="e">
        <f aca="false">OFFSET(tbl_LoC,328,21,1,1)*OFFSET(tbl_LoC,328,20,1,1)</f>
        <v>#VALUE!</v>
      </c>
      <c r="W329" s="17" t="n">
        <v>103</v>
      </c>
      <c r="X329" s="14" t="n">
        <f aca="false">Y329/(1-0.15)/(1-0.6)</f>
        <v>470.588235294118</v>
      </c>
      <c r="Y329" s="18" t="n">
        <v>160</v>
      </c>
      <c r="Z329" s="19" t="n">
        <f aca="false">OFFSET(tbl_LoC,328,22,1,1)*OFFSET(tbl_LoC,328,20,1,1)</f>
        <v>0</v>
      </c>
      <c r="AA329" s="13" t="e">
        <f aca="false">VLOOKUP(OFFSET(tbl_LoC,328,10,1,1),'[1]List of components'!$C$1:$F$1048576,2,FALSE())</f>
        <v>#N/A</v>
      </c>
      <c r="AB329" s="13"/>
      <c r="AC329" s="13"/>
    </row>
    <row r="330" customFormat="false" ht="15" hidden="false" customHeight="false" outlineLevel="0" collapsed="false">
      <c r="A330" s="11" t="s">
        <v>0</v>
      </c>
      <c r="B330" s="11" t="s">
        <v>1</v>
      </c>
      <c r="C330" s="11" t="s">
        <v>2</v>
      </c>
      <c r="D330" s="11" t="s">
        <v>3</v>
      </c>
      <c r="E330" s="11"/>
      <c r="F330" s="11"/>
      <c r="G330" s="11" t="s">
        <v>6</v>
      </c>
      <c r="H330" s="11"/>
      <c r="I330" s="11"/>
      <c r="J330" s="13" t="s">
        <v>256</v>
      </c>
      <c r="K330" s="13" t="s">
        <v>739</v>
      </c>
      <c r="L330" s="13" t="s">
        <v>752</v>
      </c>
      <c r="M330" s="13" t="s">
        <v>753</v>
      </c>
      <c r="N330" s="14" t="n">
        <f aca="false">OFFSET(tbl_LoC,329,19,1,1)</f>
        <v>0</v>
      </c>
      <c r="O330" s="15"/>
      <c r="P330" s="13"/>
      <c r="Q330" s="13" t="n">
        <v>10</v>
      </c>
      <c r="R330" s="13"/>
      <c r="S330" s="16"/>
      <c r="T330" s="11"/>
      <c r="U330" s="11"/>
      <c r="V330" s="14" t="e">
        <f aca="false">OFFSET(tbl_LoC,329,21,1,1)*OFFSET(tbl_LoC,329,20,1,1)</f>
        <v>#VALUE!</v>
      </c>
      <c r="W330" s="17" t="n">
        <v>103</v>
      </c>
      <c r="X330" s="14" t="n">
        <f aca="false">Y330/(1-0.15)/(1-0.6)</f>
        <v>1147.05882352941</v>
      </c>
      <c r="Y330" s="18" t="n">
        <v>390</v>
      </c>
      <c r="Z330" s="19" t="n">
        <f aca="false">OFFSET(tbl_LoC,329,22,1,1)*OFFSET(tbl_LoC,329,20,1,1)</f>
        <v>0</v>
      </c>
      <c r="AA330" s="13" t="e">
        <f aca="false">VLOOKUP(OFFSET(tbl_LoC,329,10,1,1),'[1]List of components'!$C$1:$F$1048576,2,FALSE())</f>
        <v>#N/A</v>
      </c>
      <c r="AB330" s="13"/>
      <c r="AC330" s="13"/>
    </row>
    <row r="331" customFormat="false" ht="15" hidden="false" customHeight="false" outlineLevel="0" collapsed="false">
      <c r="A331" s="11"/>
      <c r="B331" s="11" t="s">
        <v>1</v>
      </c>
      <c r="C331" s="11" t="s">
        <v>2</v>
      </c>
      <c r="D331" s="11" t="s">
        <v>3</v>
      </c>
      <c r="E331" s="11"/>
      <c r="F331" s="11"/>
      <c r="G331" s="11" t="s">
        <v>6</v>
      </c>
      <c r="H331" s="11"/>
      <c r="I331" s="11"/>
      <c r="J331" s="13" t="s">
        <v>256</v>
      </c>
      <c r="K331" s="13" t="s">
        <v>739</v>
      </c>
      <c r="L331" s="13" t="s">
        <v>754</v>
      </c>
      <c r="M331" s="13" t="s">
        <v>755</v>
      </c>
      <c r="N331" s="14" t="n">
        <f aca="false">OFFSET(tbl_LoC,330,19,1,1)</f>
        <v>0</v>
      </c>
      <c r="O331" s="15"/>
      <c r="P331" s="13"/>
      <c r="Q331" s="13" t="n">
        <v>10</v>
      </c>
      <c r="R331" s="13"/>
      <c r="S331" s="16"/>
      <c r="T331" s="11"/>
      <c r="U331" s="11"/>
      <c r="V331" s="14" t="e">
        <f aca="false">OFFSET(tbl_LoC,330,21,1,1)*OFFSET(tbl_LoC,330,20,1,1)</f>
        <v>#VALUE!</v>
      </c>
      <c r="W331" s="17" t="n">
        <v>103</v>
      </c>
      <c r="X331" s="14" t="n">
        <f aca="false">Y331/(1-0.15)/(1-0.6)</f>
        <v>1470.58823529412</v>
      </c>
      <c r="Y331" s="18" t="n">
        <v>500</v>
      </c>
      <c r="Z331" s="19" t="n">
        <f aca="false">OFFSET(tbl_LoC,330,22,1,1)*OFFSET(tbl_LoC,330,20,1,1)</f>
        <v>0</v>
      </c>
      <c r="AA331" s="13" t="e">
        <f aca="false">VLOOKUP(OFFSET(tbl_LoC,330,10,1,1),'[1]List of components'!$C$1:$F$1048576,2,FALSE())</f>
        <v>#N/A</v>
      </c>
      <c r="AB331" s="13"/>
      <c r="AC331" s="13"/>
    </row>
    <row r="332" customFormat="false" ht="15" hidden="false" customHeight="false" outlineLevel="0" collapsed="false">
      <c r="A332" s="11"/>
      <c r="B332" s="11"/>
      <c r="C332" s="11"/>
      <c r="D332" s="11"/>
      <c r="E332" s="11"/>
      <c r="G332" s="11"/>
      <c r="H332" s="11" t="s">
        <v>7</v>
      </c>
      <c r="I332" s="11"/>
      <c r="J332" s="13" t="s">
        <v>245</v>
      </c>
      <c r="K332" s="13"/>
      <c r="L332" s="13" t="s">
        <v>756</v>
      </c>
      <c r="M332" s="13" t="s">
        <v>757</v>
      </c>
      <c r="N332" s="14" t="n">
        <f aca="false">OFFSET(tbl_LoC,331,19,1,1)</f>
        <v>0</v>
      </c>
      <c r="O332" s="15"/>
      <c r="P332" s="13"/>
      <c r="Q332" s="13"/>
      <c r="R332" s="13"/>
      <c r="S332" s="16"/>
      <c r="T332" s="11"/>
      <c r="U332" s="11"/>
      <c r="V332" s="14" t="e">
        <f aca="false">OFFSET(tbl_LoC,331,21,1,1)*OFFSET(tbl_LoC,331,20,1,1)</f>
        <v>#VALUE!</v>
      </c>
      <c r="W332" s="17" t="n">
        <v>103</v>
      </c>
      <c r="X332" s="14" t="n">
        <f aca="false">Y332/(1-0.15)/(1-0.6)</f>
        <v>279.411764705882</v>
      </c>
      <c r="Y332" s="18" t="n">
        <v>95</v>
      </c>
      <c r="Z332" s="19" t="n">
        <f aca="false">OFFSET(tbl_LoC,331,22,1,1)*OFFSET(tbl_LoC,331,20,1,1)</f>
        <v>0</v>
      </c>
      <c r="AA332" s="13" t="str">
        <f aca="false">VLOOKUP(OFFSET(tbl_LoC,331,10,1,1),'[1]List of components'!$C$1:$F$1048576,2,FALSE())</f>
        <v/>
      </c>
      <c r="AB332" s="13"/>
      <c r="AC332" s="13"/>
    </row>
    <row r="333" customFormat="false" ht="15" hidden="false" customHeight="false" outlineLevel="0" collapsed="false">
      <c r="A333" s="11"/>
      <c r="B333" s="11"/>
      <c r="C333" s="11"/>
      <c r="D333" s="11"/>
      <c r="E333" s="11"/>
      <c r="G333" s="11"/>
      <c r="H333" s="11" t="s">
        <v>7</v>
      </c>
      <c r="I333" s="11"/>
      <c r="J333" s="13" t="s">
        <v>245</v>
      </c>
      <c r="K333" s="13"/>
      <c r="L333" s="24" t="s">
        <v>758</v>
      </c>
      <c r="M333" s="24" t="s">
        <v>759</v>
      </c>
      <c r="N333" s="14" t="n">
        <f aca="false">OFFSET(tbl_LoC,332,19,1,1)</f>
        <v>0</v>
      </c>
      <c r="O333" s="15"/>
      <c r="P333" s="13"/>
      <c r="Q333" s="13"/>
      <c r="R333" s="13"/>
      <c r="S333" s="16"/>
      <c r="T333" s="11"/>
      <c r="U333" s="11"/>
      <c r="V333" s="14" t="e">
        <f aca="false">OFFSET(tbl_LoC,332,21,1,1)*OFFSET(tbl_LoC,332,20,1,1)</f>
        <v>#VALUE!</v>
      </c>
      <c r="W333" s="17" t="n">
        <v>103</v>
      </c>
      <c r="X333" s="14" t="n">
        <f aca="false">Y333/(1-0.15)/(1-0.6)</f>
        <v>558.823529411765</v>
      </c>
      <c r="Y333" s="18" t="n">
        <v>190</v>
      </c>
      <c r="Z333" s="19" t="n">
        <f aca="false">OFFSET(tbl_LoC,332,22,1,1)*OFFSET(tbl_LoC,332,20,1,1)</f>
        <v>0</v>
      </c>
      <c r="AA333" s="13" t="str">
        <f aca="false">VLOOKUP(OFFSET(tbl_LoC,332,10,1,1),'[1]List of components'!$C$1:$F$1048576,2,FALSE())</f>
        <v/>
      </c>
      <c r="AB333" s="13"/>
      <c r="AC333" s="13"/>
    </row>
    <row r="334" customFormat="false" ht="15" hidden="false" customHeight="false" outlineLevel="0" collapsed="false">
      <c r="A334" s="11"/>
      <c r="B334" s="11"/>
      <c r="C334" s="11"/>
      <c r="D334" s="11"/>
      <c r="E334" s="11"/>
      <c r="G334" s="11"/>
      <c r="H334" s="11" t="s">
        <v>7</v>
      </c>
      <c r="I334" s="11"/>
      <c r="J334" s="13" t="s">
        <v>245</v>
      </c>
      <c r="K334" s="13"/>
      <c r="L334" s="24" t="s">
        <v>760</v>
      </c>
      <c r="M334" s="24" t="s">
        <v>761</v>
      </c>
      <c r="N334" s="14" t="n">
        <f aca="false">OFFSET(tbl_LoC,333,19,1,1)</f>
        <v>0</v>
      </c>
      <c r="O334" s="15"/>
      <c r="P334" s="13"/>
      <c r="Q334" s="13"/>
      <c r="R334" s="13"/>
      <c r="S334" s="16"/>
      <c r="T334" s="11"/>
      <c r="U334" s="11"/>
      <c r="V334" s="14" t="e">
        <f aca="false">OFFSET(tbl_LoC,333,21,1,1)*OFFSET(tbl_LoC,333,20,1,1)</f>
        <v>#VALUE!</v>
      </c>
      <c r="W334" s="17" t="n">
        <v>103</v>
      </c>
      <c r="X334" s="14" t="n">
        <f aca="false">Y334/(1-0.15)/(1-0.6)</f>
        <v>1088.23529411765</v>
      </c>
      <c r="Y334" s="18" t="n">
        <v>370</v>
      </c>
      <c r="Z334" s="19" t="n">
        <f aca="false">OFFSET(tbl_LoC,333,22,1,1)*OFFSET(tbl_LoC,333,20,1,1)</f>
        <v>0</v>
      </c>
      <c r="AA334" s="13" t="str">
        <f aca="false">VLOOKUP(OFFSET(tbl_LoC,333,10,1,1),'[1]List of components'!$C$1:$F$1048576,2,FALSE())</f>
        <v/>
      </c>
      <c r="AB334" s="13"/>
      <c r="AC334" s="13"/>
    </row>
    <row r="335" customFormat="false" ht="15" hidden="false" customHeight="false" outlineLevel="0" collapsed="false">
      <c r="A335" s="11"/>
      <c r="B335" s="11"/>
      <c r="C335" s="11"/>
      <c r="D335" s="11"/>
      <c r="E335" s="11"/>
      <c r="G335" s="11"/>
      <c r="H335" s="11" t="s">
        <v>7</v>
      </c>
      <c r="I335" s="11"/>
      <c r="J335" s="13" t="s">
        <v>245</v>
      </c>
      <c r="K335" s="13"/>
      <c r="L335" s="24" t="s">
        <v>762</v>
      </c>
      <c r="M335" s="24" t="s">
        <v>763</v>
      </c>
      <c r="N335" s="14" t="n">
        <f aca="false">OFFSET(tbl_LoC,334,19,1,1)</f>
        <v>0</v>
      </c>
      <c r="O335" s="15"/>
      <c r="P335" s="13"/>
      <c r="Q335" s="13"/>
      <c r="R335" s="13"/>
      <c r="S335" s="16"/>
      <c r="T335" s="11"/>
      <c r="U335" s="11"/>
      <c r="V335" s="14" t="e">
        <f aca="false">OFFSET(tbl_LoC,334,21,1,1)*OFFSET(tbl_LoC,334,20,1,1)</f>
        <v>#VALUE!</v>
      </c>
      <c r="W335" s="17" t="n">
        <v>103</v>
      </c>
      <c r="X335" s="14" t="n">
        <f aca="false">Y335/(1-0.15)/(1-0.6)</f>
        <v>1088.23529411765</v>
      </c>
      <c r="Y335" s="18" t="n">
        <v>370</v>
      </c>
      <c r="Z335" s="19" t="n">
        <f aca="false">OFFSET(tbl_LoC,334,22,1,1)*OFFSET(tbl_LoC,334,20,1,1)</f>
        <v>0</v>
      </c>
      <c r="AA335" s="13" t="str">
        <f aca="false">VLOOKUP(OFFSET(tbl_LoC,334,10,1,1),'[1]List of components'!$C$1:$F$1048576,2,FALSE())</f>
        <v/>
      </c>
      <c r="AB335" s="13"/>
      <c r="AC335" s="13"/>
    </row>
    <row r="336" customFormat="false" ht="15" hidden="false" customHeight="false" outlineLevel="0" collapsed="false">
      <c r="A336" s="11"/>
      <c r="B336" s="11"/>
      <c r="C336" s="11"/>
      <c r="D336" s="11"/>
      <c r="E336" s="11"/>
      <c r="G336" s="11"/>
      <c r="H336" s="11" t="s">
        <v>7</v>
      </c>
      <c r="I336" s="11"/>
      <c r="J336" s="13" t="s">
        <v>245</v>
      </c>
      <c r="K336" s="13"/>
      <c r="L336" s="24" t="s">
        <v>764</v>
      </c>
      <c r="M336" s="24" t="s">
        <v>765</v>
      </c>
      <c r="N336" s="14" t="n">
        <f aca="false">OFFSET(tbl_LoC,335,19,1,1)</f>
        <v>0</v>
      </c>
      <c r="O336" s="15"/>
      <c r="P336" s="13"/>
      <c r="Q336" s="13"/>
      <c r="R336" s="13"/>
      <c r="S336" s="16"/>
      <c r="T336" s="11"/>
      <c r="U336" s="11"/>
      <c r="V336" s="14" t="e">
        <f aca="false">OFFSET(tbl_LoC,335,21,1,1)*OFFSET(tbl_LoC,335,20,1,1)</f>
        <v>#VALUE!</v>
      </c>
      <c r="W336" s="17" t="n">
        <v>103</v>
      </c>
      <c r="X336" s="14" t="n">
        <f aca="false">Y336/(1-0.15)/(1-0.6)</f>
        <v>1823.52941176471</v>
      </c>
      <c r="Y336" s="18" t="n">
        <v>620</v>
      </c>
      <c r="Z336" s="19" t="n">
        <f aca="false">OFFSET(tbl_LoC,335,22,1,1)*OFFSET(tbl_LoC,335,20,1,1)</f>
        <v>0</v>
      </c>
      <c r="AA336" s="13" t="str">
        <f aca="false">VLOOKUP(OFFSET(tbl_LoC,335,10,1,1),'[1]List of components'!$C$1:$F$1048576,2,FALSE())</f>
        <v/>
      </c>
      <c r="AB336" s="13"/>
      <c r="AC336" s="13"/>
    </row>
    <row r="337" customFormat="false" ht="15" hidden="false" customHeight="false" outlineLevel="0" collapsed="false">
      <c r="A337" s="11"/>
      <c r="B337" s="11"/>
      <c r="C337" s="11"/>
      <c r="D337" s="11"/>
      <c r="E337" s="11"/>
      <c r="G337" s="11"/>
      <c r="H337" s="11" t="s">
        <v>7</v>
      </c>
      <c r="I337" s="11"/>
      <c r="J337" s="13" t="s">
        <v>245</v>
      </c>
      <c r="K337" s="13"/>
      <c r="L337" s="24" t="s">
        <v>766</v>
      </c>
      <c r="M337" s="24" t="s">
        <v>767</v>
      </c>
      <c r="N337" s="14" t="n">
        <f aca="false">OFFSET(tbl_LoC,336,19,1,1)</f>
        <v>0</v>
      </c>
      <c r="O337" s="15"/>
      <c r="P337" s="13"/>
      <c r="Q337" s="13"/>
      <c r="R337" s="13"/>
      <c r="S337" s="16"/>
      <c r="T337" s="11"/>
      <c r="U337" s="11"/>
      <c r="V337" s="14" t="e">
        <f aca="false">OFFSET(tbl_LoC,336,21,1,1)*OFFSET(tbl_LoC,336,20,1,1)</f>
        <v>#VALUE!</v>
      </c>
      <c r="W337" s="17" t="n">
        <v>103</v>
      </c>
      <c r="X337" s="14" t="n">
        <f aca="false">Y337/(1-0.15)/(1-0.6)</f>
        <v>3235.29411764706</v>
      </c>
      <c r="Y337" s="18" t="n">
        <v>1100</v>
      </c>
      <c r="Z337" s="19" t="n">
        <f aca="false">OFFSET(tbl_LoC,336,22,1,1)*OFFSET(tbl_LoC,336,20,1,1)</f>
        <v>0</v>
      </c>
      <c r="AA337" s="13" t="str">
        <f aca="false">VLOOKUP(OFFSET(tbl_LoC,336,10,1,1),'[1]List of components'!$C$1:$F$1048576,2,FALSE())</f>
        <v/>
      </c>
      <c r="AB337" s="13"/>
      <c r="AC337" s="13"/>
    </row>
    <row r="338" customFormat="false" ht="67.15" hidden="false" customHeight="false" outlineLevel="0" collapsed="false">
      <c r="A338" s="11"/>
      <c r="B338" s="11"/>
      <c r="C338" s="11"/>
      <c r="D338" s="11"/>
      <c r="E338" s="11"/>
      <c r="G338" s="11"/>
      <c r="H338" s="38" t="s">
        <v>7</v>
      </c>
      <c r="I338" s="38"/>
      <c r="J338" s="13" t="s">
        <v>32</v>
      </c>
      <c r="K338" s="13"/>
      <c r="L338" s="24" t="s">
        <v>80</v>
      </c>
      <c r="M338" s="24" t="s">
        <v>768</v>
      </c>
      <c r="N338" s="14" t="n">
        <f aca="false">OFFSET(tbl_LoC,337,19,1,1)</f>
        <v>0</v>
      </c>
      <c r="O338" s="31" t="s">
        <v>769</v>
      </c>
      <c r="P338" s="13" t="s">
        <v>770</v>
      </c>
      <c r="Q338" s="13"/>
      <c r="R338" s="13"/>
      <c r="S338" s="16"/>
      <c r="T338" s="11"/>
      <c r="U338" s="11"/>
      <c r="V338" s="14" t="e">
        <f aca="false">OFFSET(tbl_LoC,337,21,1,1)*OFFSET(tbl_LoC,337,20,1,1)</f>
        <v>#VALUE!</v>
      </c>
      <c r="W338" s="17" t="n">
        <v>103</v>
      </c>
      <c r="X338" s="14" t="n">
        <f aca="false">Y338/(1-0.15)/(1-0.6)</f>
        <v>17778.2352941176</v>
      </c>
      <c r="Y338" s="18" t="n">
        <v>6044.6</v>
      </c>
      <c r="Z338" s="19" t="n">
        <f aca="false">OFFSET(tbl_LoC,337,22,1,1)*OFFSET(tbl_LoC,337,20,1,1)</f>
        <v>0</v>
      </c>
      <c r="AA338" s="13" t="str">
        <f aca="false">VLOOKUP(OFFSET(tbl_LoC,337,10,1,1),'[1]List of components'!$C$1:$F$1048576,2,FALSE())</f>
        <v/>
      </c>
      <c r="AB338" s="13"/>
      <c r="AC338" s="13"/>
    </row>
    <row r="339" customFormat="false" ht="67.15" hidden="false" customHeight="false" outlineLevel="0" collapsed="false">
      <c r="A339" s="11"/>
      <c r="B339" s="11"/>
      <c r="C339" s="11"/>
      <c r="D339" s="11"/>
      <c r="E339" s="11"/>
      <c r="G339" s="11"/>
      <c r="H339" s="38" t="s">
        <v>7</v>
      </c>
      <c r="I339" s="38"/>
      <c r="J339" s="13" t="s">
        <v>32</v>
      </c>
      <c r="K339" s="13"/>
      <c r="L339" s="24" t="s">
        <v>40</v>
      </c>
      <c r="M339" s="24" t="s">
        <v>771</v>
      </c>
      <c r="N339" s="14" t="n">
        <f aca="false">OFFSET(tbl_LoC,338,19,1,1)</f>
        <v>0</v>
      </c>
      <c r="O339" s="31" t="s">
        <v>772</v>
      </c>
      <c r="P339" s="13" t="s">
        <v>773</v>
      </c>
      <c r="Q339" s="13"/>
      <c r="R339" s="13"/>
      <c r="S339" s="16"/>
      <c r="T339" s="11"/>
      <c r="U339" s="11"/>
      <c r="V339" s="14" t="e">
        <f aca="false">OFFSET(tbl_LoC,338,21,1,1)*OFFSET(tbl_LoC,338,20,1,1)</f>
        <v>#VALUE!</v>
      </c>
      <c r="W339" s="17" t="n">
        <v>103</v>
      </c>
      <c r="X339" s="14" t="n">
        <f aca="false">Y339/(1-0.15)/(1-0.6)</f>
        <v>19708.2352941176</v>
      </c>
      <c r="Y339" s="18" t="n">
        <v>6700.8</v>
      </c>
      <c r="Z339" s="19" t="n">
        <f aca="false">OFFSET(tbl_LoC,338,22,1,1)*OFFSET(tbl_LoC,338,20,1,1)</f>
        <v>0</v>
      </c>
      <c r="AA339" s="13" t="str">
        <f aca="false">VLOOKUP(OFFSET(tbl_LoC,338,10,1,1),'[1]List of components'!$C$1:$F$1048576,2,FALSE())</f>
        <v/>
      </c>
      <c r="AB339" s="13"/>
      <c r="AC339" s="13"/>
    </row>
    <row r="340" customFormat="false" ht="67.15" hidden="false" customHeight="false" outlineLevel="0" collapsed="false">
      <c r="A340" s="11"/>
      <c r="B340" s="11"/>
      <c r="C340" s="11"/>
      <c r="D340" s="11"/>
      <c r="E340" s="11"/>
      <c r="G340" s="11"/>
      <c r="H340" s="38" t="s">
        <v>7</v>
      </c>
      <c r="I340" s="38"/>
      <c r="J340" s="13" t="s">
        <v>32</v>
      </c>
      <c r="K340" s="13"/>
      <c r="L340" s="24" t="s">
        <v>71</v>
      </c>
      <c r="M340" s="24" t="s">
        <v>774</v>
      </c>
      <c r="N340" s="14" t="n">
        <f aca="false">OFFSET(tbl_LoC,339,19,1,1)</f>
        <v>0</v>
      </c>
      <c r="O340" s="31" t="s">
        <v>775</v>
      </c>
      <c r="P340" s="13" t="s">
        <v>776</v>
      </c>
      <c r="Q340" s="13"/>
      <c r="R340" s="13"/>
      <c r="S340" s="16"/>
      <c r="T340" s="11"/>
      <c r="U340" s="11"/>
      <c r="V340" s="14" t="e">
        <f aca="false">OFFSET(tbl_LoC,339,21,1,1)*OFFSET(tbl_LoC,339,20,1,1)</f>
        <v>#VALUE!</v>
      </c>
      <c r="W340" s="17" t="n">
        <v>103</v>
      </c>
      <c r="X340" s="14" t="n">
        <f aca="false">Y340/(1-0.15)/(1-0.6)</f>
        <v>20832.0588235294</v>
      </c>
      <c r="Y340" s="18" t="n">
        <v>7082.9</v>
      </c>
      <c r="Z340" s="19" t="n">
        <f aca="false">OFFSET(tbl_LoC,339,22,1,1)*OFFSET(tbl_LoC,339,20,1,1)</f>
        <v>0</v>
      </c>
      <c r="AA340" s="13" t="str">
        <f aca="false">VLOOKUP(OFFSET(tbl_LoC,339,10,1,1),'[1]List of components'!$C$1:$F$1048576,2,FALSE())</f>
        <v/>
      </c>
      <c r="AB340" s="13"/>
      <c r="AC340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34" activeCellId="0" sqref="J234"/>
    </sheetView>
  </sheetViews>
  <sheetFormatPr defaultColWidth="8.859375" defaultRowHeight="15" zeroHeight="false" outlineLevelRow="0" outlineLevelCol="0"/>
  <cols>
    <col collapsed="false" customWidth="true" hidden="false" outlineLevel="0" max="1" min="1" style="2" width="33.29"/>
    <col collapsed="false" customWidth="true" hidden="false" outlineLevel="0" max="2" min="2" style="2" width="44.57"/>
    <col collapsed="false" customWidth="true" hidden="false" outlineLevel="0" max="3" min="3" style="2" width="53.29"/>
    <col collapsed="false" customWidth="true" hidden="false" outlineLevel="0" max="7" min="4" style="2" width="12.29"/>
    <col collapsed="false" customWidth="true" hidden="false" outlineLevel="0" max="8" min="8" style="2" width="11.72"/>
    <col collapsed="false" customWidth="true" hidden="false" outlineLevel="0" max="9" min="9" style="2" width="7.57"/>
    <col collapsed="false" customWidth="false" hidden="false" outlineLevel="0" max="11" min="10" style="2" width="8.86"/>
    <col collapsed="false" customWidth="true" hidden="false" outlineLevel="0" max="12" min="12" style="2" width="38.71"/>
    <col collapsed="false" customWidth="false" hidden="false" outlineLevel="0" max="13" min="13" style="2" width="8.86"/>
    <col collapsed="false" customWidth="true" hidden="false" outlineLevel="0" max="14" min="14" style="2" width="14.29"/>
    <col collapsed="false" customWidth="true" hidden="false" outlineLevel="0" max="15" min="15" style="2" width="9.71"/>
    <col collapsed="false" customWidth="false" hidden="false" outlineLevel="0" max="16" min="16" style="2" width="8.86"/>
    <col collapsed="false" customWidth="true" hidden="false" outlineLevel="0" max="17" min="17" style="2" width="12.57"/>
    <col collapsed="false" customWidth="false" hidden="false" outlineLevel="0" max="27" min="18" style="2" width="8.86"/>
    <col collapsed="false" customWidth="true" hidden="false" outlineLevel="0" max="29" min="28" style="2" width="18.29"/>
    <col collapsed="false" customWidth="false" hidden="false" outlineLevel="0" max="40" min="30" style="2" width="8.86"/>
    <col collapsed="false" customWidth="true" hidden="false" outlineLevel="0" max="41" min="41" style="2" width="38"/>
    <col collapsed="false" customWidth="true" hidden="false" outlineLevel="0" max="42" min="42" style="2" width="9.57"/>
    <col collapsed="false" customWidth="false" hidden="false" outlineLevel="0" max="16384" min="43" style="2" width="8.86"/>
  </cols>
  <sheetData>
    <row r="1" customFormat="false" ht="76.9" hidden="false" customHeight="true" outlineLevel="0" collapsed="false"/>
    <row r="2" s="3" customFormat="true" ht="31.15" hidden="false" customHeight="true" outlineLevel="0" collapsed="false">
      <c r="A2" s="7" t="s">
        <v>777</v>
      </c>
      <c r="B2" s="7" t="s">
        <v>778</v>
      </c>
      <c r="C2" s="7" t="s">
        <v>779</v>
      </c>
      <c r="D2" s="7" t="s">
        <v>780</v>
      </c>
      <c r="E2" s="7" t="s">
        <v>781</v>
      </c>
      <c r="F2" s="7" t="s">
        <v>782</v>
      </c>
      <c r="G2" s="7" t="s">
        <v>783</v>
      </c>
      <c r="H2" s="7" t="s">
        <v>784</v>
      </c>
      <c r="I2" s="7" t="s">
        <v>785</v>
      </c>
      <c r="J2" s="7" t="s">
        <v>786</v>
      </c>
    </row>
    <row r="3" customFormat="false" ht="15" hidden="true" customHeight="false" outlineLevel="0" collapsed="false">
      <c r="A3" s="2" t="s">
        <v>49</v>
      </c>
      <c r="B3" s="2" t="s">
        <v>787</v>
      </c>
      <c r="C3" s="2" t="s">
        <v>788</v>
      </c>
      <c r="D3" s="39"/>
      <c r="E3" s="39"/>
      <c r="F3" s="40"/>
      <c r="G3" s="40"/>
      <c r="H3" s="1" t="s">
        <v>789</v>
      </c>
      <c r="I3" s="1" t="s">
        <v>790</v>
      </c>
      <c r="J3" s="41" t="n">
        <v>1.2</v>
      </c>
      <c r="N3" s="2" t="s">
        <v>791</v>
      </c>
      <c r="O3" s="2" t="s">
        <v>792</v>
      </c>
      <c r="P3" s="2" t="s">
        <v>788</v>
      </c>
    </row>
    <row r="4" customFormat="false" ht="15" hidden="true" customHeight="false" outlineLevel="0" collapsed="false">
      <c r="A4" s="2" t="s">
        <v>793</v>
      </c>
      <c r="B4" s="2" t="s">
        <v>794</v>
      </c>
      <c r="C4" s="2" t="s">
        <v>788</v>
      </c>
      <c r="D4" s="39"/>
      <c r="E4" s="39"/>
      <c r="F4" s="40"/>
      <c r="G4" s="40"/>
      <c r="H4" s="1" t="s">
        <v>789</v>
      </c>
      <c r="I4" s="1" t="s">
        <v>790</v>
      </c>
      <c r="J4" s="41" t="n">
        <v>1.2</v>
      </c>
      <c r="N4" s="2" t="s">
        <v>795</v>
      </c>
      <c r="O4" s="2" t="s">
        <v>796</v>
      </c>
      <c r="P4" s="2" t="s">
        <v>797</v>
      </c>
    </row>
    <row r="5" customFormat="false" ht="15" hidden="true" customHeight="false" outlineLevel="0" collapsed="false">
      <c r="A5" s="2" t="s">
        <v>81</v>
      </c>
      <c r="B5" s="2" t="s">
        <v>798</v>
      </c>
      <c r="C5" s="2" t="s">
        <v>788</v>
      </c>
      <c r="D5" s="39"/>
      <c r="E5" s="39"/>
      <c r="F5" s="40"/>
      <c r="G5" s="40"/>
      <c r="H5" s="1" t="s">
        <v>789</v>
      </c>
      <c r="I5" s="1" t="s">
        <v>790</v>
      </c>
      <c r="J5" s="41" t="n">
        <v>1.2</v>
      </c>
      <c r="N5" s="2" t="s">
        <v>799</v>
      </c>
      <c r="O5" s="2" t="s">
        <v>800</v>
      </c>
      <c r="P5" s="2" t="s">
        <v>801</v>
      </c>
    </row>
    <row r="6" customFormat="false" ht="15" hidden="true" customHeight="false" outlineLevel="0" collapsed="false">
      <c r="A6" s="2" t="s">
        <v>86</v>
      </c>
      <c r="B6" s="42" t="s">
        <v>802</v>
      </c>
      <c r="C6" s="2" t="s">
        <v>788</v>
      </c>
      <c r="D6" s="39"/>
      <c r="E6" s="39"/>
      <c r="F6" s="40"/>
      <c r="G6" s="40"/>
      <c r="H6" s="1" t="s">
        <v>789</v>
      </c>
      <c r="I6" s="1" t="s">
        <v>790</v>
      </c>
      <c r="J6" s="43" t="n">
        <v>1.2</v>
      </c>
      <c r="N6" s="2" t="s">
        <v>803</v>
      </c>
      <c r="O6" s="2" t="s">
        <v>804</v>
      </c>
      <c r="P6" s="2" t="s">
        <v>805</v>
      </c>
    </row>
    <row r="7" customFormat="false" ht="15" hidden="true" customHeight="false" outlineLevel="0" collapsed="false">
      <c r="A7" s="2" t="s">
        <v>65</v>
      </c>
      <c r="B7" s="2" t="s">
        <v>806</v>
      </c>
      <c r="C7" s="2" t="s">
        <v>788</v>
      </c>
      <c r="D7" s="39"/>
      <c r="E7" s="39"/>
      <c r="F7" s="40"/>
      <c r="G7" s="40"/>
      <c r="H7" s="1" t="s">
        <v>789</v>
      </c>
      <c r="I7" s="1" t="s">
        <v>790</v>
      </c>
      <c r="J7" s="41" t="n">
        <v>1.2</v>
      </c>
      <c r="N7" s="2" t="s">
        <v>807</v>
      </c>
      <c r="O7" s="2" t="s">
        <v>808</v>
      </c>
      <c r="P7" s="2" t="s">
        <v>809</v>
      </c>
    </row>
    <row r="8" customFormat="false" ht="15" hidden="true" customHeight="false" outlineLevel="0" collapsed="false">
      <c r="A8" s="2" t="s">
        <v>91</v>
      </c>
      <c r="B8" s="42" t="s">
        <v>810</v>
      </c>
      <c r="C8" s="42" t="s">
        <v>788</v>
      </c>
      <c r="D8" s="44"/>
      <c r="E8" s="44"/>
      <c r="F8" s="45"/>
      <c r="G8" s="45"/>
      <c r="H8" s="46" t="s">
        <v>789</v>
      </c>
      <c r="I8" s="46" t="s">
        <v>790</v>
      </c>
      <c r="J8" s="43" t="n">
        <v>1.2</v>
      </c>
      <c r="N8" s="2" t="s">
        <v>811</v>
      </c>
      <c r="O8" s="2" t="s">
        <v>812</v>
      </c>
      <c r="P8" s="2" t="s">
        <v>813</v>
      </c>
    </row>
    <row r="9" customFormat="false" ht="15" hidden="true" customHeight="false" outlineLevel="0" collapsed="false">
      <c r="A9" s="2" t="s">
        <v>72</v>
      </c>
      <c r="B9" s="42" t="s">
        <v>814</v>
      </c>
      <c r="C9" s="2" t="s">
        <v>788</v>
      </c>
      <c r="D9" s="39"/>
      <c r="E9" s="39"/>
      <c r="F9" s="40"/>
      <c r="G9" s="40"/>
      <c r="H9" s="1" t="s">
        <v>789</v>
      </c>
      <c r="I9" s="1" t="s">
        <v>790</v>
      </c>
      <c r="J9" s="43" t="n">
        <v>1.2</v>
      </c>
      <c r="N9" s="2" t="s">
        <v>815</v>
      </c>
      <c r="O9" s="2" t="s">
        <v>816</v>
      </c>
      <c r="P9" s="2" t="s">
        <v>817</v>
      </c>
    </row>
    <row r="10" customFormat="false" ht="15" hidden="true" customHeight="false" outlineLevel="0" collapsed="false">
      <c r="A10" s="2" t="s">
        <v>45</v>
      </c>
      <c r="B10" s="2" t="s">
        <v>818</v>
      </c>
      <c r="C10" s="2" t="s">
        <v>788</v>
      </c>
      <c r="D10" s="39"/>
      <c r="E10" s="39"/>
      <c r="F10" s="40"/>
      <c r="G10" s="40"/>
      <c r="H10" s="1" t="s">
        <v>789</v>
      </c>
      <c r="I10" s="1" t="s">
        <v>790</v>
      </c>
      <c r="J10" s="41" t="n">
        <v>1.2</v>
      </c>
    </row>
    <row r="11" customFormat="false" ht="15" hidden="true" customHeight="false" outlineLevel="0" collapsed="false">
      <c r="A11" s="2" t="s">
        <v>819</v>
      </c>
      <c r="B11" s="2" t="s">
        <v>820</v>
      </c>
      <c r="C11" s="2" t="s">
        <v>788</v>
      </c>
      <c r="D11" s="39"/>
      <c r="E11" s="39"/>
      <c r="F11" s="40"/>
      <c r="G11" s="40"/>
      <c r="H11" s="1" t="s">
        <v>789</v>
      </c>
      <c r="I11" s="1" t="s">
        <v>790</v>
      </c>
      <c r="J11" s="41" t="n">
        <v>1.2</v>
      </c>
    </row>
    <row r="12" customFormat="false" ht="15" hidden="true" customHeight="false" outlineLevel="0" collapsed="false">
      <c r="A12" s="2" t="s">
        <v>41</v>
      </c>
      <c r="B12" s="2" t="s">
        <v>821</v>
      </c>
      <c r="C12" s="2" t="s">
        <v>788</v>
      </c>
      <c r="D12" s="39"/>
      <c r="E12" s="39"/>
      <c r="F12" s="40"/>
      <c r="G12" s="40"/>
      <c r="H12" s="1" t="s">
        <v>789</v>
      </c>
      <c r="I12" s="1" t="s">
        <v>790</v>
      </c>
      <c r="J12" s="41" t="n">
        <v>1.2</v>
      </c>
    </row>
    <row r="13" customFormat="false" ht="15" hidden="true" customHeight="false" outlineLevel="0" collapsed="false">
      <c r="A13" s="2" t="s">
        <v>822</v>
      </c>
      <c r="B13" s="42" t="s">
        <v>823</v>
      </c>
      <c r="C13" s="2" t="s">
        <v>788</v>
      </c>
      <c r="D13" s="39"/>
      <c r="E13" s="39"/>
      <c r="F13" s="40"/>
      <c r="G13" s="40"/>
      <c r="H13" s="1" t="s">
        <v>789</v>
      </c>
      <c r="I13" s="1" t="s">
        <v>790</v>
      </c>
      <c r="J13" s="43" t="n">
        <v>1.2</v>
      </c>
    </row>
    <row r="14" customFormat="false" ht="15" hidden="true" customHeight="false" outlineLevel="0" collapsed="false">
      <c r="A14" s="2" t="s">
        <v>77</v>
      </c>
      <c r="B14" s="2" t="s">
        <v>824</v>
      </c>
      <c r="C14" s="2" t="s">
        <v>788</v>
      </c>
      <c r="D14" s="39"/>
      <c r="E14" s="39"/>
      <c r="F14" s="40"/>
      <c r="G14" s="40"/>
      <c r="H14" s="1" t="s">
        <v>789</v>
      </c>
      <c r="I14" s="1" t="s">
        <v>790</v>
      </c>
      <c r="J14" s="41" t="n">
        <v>1.2</v>
      </c>
    </row>
    <row r="15" customFormat="false" ht="15" hidden="true" customHeight="false" outlineLevel="0" collapsed="false">
      <c r="A15" s="2" t="s">
        <v>84</v>
      </c>
      <c r="B15" s="42" t="s">
        <v>825</v>
      </c>
      <c r="C15" s="42" t="s">
        <v>788</v>
      </c>
      <c r="D15" s="44"/>
      <c r="E15" s="44"/>
      <c r="F15" s="45"/>
      <c r="G15" s="45"/>
      <c r="H15" s="46" t="s">
        <v>789</v>
      </c>
      <c r="I15" s="46" t="s">
        <v>790</v>
      </c>
      <c r="J15" s="43" t="n">
        <v>1.2</v>
      </c>
    </row>
    <row r="16" customFormat="false" ht="15" hidden="true" customHeight="false" outlineLevel="0" collapsed="false">
      <c r="A16" s="2" t="s">
        <v>62</v>
      </c>
      <c r="B16" s="42" t="s">
        <v>826</v>
      </c>
      <c r="C16" s="2" t="s">
        <v>788</v>
      </c>
      <c r="D16" s="39"/>
      <c r="E16" s="39"/>
      <c r="F16" s="40"/>
      <c r="G16" s="40"/>
      <c r="H16" s="1" t="s">
        <v>789</v>
      </c>
      <c r="I16" s="1" t="s">
        <v>790</v>
      </c>
      <c r="J16" s="43" t="n">
        <v>1.2</v>
      </c>
    </row>
    <row r="17" customFormat="false" ht="15" hidden="true" customHeight="false" outlineLevel="0" collapsed="false">
      <c r="A17" s="2" t="s">
        <v>59</v>
      </c>
      <c r="B17" s="2" t="s">
        <v>827</v>
      </c>
      <c r="C17" s="2" t="s">
        <v>788</v>
      </c>
      <c r="D17" s="39"/>
      <c r="E17" s="39"/>
      <c r="F17" s="40"/>
      <c r="G17" s="40"/>
      <c r="H17" s="1" t="s">
        <v>789</v>
      </c>
      <c r="I17" s="1" t="s">
        <v>790</v>
      </c>
      <c r="J17" s="41" t="n">
        <v>1.2</v>
      </c>
    </row>
    <row r="18" customFormat="false" ht="15" hidden="true" customHeight="false" outlineLevel="0" collapsed="false">
      <c r="A18" s="2" t="s">
        <v>88</v>
      </c>
      <c r="B18" s="2" t="s">
        <v>828</v>
      </c>
      <c r="C18" s="2" t="s">
        <v>788</v>
      </c>
      <c r="D18" s="39"/>
      <c r="E18" s="39"/>
      <c r="F18" s="40"/>
      <c r="G18" s="40"/>
      <c r="H18" s="1" t="s">
        <v>789</v>
      </c>
      <c r="I18" s="1" t="s">
        <v>790</v>
      </c>
      <c r="J18" s="41" t="n">
        <v>1.2</v>
      </c>
    </row>
    <row r="19" customFormat="false" ht="15" hidden="true" customHeight="false" outlineLevel="0" collapsed="false">
      <c r="A19" s="2" t="s">
        <v>68</v>
      </c>
      <c r="B19" s="2" t="s">
        <v>829</v>
      </c>
      <c r="C19" s="2" t="s">
        <v>788</v>
      </c>
      <c r="D19" s="39"/>
      <c r="E19" s="39"/>
      <c r="F19" s="40"/>
      <c r="G19" s="40"/>
      <c r="H19" s="1" t="s">
        <v>789</v>
      </c>
      <c r="I19" s="1" t="s">
        <v>790</v>
      </c>
      <c r="J19" s="41" t="n">
        <v>1.2</v>
      </c>
    </row>
    <row r="20" customFormat="false" ht="15" hidden="true" customHeight="false" outlineLevel="0" collapsed="false">
      <c r="A20" s="2" t="s">
        <v>37</v>
      </c>
      <c r="B20" s="42" t="s">
        <v>830</v>
      </c>
      <c r="C20" s="2" t="s">
        <v>788</v>
      </c>
      <c r="D20" s="39"/>
      <c r="E20" s="39"/>
      <c r="F20" s="40"/>
      <c r="G20" s="40"/>
      <c r="H20" s="1" t="s">
        <v>789</v>
      </c>
      <c r="I20" s="1" t="s">
        <v>790</v>
      </c>
      <c r="J20" s="43" t="n">
        <v>1.2</v>
      </c>
    </row>
    <row r="21" customFormat="false" ht="15" hidden="true" customHeight="false" outlineLevel="0" collapsed="false">
      <c r="A21" s="2" t="s">
        <v>34</v>
      </c>
      <c r="B21" s="2" t="s">
        <v>831</v>
      </c>
      <c r="C21" s="2" t="s">
        <v>788</v>
      </c>
      <c r="D21" s="39"/>
      <c r="E21" s="39"/>
      <c r="F21" s="40"/>
      <c r="G21" s="40"/>
      <c r="H21" s="1" t="s">
        <v>789</v>
      </c>
      <c r="I21" s="1" t="s">
        <v>790</v>
      </c>
      <c r="J21" s="41" t="n">
        <v>1.2</v>
      </c>
    </row>
    <row r="22" customFormat="false" ht="15" hidden="true" customHeight="false" outlineLevel="0" collapsed="false">
      <c r="A22" s="2" t="s">
        <v>56</v>
      </c>
      <c r="B22" s="42" t="s">
        <v>832</v>
      </c>
      <c r="C22" s="42" t="s">
        <v>788</v>
      </c>
      <c r="D22" s="44"/>
      <c r="E22" s="44"/>
      <c r="F22" s="45"/>
      <c r="G22" s="45"/>
      <c r="H22" s="46" t="s">
        <v>789</v>
      </c>
      <c r="I22" s="46" t="s">
        <v>790</v>
      </c>
      <c r="J22" s="43" t="n">
        <v>1.2</v>
      </c>
    </row>
    <row r="23" customFormat="false" ht="15" hidden="true" customHeight="false" outlineLevel="0" collapsed="false">
      <c r="A23" s="2" t="s">
        <v>53</v>
      </c>
      <c r="B23" s="42" t="s">
        <v>833</v>
      </c>
      <c r="C23" s="2" t="s">
        <v>788</v>
      </c>
      <c r="D23" s="39"/>
      <c r="E23" s="39"/>
      <c r="F23" s="40"/>
      <c r="G23" s="40"/>
      <c r="H23" s="1" t="s">
        <v>789</v>
      </c>
      <c r="I23" s="1" t="s">
        <v>790</v>
      </c>
      <c r="J23" s="43" t="n">
        <v>1.2</v>
      </c>
    </row>
    <row r="24" customFormat="false" ht="15" hidden="true" customHeight="false" outlineLevel="0" collapsed="false">
      <c r="A24" s="2" t="s">
        <v>49</v>
      </c>
      <c r="B24" s="2" t="e">
        <f aca="false">OFFSET(Таблица2,22,1,1,1)&amp;"-"&amp;OFFSET(Таблица2,22,0,1,1)</f>
        <v>#VALUE!</v>
      </c>
      <c r="C24" s="2" t="s">
        <v>834</v>
      </c>
      <c r="D24" s="39"/>
      <c r="E24" s="39"/>
      <c r="F24" s="40"/>
      <c r="G24" s="40"/>
      <c r="H24" s="1" t="s">
        <v>789</v>
      </c>
      <c r="I24" s="1" t="s">
        <v>835</v>
      </c>
      <c r="J24" s="41" t="n">
        <v>0.25</v>
      </c>
    </row>
    <row r="25" customFormat="false" ht="15" hidden="true" customHeight="false" outlineLevel="0" collapsed="false">
      <c r="A25" s="2" t="s">
        <v>81</v>
      </c>
      <c r="B25" s="2" t="e">
        <f aca="false">OFFSET(Таблица2,23,1,1,1)&amp;"-"&amp;OFFSET(Таблица2,23,0,1,1)</f>
        <v>#VALUE!</v>
      </c>
      <c r="C25" s="2" t="s">
        <v>834</v>
      </c>
      <c r="D25" s="39"/>
      <c r="E25" s="39"/>
      <c r="F25" s="40"/>
      <c r="G25" s="40"/>
      <c r="H25" s="1" t="s">
        <v>789</v>
      </c>
      <c r="I25" s="1" t="s">
        <v>835</v>
      </c>
      <c r="J25" s="41" t="n">
        <v>0.25</v>
      </c>
    </row>
    <row r="26" customFormat="false" ht="15" hidden="true" customHeight="false" outlineLevel="0" collapsed="false">
      <c r="A26" s="2" t="s">
        <v>65</v>
      </c>
      <c r="B26" s="2" t="e">
        <f aca="false">OFFSET(Таблица2,24,1,1,1)&amp;"-"&amp;OFFSET(Таблица2,24,0,1,1)</f>
        <v>#VALUE!</v>
      </c>
      <c r="C26" s="2" t="s">
        <v>834</v>
      </c>
      <c r="D26" s="39"/>
      <c r="E26" s="39"/>
      <c r="F26" s="40"/>
      <c r="G26" s="40"/>
      <c r="H26" s="1" t="s">
        <v>789</v>
      </c>
      <c r="I26" s="1" t="s">
        <v>835</v>
      </c>
      <c r="J26" s="41" t="n">
        <v>0.25</v>
      </c>
    </row>
    <row r="27" customFormat="false" ht="15" hidden="true" customHeight="false" outlineLevel="0" collapsed="false">
      <c r="A27" s="2" t="s">
        <v>91</v>
      </c>
      <c r="B27" s="2" t="e">
        <f aca="false">OFFSET(Таблица2,25,1,1,1)&amp;"-"&amp;OFFSET(Таблица2,25,0,1,1)</f>
        <v>#VALUE!</v>
      </c>
      <c r="C27" s="2" t="s">
        <v>834</v>
      </c>
      <c r="D27" s="39"/>
      <c r="E27" s="39"/>
      <c r="F27" s="40"/>
      <c r="G27" s="40"/>
      <c r="H27" s="1" t="s">
        <v>789</v>
      </c>
      <c r="I27" s="1" t="s">
        <v>835</v>
      </c>
      <c r="J27" s="41" t="n">
        <v>0.25</v>
      </c>
    </row>
    <row r="28" customFormat="false" ht="15" hidden="true" customHeight="false" outlineLevel="0" collapsed="false">
      <c r="A28" s="2" t="s">
        <v>45</v>
      </c>
      <c r="B28" s="2" t="e">
        <f aca="false">OFFSET(Таблица2,26,1,1,1)&amp;"-"&amp;OFFSET(Таблица2,26,0,1,1)</f>
        <v>#VALUE!</v>
      </c>
      <c r="C28" s="2" t="s">
        <v>834</v>
      </c>
      <c r="D28" s="39"/>
      <c r="E28" s="39"/>
      <c r="F28" s="40"/>
      <c r="G28" s="40"/>
      <c r="H28" s="1" t="s">
        <v>789</v>
      </c>
      <c r="I28" s="1" t="s">
        <v>835</v>
      </c>
      <c r="J28" s="41" t="n">
        <v>0.25</v>
      </c>
    </row>
    <row r="29" customFormat="false" ht="15" hidden="true" customHeight="false" outlineLevel="0" collapsed="false">
      <c r="A29" s="2" t="s">
        <v>41</v>
      </c>
      <c r="B29" s="2" t="e">
        <f aca="false">OFFSET(Таблица2,27,1,1,1)&amp;"-"&amp;OFFSET(Таблица2,27,0,1,1)</f>
        <v>#VALUE!</v>
      </c>
      <c r="C29" s="42" t="s">
        <v>834</v>
      </c>
      <c r="D29" s="44"/>
      <c r="E29" s="44"/>
      <c r="F29" s="45"/>
      <c r="G29" s="45"/>
      <c r="H29" s="46" t="s">
        <v>789</v>
      </c>
      <c r="I29" s="46" t="s">
        <v>835</v>
      </c>
      <c r="J29" s="41" t="n">
        <v>0.25</v>
      </c>
    </row>
    <row r="30" customFormat="false" ht="15" hidden="true" customHeight="false" outlineLevel="0" collapsed="false">
      <c r="A30" s="2" t="s">
        <v>77</v>
      </c>
      <c r="B30" s="2" t="e">
        <f aca="false">OFFSET(Таблица2,28,1,1,1)&amp;"-"&amp;OFFSET(Таблица2,28,0,1,1)</f>
        <v>#VALUE!</v>
      </c>
      <c r="C30" s="2" t="s">
        <v>834</v>
      </c>
      <c r="D30" s="39"/>
      <c r="E30" s="39"/>
      <c r="F30" s="40"/>
      <c r="G30" s="40"/>
      <c r="H30" s="1" t="s">
        <v>789</v>
      </c>
      <c r="I30" s="1" t="s">
        <v>835</v>
      </c>
      <c r="J30" s="41" t="n">
        <v>0.25</v>
      </c>
    </row>
    <row r="31" customFormat="false" ht="15" hidden="true" customHeight="false" outlineLevel="0" collapsed="false">
      <c r="A31" s="2" t="s">
        <v>62</v>
      </c>
      <c r="B31" s="2" t="e">
        <f aca="false">OFFSET(Таблица2,29,1,1,1)&amp;"-"&amp;OFFSET(Таблица2,29,0,1,1)</f>
        <v>#VALUE!</v>
      </c>
      <c r="C31" s="2" t="s">
        <v>834</v>
      </c>
      <c r="D31" s="39"/>
      <c r="E31" s="39"/>
      <c r="F31" s="40"/>
      <c r="G31" s="40"/>
      <c r="H31" s="1" t="s">
        <v>789</v>
      </c>
      <c r="I31" s="1" t="s">
        <v>835</v>
      </c>
      <c r="J31" s="41" t="n">
        <v>0.25</v>
      </c>
    </row>
    <row r="32" customFormat="false" ht="15" hidden="true" customHeight="false" outlineLevel="0" collapsed="false">
      <c r="A32" s="2" t="s">
        <v>59</v>
      </c>
      <c r="B32" s="2" t="e">
        <f aca="false">OFFSET(Таблица2,30,1,1,1)&amp;"-"&amp;OFFSET(Таблица2,30,0,1,1)</f>
        <v>#VALUE!</v>
      </c>
      <c r="C32" s="2" t="s">
        <v>834</v>
      </c>
      <c r="D32" s="39"/>
      <c r="E32" s="39"/>
      <c r="F32" s="40"/>
      <c r="G32" s="40"/>
      <c r="H32" s="1" t="s">
        <v>789</v>
      </c>
      <c r="I32" s="1" t="s">
        <v>835</v>
      </c>
      <c r="J32" s="41" t="n">
        <v>0.25</v>
      </c>
    </row>
    <row r="33" customFormat="false" ht="15" hidden="true" customHeight="false" outlineLevel="0" collapsed="false">
      <c r="A33" s="2" t="s">
        <v>88</v>
      </c>
      <c r="B33" s="2" t="e">
        <f aca="false">OFFSET(Таблица2,31,1,1,1)&amp;"-"&amp;OFFSET(Таблица2,31,0,1,1)</f>
        <v>#VALUE!</v>
      </c>
      <c r="C33" s="2" t="s">
        <v>834</v>
      </c>
      <c r="D33" s="39"/>
      <c r="E33" s="39"/>
      <c r="F33" s="40"/>
      <c r="G33" s="40"/>
      <c r="H33" s="1" t="s">
        <v>789</v>
      </c>
      <c r="I33" s="1" t="s">
        <v>835</v>
      </c>
      <c r="J33" s="41" t="n">
        <v>0.25</v>
      </c>
    </row>
    <row r="34" customFormat="false" ht="15" hidden="true" customHeight="false" outlineLevel="0" collapsed="false">
      <c r="A34" s="2" t="s">
        <v>37</v>
      </c>
      <c r="B34" s="2" t="e">
        <f aca="false">OFFSET(Таблица2,32,1,1,1)&amp;"-"&amp;OFFSET(Таблица2,32,0,1,1)</f>
        <v>#VALUE!</v>
      </c>
      <c r="C34" s="2" t="s">
        <v>834</v>
      </c>
      <c r="D34" s="39"/>
      <c r="E34" s="39"/>
      <c r="F34" s="40"/>
      <c r="G34" s="40"/>
      <c r="H34" s="1" t="s">
        <v>789</v>
      </c>
      <c r="I34" s="1" t="s">
        <v>835</v>
      </c>
      <c r="J34" s="41" t="n">
        <v>0.25</v>
      </c>
    </row>
    <row r="35" customFormat="false" ht="15" hidden="true" customHeight="false" outlineLevel="0" collapsed="false">
      <c r="A35" s="2" t="s">
        <v>34</v>
      </c>
      <c r="B35" s="2" t="e">
        <f aca="false">OFFSET(Таблица2,33,1,1,1)&amp;"-"&amp;OFFSET(Таблица2,33,0,1,1)</f>
        <v>#VALUE!</v>
      </c>
      <c r="C35" s="2" t="s">
        <v>834</v>
      </c>
      <c r="D35" s="39"/>
      <c r="E35" s="39"/>
      <c r="F35" s="40"/>
      <c r="G35" s="40"/>
      <c r="H35" s="1" t="s">
        <v>789</v>
      </c>
      <c r="I35" s="1" t="s">
        <v>835</v>
      </c>
      <c r="J35" s="41" t="n">
        <v>0.25</v>
      </c>
    </row>
    <row r="36" customFormat="false" ht="15" hidden="true" customHeight="false" outlineLevel="0" collapsed="false">
      <c r="A36" s="2" t="s">
        <v>56</v>
      </c>
      <c r="B36" s="2" t="e">
        <f aca="false">OFFSET(Таблица2,34,1,1,1)&amp;"-"&amp;OFFSET(Таблица2,34,0,1,1)</f>
        <v>#VALUE!</v>
      </c>
      <c r="C36" s="42" t="s">
        <v>834</v>
      </c>
      <c r="D36" s="44"/>
      <c r="E36" s="44"/>
      <c r="F36" s="45"/>
      <c r="G36" s="45"/>
      <c r="H36" s="46" t="s">
        <v>789</v>
      </c>
      <c r="I36" s="46" t="s">
        <v>835</v>
      </c>
      <c r="J36" s="41" t="n">
        <v>0.25</v>
      </c>
    </row>
    <row r="37" customFormat="false" ht="15" hidden="true" customHeight="false" outlineLevel="0" collapsed="false">
      <c r="A37" s="2" t="s">
        <v>53</v>
      </c>
      <c r="B37" s="2" t="e">
        <f aca="false">OFFSET(Таблица2,35,1,1,1)&amp;"-"&amp;OFFSET(Таблица2,35,0,1,1)</f>
        <v>#VALUE!</v>
      </c>
      <c r="C37" s="2" t="s">
        <v>834</v>
      </c>
      <c r="D37" s="39"/>
      <c r="E37" s="39"/>
      <c r="F37" s="40"/>
      <c r="G37" s="40"/>
      <c r="H37" s="1" t="s">
        <v>789</v>
      </c>
      <c r="I37" s="1" t="s">
        <v>835</v>
      </c>
      <c r="J37" s="41" t="n">
        <v>0.25</v>
      </c>
    </row>
    <row r="38" customFormat="false" ht="15" hidden="true" customHeight="false" outlineLevel="0" collapsed="false">
      <c r="A38" s="2" t="s">
        <v>793</v>
      </c>
      <c r="B38" s="2" t="e">
        <f aca="false">OFFSET(Таблица2,36,1,1,1)&amp;"-"&amp;OFFSET(Таблица2,36,0,1,1)</f>
        <v>#VALUE!</v>
      </c>
      <c r="C38" s="2" t="s">
        <v>834</v>
      </c>
      <c r="D38" s="39"/>
      <c r="E38" s="39"/>
      <c r="F38" s="40"/>
      <c r="G38" s="40"/>
      <c r="H38" s="1" t="s">
        <v>789</v>
      </c>
      <c r="I38" s="1" t="s">
        <v>835</v>
      </c>
      <c r="J38" s="41" t="n">
        <v>0.25</v>
      </c>
    </row>
    <row r="39" customFormat="false" ht="15" hidden="true" customHeight="false" outlineLevel="0" collapsed="false">
      <c r="A39" s="2" t="s">
        <v>836</v>
      </c>
      <c r="B39" s="2" t="e">
        <f aca="false">OFFSET(Таблица2,37,1,1,1)&amp;"-"&amp;OFFSET(Таблица2,37,0,1,1)</f>
        <v>#VALUE!</v>
      </c>
      <c r="C39" s="2" t="s">
        <v>834</v>
      </c>
      <c r="D39" s="39"/>
      <c r="E39" s="39"/>
      <c r="F39" s="40"/>
      <c r="G39" s="40"/>
      <c r="H39" s="1" t="s">
        <v>789</v>
      </c>
      <c r="I39" s="1" t="s">
        <v>835</v>
      </c>
      <c r="J39" s="41" t="n">
        <v>0.25</v>
      </c>
    </row>
    <row r="40" customFormat="false" ht="15" hidden="true" customHeight="false" outlineLevel="0" collapsed="false">
      <c r="A40" s="2" t="s">
        <v>86</v>
      </c>
      <c r="B40" s="2" t="e">
        <f aca="false">OFFSET(Таблица2,38,1,1,1)&amp;"-"&amp;OFFSET(Таблица2,38,0,1,1)</f>
        <v>#VALUE!</v>
      </c>
      <c r="C40" s="2" t="s">
        <v>834</v>
      </c>
      <c r="D40" s="39"/>
      <c r="E40" s="39"/>
      <c r="F40" s="40"/>
      <c r="G40" s="40"/>
      <c r="H40" s="1" t="s">
        <v>789</v>
      </c>
      <c r="I40" s="1" t="s">
        <v>835</v>
      </c>
      <c r="J40" s="41" t="n">
        <v>0.25</v>
      </c>
    </row>
    <row r="41" customFormat="false" ht="15" hidden="true" customHeight="false" outlineLevel="0" collapsed="false">
      <c r="A41" s="2" t="s">
        <v>819</v>
      </c>
      <c r="B41" s="2" t="e">
        <f aca="false">OFFSET(Таблица2,39,1,1,1)&amp;"-"&amp;OFFSET(Таблица2,39,0,1,1)</f>
        <v>#VALUE!</v>
      </c>
      <c r="C41" s="2" t="s">
        <v>834</v>
      </c>
      <c r="D41" s="39"/>
      <c r="E41" s="39"/>
      <c r="F41" s="40"/>
      <c r="G41" s="40"/>
      <c r="H41" s="1" t="s">
        <v>789</v>
      </c>
      <c r="I41" s="1" t="s">
        <v>835</v>
      </c>
      <c r="J41" s="41" t="n">
        <v>0.25</v>
      </c>
    </row>
    <row r="42" customFormat="false" ht="15" hidden="true" customHeight="false" outlineLevel="0" collapsed="false">
      <c r="A42" s="2" t="s">
        <v>837</v>
      </c>
      <c r="B42" s="2" t="e">
        <f aca="false">OFFSET(Таблица2,40,1,1,1)&amp;"-"&amp;OFFSET(Таблица2,40,0,1,1)</f>
        <v>#VALUE!</v>
      </c>
      <c r="C42" s="2" t="s">
        <v>834</v>
      </c>
      <c r="D42" s="39"/>
      <c r="E42" s="39"/>
      <c r="F42" s="40"/>
      <c r="G42" s="40"/>
      <c r="H42" s="1" t="s">
        <v>789</v>
      </c>
      <c r="I42" s="1" t="s">
        <v>835</v>
      </c>
      <c r="J42" s="41" t="n">
        <v>0.25</v>
      </c>
    </row>
    <row r="43" customFormat="false" ht="15" hidden="true" customHeight="false" outlineLevel="0" collapsed="false">
      <c r="A43" s="2" t="s">
        <v>822</v>
      </c>
      <c r="B43" s="2" t="e">
        <f aca="false">OFFSET(Таблица2,41,1,1,1)&amp;"-"&amp;OFFSET(Таблица2,41,0,1,1)</f>
        <v>#VALUE!</v>
      </c>
      <c r="C43" s="42" t="s">
        <v>834</v>
      </c>
      <c r="D43" s="44"/>
      <c r="E43" s="44"/>
      <c r="F43" s="45"/>
      <c r="G43" s="45"/>
      <c r="H43" s="46" t="s">
        <v>789</v>
      </c>
      <c r="I43" s="46" t="s">
        <v>835</v>
      </c>
      <c r="J43" s="41" t="n">
        <v>0.25</v>
      </c>
    </row>
    <row r="44" customFormat="false" ht="15" hidden="true" customHeight="false" outlineLevel="0" collapsed="false">
      <c r="A44" s="2" t="s">
        <v>838</v>
      </c>
      <c r="B44" s="2" t="e">
        <f aca="false">OFFSET(Таблица2,42,1,1,1)&amp;"-"&amp;OFFSET(Таблица2,42,0,1,1)</f>
        <v>#VALUE!</v>
      </c>
      <c r="C44" s="2" t="s">
        <v>834</v>
      </c>
      <c r="D44" s="39"/>
      <c r="E44" s="39"/>
      <c r="F44" s="40"/>
      <c r="G44" s="40"/>
      <c r="H44" s="1" t="s">
        <v>789</v>
      </c>
      <c r="I44" s="1" t="s">
        <v>835</v>
      </c>
      <c r="J44" s="41" t="n">
        <v>0.25</v>
      </c>
    </row>
    <row r="45" customFormat="false" ht="15" hidden="true" customHeight="false" outlineLevel="0" collapsed="false">
      <c r="A45" s="2" t="s">
        <v>839</v>
      </c>
      <c r="B45" s="2" t="e">
        <f aca="false">OFFSET(Таблица2,43,1,1,1)&amp;"-"&amp;OFFSET(Таблица2,43,0,1,1)</f>
        <v>#VALUE!</v>
      </c>
      <c r="C45" s="2" t="s">
        <v>834</v>
      </c>
      <c r="D45" s="39"/>
      <c r="E45" s="39"/>
      <c r="F45" s="40"/>
      <c r="G45" s="40"/>
      <c r="H45" s="1" t="s">
        <v>789</v>
      </c>
      <c r="I45" s="1" t="s">
        <v>835</v>
      </c>
      <c r="J45" s="41" t="n">
        <v>0.25</v>
      </c>
    </row>
    <row r="46" customFormat="false" ht="15" hidden="true" customHeight="false" outlineLevel="0" collapsed="false">
      <c r="A46" s="2" t="s">
        <v>840</v>
      </c>
      <c r="B46" s="2" t="e">
        <f aca="false">OFFSET(Таблица2,44,1,1,1)&amp;"-"&amp;OFFSET(Таблица2,44,0,1,1)</f>
        <v>#VALUE!</v>
      </c>
      <c r="C46" s="2" t="s">
        <v>834</v>
      </c>
      <c r="D46" s="39"/>
      <c r="E46" s="39"/>
      <c r="F46" s="40"/>
      <c r="G46" s="40"/>
      <c r="H46" s="1" t="s">
        <v>789</v>
      </c>
      <c r="I46" s="1" t="s">
        <v>835</v>
      </c>
      <c r="J46" s="41" t="n">
        <v>0.25</v>
      </c>
    </row>
    <row r="47" customFormat="false" ht="15" hidden="true" customHeight="false" outlineLevel="0" collapsed="false">
      <c r="A47" s="2" t="s">
        <v>841</v>
      </c>
      <c r="B47" s="2" t="e">
        <f aca="false">OFFSET(Таблица2,45,1,1,1)&amp;"-"&amp;OFFSET(Таблица2,45,0,1,1)</f>
        <v>#VALUE!</v>
      </c>
      <c r="C47" s="2" t="s">
        <v>834</v>
      </c>
      <c r="D47" s="39"/>
      <c r="E47" s="39"/>
      <c r="F47" s="40"/>
      <c r="G47" s="40"/>
      <c r="H47" s="1" t="s">
        <v>789</v>
      </c>
      <c r="I47" s="1" t="s">
        <v>835</v>
      </c>
      <c r="J47" s="41" t="n">
        <v>0.25</v>
      </c>
    </row>
    <row r="48" customFormat="false" ht="15" hidden="true" customHeight="false" outlineLevel="0" collapsed="false">
      <c r="A48" s="2" t="s">
        <v>842</v>
      </c>
      <c r="B48" s="2" t="e">
        <f aca="false">OFFSET(Таблица2,46,1,1,1)&amp;"-"&amp;OFFSET(Таблица2,46,0,1,1)</f>
        <v>#VALUE!</v>
      </c>
      <c r="C48" s="2" t="s">
        <v>834</v>
      </c>
      <c r="D48" s="39"/>
      <c r="E48" s="39"/>
      <c r="F48" s="40"/>
      <c r="G48" s="40"/>
      <c r="H48" s="1" t="s">
        <v>789</v>
      </c>
      <c r="I48" s="1" t="s">
        <v>835</v>
      </c>
      <c r="J48" s="41" t="n">
        <v>0.25</v>
      </c>
    </row>
    <row r="49" customFormat="false" ht="15" hidden="true" customHeight="false" outlineLevel="0" collapsed="false">
      <c r="A49" s="2" t="s">
        <v>84</v>
      </c>
      <c r="B49" s="2" t="e">
        <f aca="false">OFFSET(Таблица2,47,1,1,1)&amp;"-"&amp;OFFSET(Таблица2,47,0,1,1)</f>
        <v>#VALUE!</v>
      </c>
      <c r="C49" s="2" t="s">
        <v>834</v>
      </c>
      <c r="D49" s="39"/>
      <c r="E49" s="39"/>
      <c r="F49" s="40"/>
      <c r="G49" s="40"/>
      <c r="H49" s="1" t="s">
        <v>789</v>
      </c>
      <c r="I49" s="1" t="s">
        <v>835</v>
      </c>
      <c r="J49" s="41" t="n">
        <v>0.25</v>
      </c>
    </row>
    <row r="50" customFormat="false" ht="15" hidden="true" customHeight="false" outlineLevel="0" collapsed="false">
      <c r="A50" s="2" t="s">
        <v>843</v>
      </c>
      <c r="B50" s="2" t="e">
        <f aca="false">OFFSET(Таблица2,48,1,1,1)&amp;"-"&amp;OFFSET(Таблица2,48,0,1,1)</f>
        <v>#VALUE!</v>
      </c>
      <c r="C50" s="42" t="s">
        <v>834</v>
      </c>
      <c r="D50" s="44"/>
      <c r="E50" s="44"/>
      <c r="F50" s="45"/>
      <c r="G50" s="45"/>
      <c r="H50" s="46" t="s">
        <v>789</v>
      </c>
      <c r="I50" s="46" t="s">
        <v>835</v>
      </c>
      <c r="J50" s="41" t="n">
        <v>0.25</v>
      </c>
    </row>
    <row r="51" customFormat="false" ht="15" hidden="true" customHeight="false" outlineLevel="0" collapsed="false">
      <c r="A51" s="2" t="s">
        <v>844</v>
      </c>
      <c r="B51" s="2" t="e">
        <f aca="false">OFFSET(Таблица2,49,1,1,1)&amp;"-"&amp;OFFSET(Таблица2,49,0,1,1)</f>
        <v>#VALUE!</v>
      </c>
      <c r="C51" s="2" t="s">
        <v>834</v>
      </c>
      <c r="D51" s="39"/>
      <c r="E51" s="39"/>
      <c r="F51" s="40"/>
      <c r="G51" s="40"/>
      <c r="H51" s="1" t="s">
        <v>789</v>
      </c>
      <c r="I51" s="1" t="s">
        <v>835</v>
      </c>
      <c r="J51" s="41" t="n">
        <v>0.25</v>
      </c>
    </row>
    <row r="52" customFormat="false" ht="15" hidden="true" customHeight="false" outlineLevel="0" collapsed="false">
      <c r="A52" s="2" t="s">
        <v>72</v>
      </c>
      <c r="B52" s="2" t="e">
        <f aca="false">OFFSET(Таблица2,50,1,1,1)&amp;"-"&amp;OFFSET(Таблица2,50,0,1,1)</f>
        <v>#VALUE!</v>
      </c>
      <c r="C52" s="2" t="s">
        <v>834</v>
      </c>
      <c r="D52" s="39"/>
      <c r="E52" s="39"/>
      <c r="F52" s="40"/>
      <c r="G52" s="40"/>
      <c r="H52" s="1" t="s">
        <v>789</v>
      </c>
      <c r="I52" s="1" t="s">
        <v>835</v>
      </c>
      <c r="J52" s="41" t="n">
        <v>0.25</v>
      </c>
    </row>
    <row r="53" customFormat="false" ht="15" hidden="true" customHeight="false" outlineLevel="0" collapsed="false">
      <c r="A53" s="2" t="s">
        <v>68</v>
      </c>
      <c r="B53" s="2" t="e">
        <f aca="false">OFFSET(Таблица2,51,1,1,1)&amp;"-"&amp;OFFSET(Таблица2,51,0,1,1)</f>
        <v>#VALUE!</v>
      </c>
      <c r="C53" s="2" t="s">
        <v>834</v>
      </c>
      <c r="D53" s="39"/>
      <c r="E53" s="39"/>
      <c r="F53" s="40"/>
      <c r="G53" s="40"/>
      <c r="H53" s="1" t="s">
        <v>789</v>
      </c>
      <c r="I53" s="1" t="s">
        <v>835</v>
      </c>
      <c r="J53" s="41" t="n">
        <v>0.25</v>
      </c>
    </row>
    <row r="54" customFormat="false" ht="15" hidden="true" customHeight="false" outlineLevel="0" collapsed="false">
      <c r="A54" s="2" t="s">
        <v>845</v>
      </c>
      <c r="B54" s="2" t="e">
        <f aca="false">OFFSET(Таблица2,52,1,1,1)&amp;"-"&amp;OFFSET(Таблица2,52,0,1,1)</f>
        <v>#VALUE!</v>
      </c>
      <c r="C54" s="2" t="s">
        <v>834</v>
      </c>
      <c r="D54" s="39"/>
      <c r="E54" s="39"/>
      <c r="F54" s="40"/>
      <c r="G54" s="40"/>
      <c r="H54" s="1" t="s">
        <v>789</v>
      </c>
      <c r="I54" s="1" t="s">
        <v>835</v>
      </c>
      <c r="J54" s="41" t="n">
        <v>0.25</v>
      </c>
    </row>
    <row r="55" customFormat="false" ht="15.75" hidden="true" customHeight="false" outlineLevel="0" collapsed="false">
      <c r="A55" s="13" t="s">
        <v>846</v>
      </c>
      <c r="B55" s="2" t="e">
        <f aca="false">OFFSET(Таблица2,53,1,1,1)&amp;"-"&amp;OFFSET(Таблица2,53,0,1,1)</f>
        <v>#VALUE!</v>
      </c>
      <c r="C55" s="2" t="s">
        <v>834</v>
      </c>
      <c r="D55" s="39"/>
      <c r="E55" s="39"/>
      <c r="F55" s="40"/>
      <c r="G55" s="40"/>
      <c r="H55" s="1" t="s">
        <v>789</v>
      </c>
      <c r="I55" s="1" t="s">
        <v>835</v>
      </c>
      <c r="J55" s="41" t="n">
        <v>0.25</v>
      </c>
    </row>
    <row r="56" customFormat="false" ht="15.75" hidden="true" customHeight="false" outlineLevel="0" collapsed="false">
      <c r="A56" s="13" t="s">
        <v>847</v>
      </c>
      <c r="B56" s="2" t="e">
        <f aca="false">OFFSET(Таблица2,54,1,1,1)&amp;"-"&amp;OFFSET(Таблица2,54,0,1,1)</f>
        <v>#VALUE!</v>
      </c>
      <c r="C56" s="2" t="s">
        <v>834</v>
      </c>
      <c r="D56" s="39"/>
      <c r="E56" s="39"/>
      <c r="F56" s="40"/>
      <c r="G56" s="40"/>
      <c r="H56" s="1" t="s">
        <v>789</v>
      </c>
      <c r="I56" s="1" t="s">
        <v>835</v>
      </c>
      <c r="J56" s="41" t="n">
        <v>0.25</v>
      </c>
    </row>
    <row r="57" customFormat="false" ht="15.75" hidden="true" customHeight="false" outlineLevel="0" collapsed="false">
      <c r="A57" s="13" t="s">
        <v>841</v>
      </c>
      <c r="B57" s="2" t="e">
        <f aca="false">OFFSET(Таблица2,55,1,1,1)&amp;"-"&amp;OFFSET(Таблица2,55,0,1,1)</f>
        <v>#VALUE!</v>
      </c>
      <c r="C57" s="42" t="s">
        <v>834</v>
      </c>
      <c r="D57" s="44"/>
      <c r="E57" s="44"/>
      <c r="F57" s="45"/>
      <c r="G57" s="45"/>
      <c r="H57" s="46" t="s">
        <v>789</v>
      </c>
      <c r="I57" s="46" t="s">
        <v>835</v>
      </c>
      <c r="J57" s="41" t="n">
        <v>0.25</v>
      </c>
    </row>
    <row r="58" customFormat="false" ht="15.75" hidden="true" customHeight="false" outlineLevel="0" collapsed="false">
      <c r="A58" s="13" t="s">
        <v>840</v>
      </c>
      <c r="B58" s="2" t="e">
        <f aca="false">OFFSET(Таблица2,56,1,1,1)&amp;"-"&amp;OFFSET(Таблица2,56,0,1,1)</f>
        <v>#VALUE!</v>
      </c>
      <c r="C58" s="2" t="s">
        <v>834</v>
      </c>
      <c r="D58" s="39"/>
      <c r="E58" s="39"/>
      <c r="F58" s="40"/>
      <c r="G58" s="40"/>
      <c r="H58" s="1" t="s">
        <v>789</v>
      </c>
      <c r="I58" s="1" t="s">
        <v>835</v>
      </c>
      <c r="J58" s="41" t="n">
        <v>0.25</v>
      </c>
    </row>
    <row r="59" customFormat="false" ht="15.75" hidden="true" customHeight="false" outlineLevel="0" collapsed="false">
      <c r="A59" s="13" t="s">
        <v>843</v>
      </c>
      <c r="B59" s="2" t="e">
        <f aca="false">OFFSET(Таблица2,57,1,1,1)&amp;"-"&amp;OFFSET(Таблица2,57,0,1,1)</f>
        <v>#VALUE!</v>
      </c>
      <c r="C59" s="2" t="s">
        <v>834</v>
      </c>
      <c r="D59" s="39"/>
      <c r="E59" s="39"/>
      <c r="F59" s="40"/>
      <c r="G59" s="40"/>
      <c r="H59" s="1" t="s">
        <v>789</v>
      </c>
      <c r="I59" s="1" t="s">
        <v>835</v>
      </c>
      <c r="J59" s="41" t="n">
        <v>0.25</v>
      </c>
    </row>
    <row r="60" customFormat="false" ht="15.75" hidden="true" customHeight="false" outlineLevel="0" collapsed="false">
      <c r="A60" s="13" t="s">
        <v>838</v>
      </c>
      <c r="B60" s="2" t="e">
        <f aca="false">OFFSET(Таблица2,58,1,1,1)&amp;"-"&amp;OFFSET(Таблица2,58,0,1,1)</f>
        <v>#VALUE!</v>
      </c>
      <c r="C60" s="2" t="s">
        <v>834</v>
      </c>
      <c r="D60" s="39"/>
      <c r="E60" s="39"/>
      <c r="F60" s="40"/>
      <c r="G60" s="40"/>
      <c r="H60" s="1" t="s">
        <v>789</v>
      </c>
      <c r="I60" s="1" t="s">
        <v>835</v>
      </c>
      <c r="J60" s="41" t="n">
        <v>0.25</v>
      </c>
    </row>
    <row r="61" customFormat="false" ht="15.75" hidden="true" customHeight="false" outlineLevel="0" collapsed="false">
      <c r="A61" s="13" t="s">
        <v>837</v>
      </c>
      <c r="B61" s="2" t="e">
        <f aca="false">OFFSET(Таблица2,59,1,1,1)&amp;"-"&amp;OFFSET(Таблица2,59,0,1,1)</f>
        <v>#VALUE!</v>
      </c>
      <c r="C61" s="2" t="s">
        <v>834</v>
      </c>
      <c r="D61" s="39"/>
      <c r="E61" s="39"/>
      <c r="F61" s="40"/>
      <c r="G61" s="40"/>
      <c r="H61" s="1" t="s">
        <v>789</v>
      </c>
      <c r="I61" s="1" t="s">
        <v>835</v>
      </c>
      <c r="J61" s="41" t="n">
        <v>0.25</v>
      </c>
    </row>
    <row r="62" customFormat="false" ht="15.75" hidden="true" customHeight="false" outlineLevel="0" collapsed="false">
      <c r="A62" s="13" t="s">
        <v>836</v>
      </c>
      <c r="B62" s="2" t="e">
        <f aca="false">OFFSET(Таблица2,60,1,1,1)&amp;"-"&amp;OFFSET(Таблица2,60,0,1,1)</f>
        <v>#VALUE!</v>
      </c>
      <c r="C62" s="2" t="s">
        <v>834</v>
      </c>
      <c r="D62" s="39"/>
      <c r="E62" s="39"/>
      <c r="F62" s="40"/>
      <c r="G62" s="40"/>
      <c r="H62" s="1" t="s">
        <v>789</v>
      </c>
      <c r="I62" s="1" t="s">
        <v>835</v>
      </c>
      <c r="J62" s="41" t="n">
        <v>0.25</v>
      </c>
    </row>
    <row r="63" customFormat="false" ht="15.75" hidden="true" customHeight="false" outlineLevel="0" collapsed="false">
      <c r="A63" s="13" t="s">
        <v>839</v>
      </c>
      <c r="B63" s="2" t="e">
        <f aca="false">OFFSET(Таблица2,61,1,1,1)&amp;"-"&amp;OFFSET(Таблица2,61,0,1,1)</f>
        <v>#VALUE!</v>
      </c>
      <c r="C63" s="2" t="s">
        <v>834</v>
      </c>
      <c r="D63" s="39"/>
      <c r="E63" s="39"/>
      <c r="F63" s="40"/>
      <c r="G63" s="40"/>
      <c r="H63" s="1" t="s">
        <v>789</v>
      </c>
      <c r="I63" s="1" t="s">
        <v>835</v>
      </c>
      <c r="J63" s="41" t="n">
        <v>0.25</v>
      </c>
    </row>
    <row r="64" customFormat="false" ht="15.75" hidden="true" customHeight="false" outlineLevel="0" collapsed="false">
      <c r="A64" s="13" t="s">
        <v>842</v>
      </c>
      <c r="B64" s="2" t="e">
        <f aca="false">OFFSET(Таблица2,62,1,1,1)&amp;"-"&amp;OFFSET(Таблица2,62,0,1,1)</f>
        <v>#VALUE!</v>
      </c>
      <c r="C64" s="42" t="s">
        <v>834</v>
      </c>
      <c r="D64" s="44"/>
      <c r="E64" s="44"/>
      <c r="F64" s="45"/>
      <c r="G64" s="45"/>
      <c r="H64" s="46" t="s">
        <v>789</v>
      </c>
      <c r="I64" s="46" t="s">
        <v>835</v>
      </c>
      <c r="J64" s="41" t="n">
        <v>0.25</v>
      </c>
    </row>
    <row r="65" customFormat="false" ht="15" hidden="true" customHeight="false" outlineLevel="0" collapsed="false">
      <c r="A65" s="2" t="s">
        <v>598</v>
      </c>
      <c r="B65" s="2" t="e">
        <f aca="false">OFFSET(Таблица2,63,1,1,1)&amp;"-"&amp;OFFSET(Таблица2,63,0,1,1)</f>
        <v>#VALUE!</v>
      </c>
      <c r="C65" s="2" t="s">
        <v>834</v>
      </c>
      <c r="D65" s="39"/>
      <c r="E65" s="39"/>
      <c r="F65" s="40"/>
      <c r="G65" s="40"/>
      <c r="H65" s="1" t="s">
        <v>789</v>
      </c>
      <c r="I65" s="1" t="s">
        <v>835</v>
      </c>
      <c r="J65" s="41" t="n">
        <v>0.25</v>
      </c>
    </row>
    <row r="66" customFormat="false" ht="15" hidden="true" customHeight="false" outlineLevel="0" collapsed="false">
      <c r="A66" s="2" t="s">
        <v>601</v>
      </c>
      <c r="B66" s="2" t="e">
        <f aca="false">OFFSET(Таблица2,64,1,1,1)&amp;"-"&amp;OFFSET(Таблица2,64,0,1,1)</f>
        <v>#VALUE!</v>
      </c>
      <c r="C66" s="2" t="s">
        <v>834</v>
      </c>
      <c r="D66" s="39"/>
      <c r="E66" s="39"/>
      <c r="F66" s="40"/>
      <c r="G66" s="40"/>
      <c r="H66" s="1" t="s">
        <v>789</v>
      </c>
      <c r="I66" s="1" t="s">
        <v>835</v>
      </c>
      <c r="J66" s="41" t="n">
        <v>0.25</v>
      </c>
    </row>
    <row r="67" customFormat="false" ht="15" hidden="true" customHeight="false" outlineLevel="0" collapsed="false">
      <c r="A67" s="2" t="s">
        <v>604</v>
      </c>
      <c r="B67" s="2" t="e">
        <f aca="false">OFFSET(Таблица2,65,1,1,1)&amp;"-"&amp;OFFSET(Таблица2,65,0,1,1)</f>
        <v>#VALUE!</v>
      </c>
      <c r="C67" s="2" t="s">
        <v>834</v>
      </c>
      <c r="D67" s="39"/>
      <c r="E67" s="39"/>
      <c r="F67" s="40"/>
      <c r="G67" s="40"/>
      <c r="H67" s="1" t="s">
        <v>789</v>
      </c>
      <c r="I67" s="1" t="s">
        <v>835</v>
      </c>
      <c r="J67" s="41" t="n">
        <v>0.25</v>
      </c>
    </row>
    <row r="68" customFormat="false" ht="15" hidden="true" customHeight="false" outlineLevel="0" collapsed="false">
      <c r="A68" s="2" t="s">
        <v>607</v>
      </c>
      <c r="B68" s="2" t="e">
        <f aca="false">OFFSET(Таблица2,66,1,1,1)&amp;"-"&amp;OFFSET(Таблица2,66,0,1,1)</f>
        <v>#VALUE!</v>
      </c>
      <c r="C68" s="2" t="s">
        <v>834</v>
      </c>
      <c r="D68" s="39"/>
      <c r="E68" s="39"/>
      <c r="F68" s="40"/>
      <c r="G68" s="40"/>
      <c r="H68" s="1" t="s">
        <v>789</v>
      </c>
      <c r="I68" s="1" t="s">
        <v>835</v>
      </c>
      <c r="J68" s="41" t="n">
        <v>0.25</v>
      </c>
    </row>
    <row r="69" customFormat="false" ht="15" hidden="true" customHeight="false" outlineLevel="0" collapsed="false">
      <c r="A69" s="2" t="s">
        <v>610</v>
      </c>
      <c r="B69" s="2" t="e">
        <f aca="false">OFFSET(Таблица2,67,1,1,1)&amp;"-"&amp;OFFSET(Таблица2,67,0,1,1)</f>
        <v>#VALUE!</v>
      </c>
      <c r="C69" s="2" t="s">
        <v>834</v>
      </c>
      <c r="D69" s="39"/>
      <c r="E69" s="39"/>
      <c r="F69" s="40"/>
      <c r="G69" s="40"/>
      <c r="H69" s="1" t="s">
        <v>789</v>
      </c>
      <c r="I69" s="1" t="s">
        <v>835</v>
      </c>
      <c r="J69" s="41" t="n">
        <v>0.25</v>
      </c>
    </row>
    <row r="70" customFormat="false" ht="15" hidden="true" customHeight="false" outlineLevel="0" collapsed="false">
      <c r="A70" s="2" t="s">
        <v>613</v>
      </c>
      <c r="B70" s="2" t="e">
        <f aca="false">OFFSET(Таблица2,68,1,1,1)&amp;"-"&amp;OFFSET(Таблица2,68,0,1,1)</f>
        <v>#VALUE!</v>
      </c>
      <c r="C70" s="2" t="s">
        <v>834</v>
      </c>
      <c r="D70" s="39"/>
      <c r="E70" s="39"/>
      <c r="F70" s="40"/>
      <c r="G70" s="40"/>
      <c r="H70" s="1" t="s">
        <v>789</v>
      </c>
      <c r="I70" s="1" t="s">
        <v>835</v>
      </c>
      <c r="J70" s="41" t="n">
        <v>0.25</v>
      </c>
    </row>
    <row r="71" customFormat="false" ht="15" hidden="true" customHeight="false" outlineLevel="0" collapsed="false">
      <c r="A71" s="2" t="s">
        <v>616</v>
      </c>
      <c r="B71" s="2" t="e">
        <f aca="false">OFFSET(Таблица2,69,1,1,1)&amp;"-"&amp;OFFSET(Таблица2,69,0,1,1)</f>
        <v>#VALUE!</v>
      </c>
      <c r="C71" s="42" t="s">
        <v>834</v>
      </c>
      <c r="D71" s="44"/>
      <c r="E71" s="44"/>
      <c r="F71" s="45"/>
      <c r="G71" s="45"/>
      <c r="H71" s="46" t="s">
        <v>789</v>
      </c>
      <c r="I71" s="46" t="s">
        <v>835</v>
      </c>
      <c r="J71" s="41" t="n">
        <v>0.25</v>
      </c>
    </row>
    <row r="72" customFormat="false" ht="15" hidden="true" customHeight="false" outlineLevel="0" collapsed="false">
      <c r="A72" s="2" t="s">
        <v>619</v>
      </c>
      <c r="B72" s="2" t="e">
        <f aca="false">OFFSET(Таблица2,70,1,1,1)&amp;"-"&amp;OFFSET(Таблица2,70,0,1,1)</f>
        <v>#VALUE!</v>
      </c>
      <c r="C72" s="2" t="s">
        <v>834</v>
      </c>
      <c r="D72" s="39"/>
      <c r="E72" s="39"/>
      <c r="F72" s="40"/>
      <c r="G72" s="40"/>
      <c r="H72" s="1" t="s">
        <v>789</v>
      </c>
      <c r="I72" s="1" t="s">
        <v>835</v>
      </c>
      <c r="J72" s="41" t="n">
        <v>0.25</v>
      </c>
    </row>
    <row r="73" customFormat="false" ht="15" hidden="true" customHeight="false" outlineLevel="0" collapsed="false">
      <c r="A73" s="2" t="s">
        <v>623</v>
      </c>
      <c r="B73" s="2" t="e">
        <f aca="false">OFFSET(Таблица2,71,1,1,1)&amp;"-"&amp;OFFSET(Таблица2,71,0,1,1)</f>
        <v>#VALUE!</v>
      </c>
      <c r="C73" s="2" t="s">
        <v>834</v>
      </c>
      <c r="D73" s="39"/>
      <c r="E73" s="39"/>
      <c r="F73" s="40"/>
      <c r="G73" s="40"/>
      <c r="H73" s="1" t="s">
        <v>789</v>
      </c>
      <c r="I73" s="1" t="s">
        <v>835</v>
      </c>
      <c r="J73" s="41" t="n">
        <v>0.25</v>
      </c>
    </row>
    <row r="74" customFormat="false" ht="15" hidden="true" customHeight="false" outlineLevel="0" collapsed="false">
      <c r="A74" s="2" t="s">
        <v>626</v>
      </c>
      <c r="B74" s="2" t="e">
        <f aca="false">OFFSET(Таблица2,72,1,1,1)&amp;"-"&amp;OFFSET(Таблица2,72,0,1,1)</f>
        <v>#VALUE!</v>
      </c>
      <c r="C74" s="2" t="s">
        <v>834</v>
      </c>
      <c r="D74" s="39"/>
      <c r="E74" s="39"/>
      <c r="F74" s="40"/>
      <c r="G74" s="40"/>
      <c r="H74" s="1" t="s">
        <v>789</v>
      </c>
      <c r="I74" s="1" t="s">
        <v>835</v>
      </c>
      <c r="J74" s="41" t="n">
        <v>0.25</v>
      </c>
    </row>
    <row r="75" customFormat="false" ht="15" hidden="true" customHeight="false" outlineLevel="0" collapsed="false">
      <c r="A75" s="2" t="s">
        <v>629</v>
      </c>
      <c r="B75" s="2" t="e">
        <f aca="false">OFFSET(Таблица2,73,1,1,1)&amp;"-"&amp;OFFSET(Таблица2,73,0,1,1)</f>
        <v>#VALUE!</v>
      </c>
      <c r="C75" s="2" t="s">
        <v>834</v>
      </c>
      <c r="D75" s="39"/>
      <c r="E75" s="39"/>
      <c r="F75" s="40"/>
      <c r="G75" s="40"/>
      <c r="H75" s="1" t="s">
        <v>789</v>
      </c>
      <c r="I75" s="1" t="s">
        <v>835</v>
      </c>
      <c r="J75" s="41" t="n">
        <v>0.25</v>
      </c>
    </row>
    <row r="76" customFormat="false" ht="15" hidden="true" customHeight="false" outlineLevel="0" collapsed="false">
      <c r="A76" s="2" t="s">
        <v>632</v>
      </c>
      <c r="B76" s="2" t="e">
        <f aca="false">OFFSET(Таблица2,74,1,1,1)&amp;"-"&amp;OFFSET(Таблица2,74,0,1,1)</f>
        <v>#VALUE!</v>
      </c>
      <c r="C76" s="2" t="s">
        <v>834</v>
      </c>
      <c r="D76" s="39"/>
      <c r="E76" s="39"/>
      <c r="F76" s="40"/>
      <c r="G76" s="40"/>
      <c r="H76" s="1" t="s">
        <v>789</v>
      </c>
      <c r="I76" s="1" t="s">
        <v>835</v>
      </c>
      <c r="J76" s="41" t="n">
        <v>0.25</v>
      </c>
    </row>
    <row r="77" customFormat="false" ht="15" hidden="true" customHeight="false" outlineLevel="0" collapsed="false">
      <c r="A77" s="2" t="s">
        <v>635</v>
      </c>
      <c r="B77" s="2" t="e">
        <f aca="false">OFFSET(Таблица2,75,1,1,1)&amp;"-"&amp;OFFSET(Таблица2,75,0,1,1)</f>
        <v>#VALUE!</v>
      </c>
      <c r="C77" s="2" t="s">
        <v>834</v>
      </c>
      <c r="D77" s="39"/>
      <c r="E77" s="39"/>
      <c r="F77" s="40"/>
      <c r="G77" s="40"/>
      <c r="H77" s="1" t="s">
        <v>789</v>
      </c>
      <c r="I77" s="1" t="s">
        <v>835</v>
      </c>
      <c r="J77" s="41" t="n">
        <v>0.25</v>
      </c>
    </row>
    <row r="78" customFormat="false" ht="15" hidden="true" customHeight="false" outlineLevel="0" collapsed="false">
      <c r="A78" s="2" t="s">
        <v>638</v>
      </c>
      <c r="B78" s="2" t="e">
        <f aca="false">OFFSET(Таблица2,76,1,1,1)&amp;"-"&amp;OFFSET(Таблица2,76,0,1,1)</f>
        <v>#VALUE!</v>
      </c>
      <c r="C78" s="42" t="s">
        <v>834</v>
      </c>
      <c r="D78" s="44"/>
      <c r="E78" s="44"/>
      <c r="F78" s="45"/>
      <c r="G78" s="45"/>
      <c r="H78" s="46" t="s">
        <v>789</v>
      </c>
      <c r="I78" s="46" t="s">
        <v>835</v>
      </c>
      <c r="J78" s="41" t="n">
        <v>0.25</v>
      </c>
    </row>
    <row r="79" customFormat="false" ht="15" hidden="true" customHeight="false" outlineLevel="0" collapsed="false">
      <c r="A79" s="2" t="s">
        <v>641</v>
      </c>
      <c r="B79" s="2" t="e">
        <f aca="false">OFFSET(Таблица2,77,1,1,1)&amp;"-"&amp;OFFSET(Таблица2,77,0,1,1)</f>
        <v>#VALUE!</v>
      </c>
      <c r="C79" s="2" t="s">
        <v>834</v>
      </c>
      <c r="D79" s="39"/>
      <c r="E79" s="39"/>
      <c r="F79" s="40"/>
      <c r="G79" s="40"/>
      <c r="H79" s="1" t="s">
        <v>789</v>
      </c>
      <c r="I79" s="1" t="s">
        <v>835</v>
      </c>
      <c r="J79" s="41" t="n">
        <v>0.25</v>
      </c>
    </row>
    <row r="80" customFormat="false" ht="15" hidden="true" customHeight="false" outlineLevel="0" collapsed="false">
      <c r="A80" s="2" t="s">
        <v>644</v>
      </c>
      <c r="B80" s="2" t="e">
        <f aca="false">OFFSET(Таблица2,78,1,1,1)&amp;"-"&amp;OFFSET(Таблица2,78,0,1,1)</f>
        <v>#VALUE!</v>
      </c>
      <c r="C80" s="2" t="s">
        <v>834</v>
      </c>
      <c r="D80" s="39"/>
      <c r="E80" s="39"/>
      <c r="F80" s="40"/>
      <c r="G80" s="40"/>
      <c r="H80" s="1" t="s">
        <v>789</v>
      </c>
      <c r="I80" s="1" t="s">
        <v>835</v>
      </c>
      <c r="J80" s="41" t="n">
        <v>0.25</v>
      </c>
    </row>
    <row r="81" customFormat="false" ht="15" hidden="true" customHeight="false" outlineLevel="0" collapsed="false">
      <c r="A81" s="2" t="s">
        <v>647</v>
      </c>
      <c r="B81" s="2" t="e">
        <f aca="false">OFFSET(Таблица2,79,1,1,1)&amp;"-"&amp;OFFSET(Таблица2,79,0,1,1)</f>
        <v>#VALUE!</v>
      </c>
      <c r="C81" s="2" t="s">
        <v>834</v>
      </c>
      <c r="D81" s="39"/>
      <c r="E81" s="39"/>
      <c r="F81" s="40"/>
      <c r="G81" s="40"/>
      <c r="H81" s="1" t="s">
        <v>789</v>
      </c>
      <c r="I81" s="1" t="s">
        <v>835</v>
      </c>
      <c r="J81" s="41" t="n">
        <v>0.25</v>
      </c>
    </row>
    <row r="82" customFormat="false" ht="15" hidden="true" customHeight="false" outlineLevel="0" collapsed="false">
      <c r="A82" s="2" t="s">
        <v>650</v>
      </c>
      <c r="B82" s="2" t="e">
        <f aca="false">OFFSET(Таблица2,80,1,1,1)&amp;"-"&amp;OFFSET(Таблица2,80,0,1,1)</f>
        <v>#VALUE!</v>
      </c>
      <c r="C82" s="2" t="s">
        <v>834</v>
      </c>
      <c r="D82" s="39"/>
      <c r="E82" s="39"/>
      <c r="F82" s="40"/>
      <c r="G82" s="40"/>
      <c r="H82" s="1" t="s">
        <v>789</v>
      </c>
      <c r="I82" s="1" t="s">
        <v>835</v>
      </c>
      <c r="J82" s="41" t="n">
        <v>0.25</v>
      </c>
    </row>
    <row r="83" customFormat="false" ht="15" hidden="true" customHeight="false" outlineLevel="0" collapsed="false">
      <c r="A83" s="2" t="s">
        <v>49</v>
      </c>
      <c r="B83" s="2" t="e">
        <f aca="false">OFFSET(Таблица2,81,1,1,1)&amp;"-"&amp;OFFSET(Таблица2,81,0,1,1)</f>
        <v>#VALUE!</v>
      </c>
      <c r="C83" s="2" t="s">
        <v>848</v>
      </c>
      <c r="D83" s="39"/>
      <c r="E83" s="39"/>
      <c r="F83" s="40"/>
      <c r="G83" s="40"/>
      <c r="H83" s="1" t="s">
        <v>789</v>
      </c>
      <c r="I83" s="1" t="s">
        <v>849</v>
      </c>
      <c r="J83" s="43" t="n">
        <v>0.4</v>
      </c>
    </row>
    <row r="84" customFormat="false" ht="15" hidden="true" customHeight="false" outlineLevel="0" collapsed="false">
      <c r="A84" s="2" t="s">
        <v>81</v>
      </c>
      <c r="B84" s="2" t="e">
        <f aca="false">OFFSET(Таблица2,82,1,1,1)&amp;"-"&amp;OFFSET(Таблица2,82,0,1,1)</f>
        <v>#VALUE!</v>
      </c>
      <c r="C84" s="2" t="s">
        <v>848</v>
      </c>
      <c r="D84" s="39"/>
      <c r="E84" s="39"/>
      <c r="F84" s="40"/>
      <c r="G84" s="40"/>
      <c r="H84" s="1" t="s">
        <v>789</v>
      </c>
      <c r="I84" s="1" t="s">
        <v>849</v>
      </c>
      <c r="J84" s="43" t="n">
        <v>0.4</v>
      </c>
    </row>
    <row r="85" customFormat="false" ht="15" hidden="true" customHeight="false" outlineLevel="0" collapsed="false">
      <c r="A85" s="2" t="s">
        <v>65</v>
      </c>
      <c r="B85" s="2" t="e">
        <f aca="false">OFFSET(Таблица2,83,1,1,1)&amp;"-"&amp;OFFSET(Таблица2,83,0,1,1)</f>
        <v>#VALUE!</v>
      </c>
      <c r="C85" s="42" t="s">
        <v>848</v>
      </c>
      <c r="D85" s="44"/>
      <c r="E85" s="44"/>
      <c r="F85" s="45"/>
      <c r="G85" s="45"/>
      <c r="H85" s="46" t="s">
        <v>789</v>
      </c>
      <c r="I85" s="46" t="s">
        <v>849</v>
      </c>
      <c r="J85" s="43" t="n">
        <v>0.4</v>
      </c>
    </row>
    <row r="86" customFormat="false" ht="15" hidden="true" customHeight="false" outlineLevel="0" collapsed="false">
      <c r="A86" s="2" t="s">
        <v>91</v>
      </c>
      <c r="B86" s="2" t="e">
        <f aca="false">OFFSET(Таблица2,84,1,1,1)&amp;"-"&amp;OFFSET(Таблица2,84,0,1,1)</f>
        <v>#VALUE!</v>
      </c>
      <c r="C86" s="2" t="s">
        <v>848</v>
      </c>
      <c r="D86" s="39"/>
      <c r="E86" s="39"/>
      <c r="F86" s="40"/>
      <c r="G86" s="40"/>
      <c r="H86" s="1" t="s">
        <v>789</v>
      </c>
      <c r="I86" s="1" t="s">
        <v>849</v>
      </c>
      <c r="J86" s="43" t="n">
        <v>0.4</v>
      </c>
    </row>
    <row r="87" customFormat="false" ht="15" hidden="true" customHeight="false" outlineLevel="0" collapsed="false">
      <c r="A87" s="2" t="s">
        <v>45</v>
      </c>
      <c r="B87" s="2" t="e">
        <f aca="false">OFFSET(Таблица2,85,1,1,1)&amp;"-"&amp;OFFSET(Таблица2,85,0,1,1)</f>
        <v>#VALUE!</v>
      </c>
      <c r="C87" s="2" t="s">
        <v>848</v>
      </c>
      <c r="D87" s="39"/>
      <c r="E87" s="39"/>
      <c r="F87" s="40"/>
      <c r="G87" s="40"/>
      <c r="H87" s="1" t="s">
        <v>789</v>
      </c>
      <c r="I87" s="1" t="s">
        <v>849</v>
      </c>
      <c r="J87" s="43" t="n">
        <v>0.4</v>
      </c>
    </row>
    <row r="88" customFormat="false" ht="15" hidden="true" customHeight="false" outlineLevel="0" collapsed="false">
      <c r="A88" s="2" t="s">
        <v>41</v>
      </c>
      <c r="B88" s="2" t="e">
        <f aca="false">OFFSET(Таблица2,86,1,1,1)&amp;"-"&amp;OFFSET(Таблица2,86,0,1,1)</f>
        <v>#VALUE!</v>
      </c>
      <c r="C88" s="2" t="s">
        <v>848</v>
      </c>
      <c r="D88" s="39"/>
      <c r="E88" s="39"/>
      <c r="F88" s="40"/>
      <c r="G88" s="40"/>
      <c r="H88" s="1" t="s">
        <v>789</v>
      </c>
      <c r="I88" s="1" t="s">
        <v>849</v>
      </c>
      <c r="J88" s="43" t="n">
        <v>0.4</v>
      </c>
    </row>
    <row r="89" customFormat="false" ht="15" hidden="true" customHeight="false" outlineLevel="0" collapsed="false">
      <c r="A89" s="2" t="s">
        <v>77</v>
      </c>
      <c r="B89" s="2" t="e">
        <f aca="false">OFFSET(Таблица2,87,1,1,1)&amp;"-"&amp;OFFSET(Таблица2,87,0,1,1)</f>
        <v>#VALUE!</v>
      </c>
      <c r="C89" s="2" t="s">
        <v>848</v>
      </c>
      <c r="D89" s="39"/>
      <c r="E89" s="39"/>
      <c r="F89" s="40"/>
      <c r="G89" s="40"/>
      <c r="H89" s="1" t="s">
        <v>789</v>
      </c>
      <c r="I89" s="1" t="s">
        <v>849</v>
      </c>
      <c r="J89" s="43" t="n">
        <v>0.4</v>
      </c>
    </row>
    <row r="90" customFormat="false" ht="15" hidden="true" customHeight="false" outlineLevel="0" collapsed="false">
      <c r="A90" s="2" t="s">
        <v>62</v>
      </c>
      <c r="B90" s="2" t="e">
        <f aca="false">OFFSET(Таблица2,88,1,1,1)&amp;"-"&amp;OFFSET(Таблица2,88,0,1,1)</f>
        <v>#VALUE!</v>
      </c>
      <c r="C90" s="2" t="s">
        <v>848</v>
      </c>
      <c r="D90" s="39"/>
      <c r="E90" s="39"/>
      <c r="F90" s="40"/>
      <c r="G90" s="40"/>
      <c r="H90" s="1" t="s">
        <v>789</v>
      </c>
      <c r="I90" s="1" t="s">
        <v>849</v>
      </c>
      <c r="J90" s="43" t="n">
        <v>0.4</v>
      </c>
    </row>
    <row r="91" customFormat="false" ht="15" hidden="true" customHeight="false" outlineLevel="0" collapsed="false">
      <c r="A91" s="2" t="s">
        <v>59</v>
      </c>
      <c r="B91" s="2" t="e">
        <f aca="false">OFFSET(Таблица2,89,1,1,1)&amp;"-"&amp;OFFSET(Таблица2,89,0,1,1)</f>
        <v>#VALUE!</v>
      </c>
      <c r="C91" s="2" t="s">
        <v>848</v>
      </c>
      <c r="D91" s="39"/>
      <c r="E91" s="39"/>
      <c r="F91" s="40"/>
      <c r="G91" s="40"/>
      <c r="H91" s="1" t="s">
        <v>789</v>
      </c>
      <c r="I91" s="1" t="s">
        <v>849</v>
      </c>
      <c r="J91" s="43" t="n">
        <v>0.4</v>
      </c>
    </row>
    <row r="92" customFormat="false" ht="15" hidden="true" customHeight="false" outlineLevel="0" collapsed="false">
      <c r="A92" s="2" t="s">
        <v>88</v>
      </c>
      <c r="B92" s="2" t="e">
        <f aca="false">OFFSET(Таблица2,90,1,1,1)&amp;"-"&amp;OFFSET(Таблица2,90,0,1,1)</f>
        <v>#VALUE!</v>
      </c>
      <c r="C92" s="42" t="s">
        <v>848</v>
      </c>
      <c r="D92" s="44"/>
      <c r="E92" s="44"/>
      <c r="F92" s="45"/>
      <c r="G92" s="45"/>
      <c r="H92" s="46" t="s">
        <v>789</v>
      </c>
      <c r="I92" s="46" t="s">
        <v>849</v>
      </c>
      <c r="J92" s="43" t="n">
        <v>0.4</v>
      </c>
    </row>
    <row r="93" customFormat="false" ht="15" hidden="true" customHeight="false" outlineLevel="0" collapsed="false">
      <c r="A93" s="2" t="s">
        <v>37</v>
      </c>
      <c r="B93" s="2" t="e">
        <f aca="false">OFFSET(Таблица2,91,1,1,1)&amp;"-"&amp;OFFSET(Таблица2,91,0,1,1)</f>
        <v>#VALUE!</v>
      </c>
      <c r="C93" s="2" t="s">
        <v>848</v>
      </c>
      <c r="D93" s="39"/>
      <c r="E93" s="39"/>
      <c r="F93" s="40"/>
      <c r="G93" s="40"/>
      <c r="H93" s="1" t="s">
        <v>789</v>
      </c>
      <c r="I93" s="1" t="s">
        <v>849</v>
      </c>
      <c r="J93" s="43" t="n">
        <v>0.4</v>
      </c>
    </row>
    <row r="94" customFormat="false" ht="15" hidden="true" customHeight="false" outlineLevel="0" collapsed="false">
      <c r="A94" s="2" t="s">
        <v>34</v>
      </c>
      <c r="B94" s="2" t="e">
        <f aca="false">OFFSET(Таблица2,92,1,1,1)&amp;"-"&amp;OFFSET(Таблица2,92,0,1,1)</f>
        <v>#VALUE!</v>
      </c>
      <c r="C94" s="2" t="s">
        <v>848</v>
      </c>
      <c r="D94" s="39"/>
      <c r="E94" s="39"/>
      <c r="F94" s="40"/>
      <c r="G94" s="40"/>
      <c r="H94" s="1" t="s">
        <v>789</v>
      </c>
      <c r="I94" s="1" t="s">
        <v>849</v>
      </c>
      <c r="J94" s="43" t="n">
        <v>0.4</v>
      </c>
    </row>
    <row r="95" customFormat="false" ht="15" hidden="true" customHeight="false" outlineLevel="0" collapsed="false">
      <c r="A95" s="2" t="s">
        <v>56</v>
      </c>
      <c r="B95" s="2" t="e">
        <f aca="false">OFFSET(Таблица2,93,1,1,1)&amp;"-"&amp;OFFSET(Таблица2,93,0,1,1)</f>
        <v>#VALUE!</v>
      </c>
      <c r="C95" s="2" t="s">
        <v>848</v>
      </c>
      <c r="D95" s="39"/>
      <c r="E95" s="39"/>
      <c r="F95" s="40"/>
      <c r="G95" s="40"/>
      <c r="H95" s="1" t="s">
        <v>789</v>
      </c>
      <c r="I95" s="1" t="s">
        <v>849</v>
      </c>
      <c r="J95" s="43" t="n">
        <v>0.4</v>
      </c>
    </row>
    <row r="96" customFormat="false" ht="15" hidden="true" customHeight="false" outlineLevel="0" collapsed="false">
      <c r="A96" s="2" t="s">
        <v>53</v>
      </c>
      <c r="B96" s="2" t="e">
        <f aca="false">OFFSET(Таблица2,94,1,1,1)&amp;"-"&amp;OFFSET(Таблица2,94,0,1,1)</f>
        <v>#VALUE!</v>
      </c>
      <c r="C96" s="2" t="s">
        <v>848</v>
      </c>
      <c r="D96" s="39"/>
      <c r="E96" s="39"/>
      <c r="F96" s="40"/>
      <c r="G96" s="40"/>
      <c r="H96" s="1" t="s">
        <v>789</v>
      </c>
      <c r="I96" s="1" t="s">
        <v>849</v>
      </c>
      <c r="J96" s="43" t="n">
        <v>0.4</v>
      </c>
    </row>
    <row r="97" customFormat="false" ht="15" hidden="true" customHeight="false" outlineLevel="0" collapsed="false">
      <c r="A97" s="2" t="s">
        <v>793</v>
      </c>
      <c r="B97" s="2" t="e">
        <f aca="false">OFFSET(Таблица2,95,1,1,1)&amp;"-"&amp;OFFSET(Таблица2,95,0,1,1)</f>
        <v>#VALUE!</v>
      </c>
      <c r="C97" s="2" t="s">
        <v>848</v>
      </c>
      <c r="D97" s="39"/>
      <c r="E97" s="39"/>
      <c r="F97" s="40"/>
      <c r="G97" s="40"/>
      <c r="H97" s="1" t="s">
        <v>789</v>
      </c>
      <c r="I97" s="1" t="s">
        <v>849</v>
      </c>
      <c r="J97" s="43" t="n">
        <v>0.4</v>
      </c>
    </row>
    <row r="98" customFormat="false" ht="15" hidden="true" customHeight="false" outlineLevel="0" collapsed="false">
      <c r="A98" s="2" t="s">
        <v>86</v>
      </c>
      <c r="B98" s="2" t="e">
        <f aca="false">OFFSET(Таблица2,96,1,1,1)&amp;"-"&amp;OFFSET(Таблица2,96,0,1,1)</f>
        <v>#VALUE!</v>
      </c>
      <c r="C98" s="2" t="s">
        <v>848</v>
      </c>
      <c r="D98" s="39"/>
      <c r="E98" s="39"/>
      <c r="F98" s="40"/>
      <c r="G98" s="40"/>
      <c r="H98" s="1" t="s">
        <v>789</v>
      </c>
      <c r="I98" s="1" t="s">
        <v>849</v>
      </c>
      <c r="J98" s="43" t="n">
        <v>0.4</v>
      </c>
    </row>
    <row r="99" customFormat="false" ht="15" hidden="true" customHeight="false" outlineLevel="0" collapsed="false">
      <c r="A99" s="2" t="s">
        <v>819</v>
      </c>
      <c r="B99" s="2" t="e">
        <f aca="false">OFFSET(Таблица2,97,1,1,1)&amp;"-"&amp;OFFSET(Таблица2,97,0,1,1)</f>
        <v>#VALUE!</v>
      </c>
      <c r="C99" s="42" t="s">
        <v>848</v>
      </c>
      <c r="D99" s="44"/>
      <c r="E99" s="44"/>
      <c r="F99" s="45"/>
      <c r="G99" s="45"/>
      <c r="H99" s="46" t="s">
        <v>789</v>
      </c>
      <c r="I99" s="46" t="s">
        <v>849</v>
      </c>
      <c r="J99" s="43" t="n">
        <v>0.4</v>
      </c>
    </row>
    <row r="100" customFormat="false" ht="15" hidden="true" customHeight="false" outlineLevel="0" collapsed="false">
      <c r="A100" s="2" t="s">
        <v>822</v>
      </c>
      <c r="B100" s="2" t="e">
        <f aca="false">OFFSET(Таблица2,98,1,1,1)&amp;"-"&amp;OFFSET(Таблица2,98,0,1,1)</f>
        <v>#VALUE!</v>
      </c>
      <c r="C100" s="2" t="s">
        <v>848</v>
      </c>
      <c r="D100" s="39"/>
      <c r="E100" s="39"/>
      <c r="F100" s="40"/>
      <c r="G100" s="40"/>
      <c r="H100" s="1" t="s">
        <v>789</v>
      </c>
      <c r="I100" s="1" t="s">
        <v>849</v>
      </c>
      <c r="J100" s="43" t="n">
        <v>0.4</v>
      </c>
    </row>
    <row r="101" customFormat="false" ht="15" hidden="true" customHeight="false" outlineLevel="0" collapsed="false">
      <c r="A101" s="2" t="s">
        <v>84</v>
      </c>
      <c r="B101" s="2" t="e">
        <f aca="false">OFFSET(Таблица2,99,1,1,1)&amp;"-"&amp;OFFSET(Таблица2,99,0,1,1)</f>
        <v>#VALUE!</v>
      </c>
      <c r="C101" s="2" t="s">
        <v>848</v>
      </c>
      <c r="D101" s="39"/>
      <c r="E101" s="39"/>
      <c r="F101" s="40"/>
      <c r="G101" s="40"/>
      <c r="H101" s="1" t="s">
        <v>789</v>
      </c>
      <c r="I101" s="1" t="s">
        <v>849</v>
      </c>
      <c r="J101" s="43" t="n">
        <v>0.4</v>
      </c>
    </row>
    <row r="102" customFormat="false" ht="15" hidden="true" customHeight="false" outlineLevel="0" collapsed="false">
      <c r="A102" s="2" t="s">
        <v>72</v>
      </c>
      <c r="B102" s="2" t="e">
        <f aca="false">OFFSET(Таблица2,100,1,1,1)&amp;"-"&amp;OFFSET(Таблица2,100,0,1,1)</f>
        <v>#VALUE!</v>
      </c>
      <c r="C102" s="2" t="s">
        <v>848</v>
      </c>
      <c r="D102" s="39"/>
      <c r="E102" s="39"/>
      <c r="F102" s="40"/>
      <c r="G102" s="40"/>
      <c r="H102" s="1" t="s">
        <v>789</v>
      </c>
      <c r="I102" s="1" t="s">
        <v>849</v>
      </c>
      <c r="J102" s="43" t="n">
        <v>0.4</v>
      </c>
    </row>
    <row r="103" customFormat="false" ht="15" hidden="true" customHeight="false" outlineLevel="0" collapsed="false">
      <c r="A103" s="2" t="s">
        <v>68</v>
      </c>
      <c r="B103" s="2" t="e">
        <f aca="false">OFFSET(Таблица2,101,1,1,1)&amp;"-"&amp;OFFSET(Таблица2,101,0,1,1)</f>
        <v>#VALUE!</v>
      </c>
      <c r="C103" s="2" t="s">
        <v>848</v>
      </c>
      <c r="D103" s="39"/>
      <c r="E103" s="39"/>
      <c r="F103" s="40"/>
      <c r="G103" s="40"/>
      <c r="H103" s="1" t="s">
        <v>789</v>
      </c>
      <c r="I103" s="1" t="s">
        <v>849</v>
      </c>
      <c r="J103" s="43" t="n">
        <v>0.4</v>
      </c>
    </row>
    <row r="104" customFormat="false" ht="15.75" hidden="true" customHeight="false" outlineLevel="0" collapsed="false">
      <c r="A104" s="13" t="s">
        <v>846</v>
      </c>
      <c r="B104" s="2" t="e">
        <f aca="false">OFFSET(Таблица2,102,1,1,1)&amp;"-"&amp;OFFSET(Таблица2,102,0,1,1)</f>
        <v>#VALUE!</v>
      </c>
      <c r="C104" s="2" t="s">
        <v>848</v>
      </c>
      <c r="D104" s="39"/>
      <c r="E104" s="39"/>
      <c r="F104" s="40"/>
      <c r="G104" s="40"/>
      <c r="H104" s="1" t="s">
        <v>789</v>
      </c>
      <c r="I104" s="1" t="s">
        <v>849</v>
      </c>
      <c r="J104" s="43" t="n">
        <v>0.4</v>
      </c>
    </row>
    <row r="105" customFormat="false" ht="15.75" hidden="true" customHeight="false" outlineLevel="0" collapsed="false">
      <c r="A105" s="13" t="s">
        <v>847</v>
      </c>
      <c r="B105" s="2" t="e">
        <f aca="false">OFFSET(Таблица2,103,1,1,1)&amp;"-"&amp;OFFSET(Таблица2,103,0,1,1)</f>
        <v>#VALUE!</v>
      </c>
      <c r="C105" s="2" t="s">
        <v>848</v>
      </c>
      <c r="D105" s="39"/>
      <c r="E105" s="39"/>
      <c r="F105" s="40"/>
      <c r="G105" s="40"/>
      <c r="H105" s="1" t="s">
        <v>789</v>
      </c>
      <c r="I105" s="1" t="s">
        <v>849</v>
      </c>
      <c r="J105" s="43" t="n">
        <v>0.4</v>
      </c>
    </row>
    <row r="106" customFormat="false" ht="15.75" hidden="true" customHeight="false" outlineLevel="0" collapsed="false">
      <c r="A106" s="13" t="s">
        <v>841</v>
      </c>
      <c r="B106" s="2" t="e">
        <f aca="false">OFFSET(Таблица2,104,1,1,1)&amp;"-"&amp;OFFSET(Таблица2,104,0,1,1)</f>
        <v>#VALUE!</v>
      </c>
      <c r="C106" s="42" t="s">
        <v>848</v>
      </c>
      <c r="D106" s="44"/>
      <c r="E106" s="44"/>
      <c r="F106" s="45"/>
      <c r="G106" s="45"/>
      <c r="H106" s="46" t="s">
        <v>789</v>
      </c>
      <c r="I106" s="46" t="s">
        <v>849</v>
      </c>
      <c r="J106" s="43" t="n">
        <v>0.4</v>
      </c>
    </row>
    <row r="107" customFormat="false" ht="15.75" hidden="true" customHeight="false" outlineLevel="0" collapsed="false">
      <c r="A107" s="13" t="s">
        <v>840</v>
      </c>
      <c r="B107" s="2" t="e">
        <f aca="false">OFFSET(Таблица2,105,1,1,1)&amp;"-"&amp;OFFSET(Таблица2,105,0,1,1)</f>
        <v>#VALUE!</v>
      </c>
      <c r="C107" s="2" t="s">
        <v>848</v>
      </c>
      <c r="D107" s="39"/>
      <c r="E107" s="39"/>
      <c r="F107" s="40"/>
      <c r="G107" s="40"/>
      <c r="H107" s="1" t="s">
        <v>789</v>
      </c>
      <c r="I107" s="1" t="s">
        <v>849</v>
      </c>
      <c r="J107" s="43" t="n">
        <v>0.4</v>
      </c>
    </row>
    <row r="108" customFormat="false" ht="15.75" hidden="true" customHeight="false" outlineLevel="0" collapsed="false">
      <c r="A108" s="13" t="s">
        <v>843</v>
      </c>
      <c r="B108" s="2" t="e">
        <f aca="false">OFFSET(Таблица2,106,1,1,1)&amp;"-"&amp;OFFSET(Таблица2,106,0,1,1)</f>
        <v>#VALUE!</v>
      </c>
      <c r="C108" s="2" t="s">
        <v>848</v>
      </c>
      <c r="D108" s="39"/>
      <c r="E108" s="39"/>
      <c r="F108" s="40"/>
      <c r="G108" s="40"/>
      <c r="H108" s="1" t="s">
        <v>789</v>
      </c>
      <c r="I108" s="1" t="s">
        <v>849</v>
      </c>
      <c r="J108" s="43" t="n">
        <v>0.4</v>
      </c>
    </row>
    <row r="109" customFormat="false" ht="15.75" hidden="true" customHeight="false" outlineLevel="0" collapsed="false">
      <c r="A109" s="13" t="s">
        <v>838</v>
      </c>
      <c r="B109" s="2" t="e">
        <f aca="false">OFFSET(Таблица2,107,1,1,1)&amp;"-"&amp;OFFSET(Таблица2,107,0,1,1)</f>
        <v>#VALUE!</v>
      </c>
      <c r="C109" s="2" t="s">
        <v>848</v>
      </c>
      <c r="D109" s="39"/>
      <c r="E109" s="39"/>
      <c r="F109" s="40"/>
      <c r="G109" s="40"/>
      <c r="H109" s="1" t="s">
        <v>789</v>
      </c>
      <c r="I109" s="1" t="s">
        <v>849</v>
      </c>
      <c r="J109" s="43" t="n">
        <v>0.4</v>
      </c>
    </row>
    <row r="110" customFormat="false" ht="15.75" hidden="true" customHeight="false" outlineLevel="0" collapsed="false">
      <c r="A110" s="13" t="s">
        <v>837</v>
      </c>
      <c r="B110" s="2" t="e">
        <f aca="false">OFFSET(Таблица2,108,1,1,1)&amp;"-"&amp;OFFSET(Таблица2,108,0,1,1)</f>
        <v>#VALUE!</v>
      </c>
      <c r="C110" s="2" t="s">
        <v>848</v>
      </c>
      <c r="D110" s="39"/>
      <c r="E110" s="39"/>
      <c r="F110" s="40"/>
      <c r="G110" s="40"/>
      <c r="H110" s="1" t="s">
        <v>789</v>
      </c>
      <c r="I110" s="1" t="s">
        <v>849</v>
      </c>
      <c r="J110" s="43" t="n">
        <v>0.4</v>
      </c>
    </row>
    <row r="111" customFormat="false" ht="15.75" hidden="true" customHeight="false" outlineLevel="0" collapsed="false">
      <c r="A111" s="13" t="s">
        <v>836</v>
      </c>
      <c r="B111" s="2" t="e">
        <f aca="false">OFFSET(Таблица2,109,1,1,1)&amp;"-"&amp;OFFSET(Таблица2,109,0,1,1)</f>
        <v>#VALUE!</v>
      </c>
      <c r="C111" s="2" t="s">
        <v>848</v>
      </c>
      <c r="D111" s="39"/>
      <c r="E111" s="39"/>
      <c r="F111" s="40"/>
      <c r="G111" s="40"/>
      <c r="H111" s="1" t="s">
        <v>789</v>
      </c>
      <c r="I111" s="1" t="s">
        <v>849</v>
      </c>
      <c r="J111" s="43" t="n">
        <v>0.4</v>
      </c>
    </row>
    <row r="112" customFormat="false" ht="15.75" hidden="true" customHeight="false" outlineLevel="0" collapsed="false">
      <c r="A112" s="13" t="s">
        <v>839</v>
      </c>
      <c r="B112" s="2" t="e">
        <f aca="false">OFFSET(Таблица2,110,1,1,1)&amp;"-"&amp;OFFSET(Таблица2,110,0,1,1)</f>
        <v>#VALUE!</v>
      </c>
      <c r="C112" s="2" t="s">
        <v>848</v>
      </c>
      <c r="D112" s="39"/>
      <c r="E112" s="39"/>
      <c r="F112" s="40"/>
      <c r="G112" s="40"/>
      <c r="H112" s="1" t="s">
        <v>789</v>
      </c>
      <c r="I112" s="1" t="s">
        <v>849</v>
      </c>
      <c r="J112" s="43" t="n">
        <v>0.4</v>
      </c>
    </row>
    <row r="113" customFormat="false" ht="15.75" hidden="true" customHeight="false" outlineLevel="0" collapsed="false">
      <c r="A113" s="13" t="s">
        <v>842</v>
      </c>
      <c r="B113" s="2" t="e">
        <f aca="false">OFFSET(Таблица2,111,1,1,1)&amp;"-"&amp;OFFSET(Таблица2,111,0,1,1)</f>
        <v>#VALUE!</v>
      </c>
      <c r="C113" s="2" t="s">
        <v>848</v>
      </c>
      <c r="D113" s="39"/>
      <c r="E113" s="39"/>
      <c r="F113" s="40"/>
      <c r="G113" s="40"/>
      <c r="H113" s="1" t="s">
        <v>789</v>
      </c>
      <c r="I113" s="1" t="s">
        <v>849</v>
      </c>
      <c r="J113" s="43" t="n">
        <v>0.4</v>
      </c>
    </row>
    <row r="114" customFormat="false" ht="15" hidden="true" customHeight="false" outlineLevel="0" collapsed="false">
      <c r="A114" s="2" t="s">
        <v>598</v>
      </c>
      <c r="B114" s="2" t="e">
        <f aca="false">OFFSET(Таблица2,112,1,1,1)&amp;"-"&amp;OFFSET(Таблица2,112,0,1,1)</f>
        <v>#VALUE!</v>
      </c>
      <c r="C114" s="42" t="s">
        <v>848</v>
      </c>
      <c r="D114" s="44"/>
      <c r="E114" s="44"/>
      <c r="F114" s="45"/>
      <c r="G114" s="45"/>
      <c r="H114" s="46" t="s">
        <v>789</v>
      </c>
      <c r="I114" s="46" t="s">
        <v>849</v>
      </c>
      <c r="J114" s="43" t="n">
        <v>0.4</v>
      </c>
    </row>
    <row r="115" customFormat="false" ht="15" hidden="true" customHeight="false" outlineLevel="0" collapsed="false">
      <c r="A115" s="2" t="s">
        <v>601</v>
      </c>
      <c r="B115" s="2" t="e">
        <f aca="false">OFFSET(Таблица2,113,1,1,1)&amp;"-"&amp;OFFSET(Таблица2,113,0,1,1)</f>
        <v>#VALUE!</v>
      </c>
      <c r="C115" s="2" t="s">
        <v>848</v>
      </c>
      <c r="D115" s="39"/>
      <c r="E115" s="39"/>
      <c r="F115" s="40"/>
      <c r="G115" s="40"/>
      <c r="H115" s="1" t="s">
        <v>789</v>
      </c>
      <c r="I115" s="1" t="s">
        <v>849</v>
      </c>
      <c r="J115" s="43" t="n">
        <v>0.4</v>
      </c>
    </row>
    <row r="116" customFormat="false" ht="15" hidden="true" customHeight="false" outlineLevel="0" collapsed="false">
      <c r="A116" s="2" t="s">
        <v>604</v>
      </c>
      <c r="B116" s="2" t="e">
        <f aca="false">OFFSET(Таблица2,114,1,1,1)&amp;"-"&amp;OFFSET(Таблица2,114,0,1,1)</f>
        <v>#VALUE!</v>
      </c>
      <c r="C116" s="2" t="s">
        <v>848</v>
      </c>
      <c r="D116" s="39"/>
      <c r="E116" s="39"/>
      <c r="F116" s="40"/>
      <c r="G116" s="40"/>
      <c r="H116" s="1" t="s">
        <v>789</v>
      </c>
      <c r="I116" s="1" t="s">
        <v>849</v>
      </c>
      <c r="J116" s="43" t="n">
        <v>0.4</v>
      </c>
    </row>
    <row r="117" customFormat="false" ht="15" hidden="true" customHeight="false" outlineLevel="0" collapsed="false">
      <c r="A117" s="2" t="s">
        <v>607</v>
      </c>
      <c r="B117" s="2" t="e">
        <f aca="false">OFFSET(Таблица2,115,1,1,1)&amp;"-"&amp;OFFSET(Таблица2,115,0,1,1)</f>
        <v>#VALUE!</v>
      </c>
      <c r="C117" s="2" t="s">
        <v>848</v>
      </c>
      <c r="D117" s="39"/>
      <c r="E117" s="39"/>
      <c r="F117" s="40"/>
      <c r="G117" s="40"/>
      <c r="H117" s="1" t="s">
        <v>789</v>
      </c>
      <c r="I117" s="1" t="s">
        <v>849</v>
      </c>
      <c r="J117" s="43" t="n">
        <v>0.4</v>
      </c>
    </row>
    <row r="118" customFormat="false" ht="15" hidden="true" customHeight="false" outlineLevel="0" collapsed="false">
      <c r="A118" s="2" t="s">
        <v>610</v>
      </c>
      <c r="B118" s="2" t="e">
        <f aca="false">OFFSET(Таблица2,116,1,1,1)&amp;"-"&amp;OFFSET(Таблица2,116,0,1,1)</f>
        <v>#VALUE!</v>
      </c>
      <c r="C118" s="2" t="s">
        <v>848</v>
      </c>
      <c r="D118" s="39"/>
      <c r="E118" s="39"/>
      <c r="F118" s="40"/>
      <c r="G118" s="40"/>
      <c r="H118" s="1" t="s">
        <v>789</v>
      </c>
      <c r="I118" s="1" t="s">
        <v>849</v>
      </c>
      <c r="J118" s="43" t="n">
        <v>0.4</v>
      </c>
    </row>
    <row r="119" customFormat="false" ht="15" hidden="true" customHeight="false" outlineLevel="0" collapsed="false">
      <c r="A119" s="2" t="s">
        <v>613</v>
      </c>
      <c r="B119" s="2" t="e">
        <f aca="false">OFFSET(Таблица2,117,1,1,1)&amp;"-"&amp;OFFSET(Таблица2,117,0,1,1)</f>
        <v>#VALUE!</v>
      </c>
      <c r="C119" s="2" t="s">
        <v>848</v>
      </c>
      <c r="D119" s="39"/>
      <c r="E119" s="39"/>
      <c r="F119" s="40"/>
      <c r="G119" s="40"/>
      <c r="H119" s="1" t="s">
        <v>789</v>
      </c>
      <c r="I119" s="1" t="s">
        <v>849</v>
      </c>
      <c r="J119" s="43" t="n">
        <v>0.4</v>
      </c>
    </row>
    <row r="120" customFormat="false" ht="15" hidden="true" customHeight="false" outlineLevel="0" collapsed="false">
      <c r="A120" s="2" t="s">
        <v>616</v>
      </c>
      <c r="B120" s="2" t="e">
        <f aca="false">OFFSET(Таблица2,118,1,1,1)&amp;"-"&amp;OFFSET(Таблица2,118,0,1,1)</f>
        <v>#VALUE!</v>
      </c>
      <c r="C120" s="2" t="s">
        <v>848</v>
      </c>
      <c r="D120" s="39"/>
      <c r="E120" s="39"/>
      <c r="F120" s="40"/>
      <c r="G120" s="40"/>
      <c r="H120" s="1" t="s">
        <v>789</v>
      </c>
      <c r="I120" s="1" t="s">
        <v>849</v>
      </c>
      <c r="J120" s="43" t="n">
        <v>0.4</v>
      </c>
    </row>
    <row r="121" customFormat="false" ht="15" hidden="true" customHeight="false" outlineLevel="0" collapsed="false">
      <c r="A121" s="2" t="s">
        <v>619</v>
      </c>
      <c r="B121" s="2" t="e">
        <f aca="false">OFFSET(Таблица2,119,1,1,1)&amp;"-"&amp;OFFSET(Таблица2,119,0,1,1)</f>
        <v>#VALUE!</v>
      </c>
      <c r="C121" s="42" t="s">
        <v>848</v>
      </c>
      <c r="D121" s="44"/>
      <c r="E121" s="44"/>
      <c r="F121" s="45"/>
      <c r="G121" s="45"/>
      <c r="H121" s="46" t="s">
        <v>789</v>
      </c>
      <c r="I121" s="46" t="s">
        <v>849</v>
      </c>
      <c r="J121" s="43" t="n">
        <v>0.4</v>
      </c>
    </row>
    <row r="122" customFormat="false" ht="15" hidden="true" customHeight="false" outlineLevel="0" collapsed="false">
      <c r="A122" s="2" t="s">
        <v>623</v>
      </c>
      <c r="B122" s="2" t="e">
        <f aca="false">OFFSET(Таблица2,120,1,1,1)&amp;"-"&amp;OFFSET(Таблица2,120,0,1,1)</f>
        <v>#VALUE!</v>
      </c>
      <c r="C122" s="2" t="s">
        <v>848</v>
      </c>
      <c r="D122" s="39"/>
      <c r="E122" s="39"/>
      <c r="F122" s="40"/>
      <c r="G122" s="40"/>
      <c r="H122" s="1" t="s">
        <v>789</v>
      </c>
      <c r="I122" s="1" t="s">
        <v>849</v>
      </c>
      <c r="J122" s="43" t="n">
        <v>0.4</v>
      </c>
    </row>
    <row r="123" customFormat="false" ht="15" hidden="true" customHeight="false" outlineLevel="0" collapsed="false">
      <c r="A123" s="2" t="s">
        <v>626</v>
      </c>
      <c r="B123" s="2" t="e">
        <f aca="false">OFFSET(Таблица2,121,1,1,1)&amp;"-"&amp;OFFSET(Таблица2,121,0,1,1)</f>
        <v>#VALUE!</v>
      </c>
      <c r="C123" s="2" t="s">
        <v>848</v>
      </c>
      <c r="D123" s="39"/>
      <c r="E123" s="39"/>
      <c r="F123" s="40"/>
      <c r="G123" s="40"/>
      <c r="H123" s="1" t="s">
        <v>789</v>
      </c>
      <c r="I123" s="1" t="s">
        <v>849</v>
      </c>
      <c r="J123" s="43" t="n">
        <v>0.4</v>
      </c>
    </row>
    <row r="124" customFormat="false" ht="15" hidden="true" customHeight="false" outlineLevel="0" collapsed="false">
      <c r="A124" s="2" t="s">
        <v>629</v>
      </c>
      <c r="B124" s="2" t="e">
        <f aca="false">OFFSET(Таблица2,122,1,1,1)&amp;"-"&amp;OFFSET(Таблица2,122,0,1,1)</f>
        <v>#VALUE!</v>
      </c>
      <c r="C124" s="2" t="s">
        <v>848</v>
      </c>
      <c r="D124" s="39"/>
      <c r="E124" s="39"/>
      <c r="F124" s="40"/>
      <c r="G124" s="40"/>
      <c r="H124" s="1" t="s">
        <v>789</v>
      </c>
      <c r="I124" s="1" t="s">
        <v>849</v>
      </c>
      <c r="J124" s="43" t="n">
        <v>0.4</v>
      </c>
    </row>
    <row r="125" customFormat="false" ht="15" hidden="true" customHeight="false" outlineLevel="0" collapsed="false">
      <c r="A125" s="2" t="s">
        <v>632</v>
      </c>
      <c r="B125" s="2" t="e">
        <f aca="false">OFFSET(Таблица2,123,1,1,1)&amp;"-"&amp;OFFSET(Таблица2,123,0,1,1)</f>
        <v>#VALUE!</v>
      </c>
      <c r="C125" s="2" t="s">
        <v>848</v>
      </c>
      <c r="D125" s="39"/>
      <c r="E125" s="39"/>
      <c r="F125" s="40"/>
      <c r="G125" s="40"/>
      <c r="H125" s="1" t="s">
        <v>789</v>
      </c>
      <c r="I125" s="1" t="s">
        <v>849</v>
      </c>
      <c r="J125" s="43" t="n">
        <v>0.4</v>
      </c>
    </row>
    <row r="126" customFormat="false" ht="15" hidden="true" customHeight="false" outlineLevel="0" collapsed="false">
      <c r="A126" s="2" t="s">
        <v>635</v>
      </c>
      <c r="B126" s="2" t="e">
        <f aca="false">OFFSET(Таблица2,124,1,1,1)&amp;"-"&amp;OFFSET(Таблица2,124,0,1,1)</f>
        <v>#VALUE!</v>
      </c>
      <c r="C126" s="2" t="s">
        <v>848</v>
      </c>
      <c r="D126" s="39"/>
      <c r="E126" s="39"/>
      <c r="F126" s="40"/>
      <c r="G126" s="40"/>
      <c r="H126" s="1" t="s">
        <v>789</v>
      </c>
      <c r="I126" s="1" t="s">
        <v>849</v>
      </c>
      <c r="J126" s="43" t="n">
        <v>0.4</v>
      </c>
    </row>
    <row r="127" customFormat="false" ht="15" hidden="true" customHeight="false" outlineLevel="0" collapsed="false">
      <c r="A127" s="2" t="s">
        <v>638</v>
      </c>
      <c r="B127" s="2" t="e">
        <f aca="false">OFFSET(Таблица2,125,1,1,1)&amp;"-"&amp;OFFSET(Таблица2,125,0,1,1)</f>
        <v>#VALUE!</v>
      </c>
      <c r="C127" s="2" t="s">
        <v>848</v>
      </c>
      <c r="D127" s="39"/>
      <c r="E127" s="39"/>
      <c r="F127" s="40"/>
      <c r="G127" s="40"/>
      <c r="H127" s="1" t="s">
        <v>789</v>
      </c>
      <c r="I127" s="1" t="s">
        <v>849</v>
      </c>
      <c r="J127" s="43" t="n">
        <v>0.4</v>
      </c>
    </row>
    <row r="128" customFormat="false" ht="15" hidden="true" customHeight="false" outlineLevel="0" collapsed="false">
      <c r="A128" s="2" t="s">
        <v>641</v>
      </c>
      <c r="B128" s="2" t="e">
        <f aca="false">OFFSET(Таблица2,126,1,1,1)&amp;"-"&amp;OFFSET(Таблица2,126,0,1,1)</f>
        <v>#VALUE!</v>
      </c>
      <c r="C128" s="2" t="s">
        <v>848</v>
      </c>
      <c r="D128" s="39"/>
      <c r="E128" s="39"/>
      <c r="F128" s="40"/>
      <c r="G128" s="40"/>
      <c r="H128" s="1" t="s">
        <v>789</v>
      </c>
      <c r="I128" s="1" t="s">
        <v>849</v>
      </c>
      <c r="J128" s="43" t="n">
        <v>0.4</v>
      </c>
    </row>
    <row r="129" customFormat="false" ht="15" hidden="true" customHeight="false" outlineLevel="0" collapsed="false">
      <c r="A129" s="2" t="s">
        <v>644</v>
      </c>
      <c r="B129" s="2" t="e">
        <f aca="false">OFFSET(Таблица2,127,1,1,1)&amp;"-"&amp;OFFSET(Таблица2,127,0,1,1)</f>
        <v>#VALUE!</v>
      </c>
      <c r="C129" s="42" t="s">
        <v>848</v>
      </c>
      <c r="D129" s="44"/>
      <c r="E129" s="44"/>
      <c r="F129" s="45"/>
      <c r="G129" s="45"/>
      <c r="H129" s="46" t="s">
        <v>789</v>
      </c>
      <c r="I129" s="46" t="s">
        <v>849</v>
      </c>
      <c r="J129" s="43" t="n">
        <v>0.4</v>
      </c>
    </row>
    <row r="130" customFormat="false" ht="15" hidden="true" customHeight="false" outlineLevel="0" collapsed="false">
      <c r="A130" s="2" t="s">
        <v>647</v>
      </c>
      <c r="B130" s="2" t="e">
        <f aca="false">OFFSET(Таблица2,128,1,1,1)&amp;"-"&amp;OFFSET(Таблица2,128,0,1,1)</f>
        <v>#VALUE!</v>
      </c>
      <c r="C130" s="2" t="s">
        <v>848</v>
      </c>
      <c r="D130" s="39"/>
      <c r="E130" s="39"/>
      <c r="F130" s="40"/>
      <c r="G130" s="40"/>
      <c r="H130" s="1" t="s">
        <v>789</v>
      </c>
      <c r="I130" s="1" t="s">
        <v>849</v>
      </c>
      <c r="J130" s="43" t="n">
        <v>0.4</v>
      </c>
    </row>
    <row r="131" customFormat="false" ht="15" hidden="true" customHeight="false" outlineLevel="0" collapsed="false">
      <c r="A131" s="2" t="s">
        <v>650</v>
      </c>
      <c r="B131" s="2" t="e">
        <f aca="false">OFFSET(Таблица2,129,1,1,1)&amp;"-"&amp;OFFSET(Таблица2,129,0,1,1)</f>
        <v>#VALUE!</v>
      </c>
      <c r="C131" s="2" t="s">
        <v>848</v>
      </c>
      <c r="D131" s="39"/>
      <c r="E131" s="39"/>
      <c r="F131" s="40"/>
      <c r="G131" s="40"/>
      <c r="H131" s="1" t="s">
        <v>789</v>
      </c>
      <c r="I131" s="1" t="s">
        <v>849</v>
      </c>
      <c r="J131" s="43" t="n">
        <v>0.4</v>
      </c>
    </row>
    <row r="132" customFormat="false" ht="15" hidden="true" customHeight="false" outlineLevel="0" collapsed="false">
      <c r="A132" s="2" t="s">
        <v>49</v>
      </c>
      <c r="B132" s="2" t="e">
        <f aca="false">OFFSET(Таблица2,130,1,1,1)&amp;"-"&amp;OFFSET(Таблица2,130,0,1,1)</f>
        <v>#VALUE!</v>
      </c>
      <c r="C132" s="2" t="s">
        <v>850</v>
      </c>
      <c r="D132" s="39"/>
      <c r="E132" s="39"/>
      <c r="F132" s="40"/>
      <c r="G132" s="40"/>
      <c r="H132" s="1" t="s">
        <v>851</v>
      </c>
      <c r="I132" s="1" t="s">
        <v>835</v>
      </c>
      <c r="J132" s="41" t="n">
        <v>0</v>
      </c>
    </row>
    <row r="133" customFormat="false" ht="15" hidden="true" customHeight="false" outlineLevel="0" collapsed="false">
      <c r="A133" s="2" t="s">
        <v>81</v>
      </c>
      <c r="B133" s="2" t="e">
        <f aca="false">OFFSET(Таблица2,131,1,1,1)&amp;"-"&amp;OFFSET(Таблица2,131,0,1,1)</f>
        <v>#VALUE!</v>
      </c>
      <c r="C133" s="2" t="s">
        <v>850</v>
      </c>
      <c r="D133" s="39"/>
      <c r="E133" s="39"/>
      <c r="F133" s="40"/>
      <c r="G133" s="40"/>
      <c r="H133" s="1" t="s">
        <v>851</v>
      </c>
      <c r="I133" s="1" t="s">
        <v>835</v>
      </c>
      <c r="J133" s="41" t="n">
        <v>0</v>
      </c>
    </row>
    <row r="134" customFormat="false" ht="15" hidden="true" customHeight="false" outlineLevel="0" collapsed="false">
      <c r="A134" s="2" t="s">
        <v>65</v>
      </c>
      <c r="B134" s="2" t="e">
        <f aca="false">OFFSET(Таблица2,132,1,1,1)&amp;"-"&amp;OFFSET(Таблица2,132,0,1,1)</f>
        <v>#VALUE!</v>
      </c>
      <c r="C134" s="2" t="s">
        <v>850</v>
      </c>
      <c r="D134" s="39"/>
      <c r="E134" s="39"/>
      <c r="F134" s="40"/>
      <c r="G134" s="40"/>
      <c r="H134" s="1" t="s">
        <v>851</v>
      </c>
      <c r="I134" s="1" t="s">
        <v>835</v>
      </c>
      <c r="J134" s="41" t="n">
        <v>0</v>
      </c>
    </row>
    <row r="135" customFormat="false" ht="15" hidden="true" customHeight="false" outlineLevel="0" collapsed="false">
      <c r="A135" s="2" t="s">
        <v>91</v>
      </c>
      <c r="B135" s="2" t="e">
        <f aca="false">OFFSET(Таблица2,133,1,1,1)&amp;"-"&amp;OFFSET(Таблица2,133,0,1,1)</f>
        <v>#VALUE!</v>
      </c>
      <c r="C135" s="2" t="s">
        <v>850</v>
      </c>
      <c r="D135" s="39"/>
      <c r="E135" s="39"/>
      <c r="F135" s="40"/>
      <c r="G135" s="40"/>
      <c r="H135" s="1" t="s">
        <v>851</v>
      </c>
      <c r="I135" s="1" t="s">
        <v>835</v>
      </c>
      <c r="J135" s="41" t="n">
        <v>0</v>
      </c>
    </row>
    <row r="136" customFormat="false" ht="15" hidden="true" customHeight="false" outlineLevel="0" collapsed="false">
      <c r="A136" s="2" t="s">
        <v>45</v>
      </c>
      <c r="B136" s="2" t="e">
        <f aca="false">OFFSET(Таблица2,134,1,1,1)&amp;"-"&amp;OFFSET(Таблица2,134,0,1,1)</f>
        <v>#VALUE!</v>
      </c>
      <c r="C136" s="2" t="s">
        <v>850</v>
      </c>
      <c r="D136" s="39"/>
      <c r="E136" s="39"/>
      <c r="F136" s="40"/>
      <c r="G136" s="40"/>
      <c r="H136" s="1" t="s">
        <v>851</v>
      </c>
      <c r="I136" s="1" t="s">
        <v>835</v>
      </c>
      <c r="J136" s="41" t="n">
        <v>0</v>
      </c>
    </row>
    <row r="137" customFormat="false" ht="15" hidden="true" customHeight="false" outlineLevel="0" collapsed="false">
      <c r="A137" s="2" t="s">
        <v>41</v>
      </c>
      <c r="B137" s="2" t="e">
        <f aca="false">OFFSET(Таблица2,135,1,1,1)&amp;"-"&amp;OFFSET(Таблица2,135,0,1,1)</f>
        <v>#VALUE!</v>
      </c>
      <c r="C137" s="2" t="s">
        <v>850</v>
      </c>
      <c r="D137" s="39"/>
      <c r="E137" s="39"/>
      <c r="F137" s="40"/>
      <c r="G137" s="40"/>
      <c r="H137" s="1" t="s">
        <v>851</v>
      </c>
      <c r="I137" s="1" t="s">
        <v>835</v>
      </c>
      <c r="J137" s="41" t="n">
        <v>0</v>
      </c>
    </row>
    <row r="138" customFormat="false" ht="15" hidden="true" customHeight="false" outlineLevel="0" collapsed="false">
      <c r="A138" s="2" t="s">
        <v>77</v>
      </c>
      <c r="B138" s="2" t="e">
        <f aca="false">OFFSET(Таблица2,136,1,1,1)&amp;"-"&amp;OFFSET(Таблица2,136,0,1,1)</f>
        <v>#VALUE!</v>
      </c>
      <c r="C138" s="2" t="s">
        <v>850</v>
      </c>
      <c r="D138" s="39"/>
      <c r="E138" s="39"/>
      <c r="F138" s="40"/>
      <c r="G138" s="40"/>
      <c r="H138" s="1" t="s">
        <v>851</v>
      </c>
      <c r="I138" s="1" t="s">
        <v>835</v>
      </c>
      <c r="J138" s="41" t="n">
        <v>0</v>
      </c>
    </row>
    <row r="139" customFormat="false" ht="15" hidden="true" customHeight="false" outlineLevel="0" collapsed="false">
      <c r="A139" s="2" t="s">
        <v>62</v>
      </c>
      <c r="B139" s="2" t="e">
        <f aca="false">OFFSET(Таблица2,137,1,1,1)&amp;"-"&amp;OFFSET(Таблица2,137,0,1,1)</f>
        <v>#VALUE!</v>
      </c>
      <c r="C139" s="2" t="s">
        <v>850</v>
      </c>
      <c r="D139" s="39"/>
      <c r="E139" s="39"/>
      <c r="F139" s="40"/>
      <c r="G139" s="40"/>
      <c r="H139" s="1" t="s">
        <v>851</v>
      </c>
      <c r="I139" s="1" t="s">
        <v>835</v>
      </c>
      <c r="J139" s="43" t="n">
        <v>0</v>
      </c>
    </row>
    <row r="140" customFormat="false" ht="15" hidden="true" customHeight="false" outlineLevel="0" collapsed="false">
      <c r="A140" s="2" t="s">
        <v>59</v>
      </c>
      <c r="B140" s="2" t="e">
        <f aca="false">OFFSET(Таблица2,138,1,1,1)&amp;"-"&amp;OFFSET(Таблица2,138,0,1,1)</f>
        <v>#VALUE!</v>
      </c>
      <c r="C140" s="2" t="s">
        <v>850</v>
      </c>
      <c r="D140" s="39"/>
      <c r="E140" s="39"/>
      <c r="F140" s="40"/>
      <c r="G140" s="40"/>
      <c r="H140" s="1" t="s">
        <v>851</v>
      </c>
      <c r="I140" s="1" t="s">
        <v>835</v>
      </c>
      <c r="J140" s="41" t="n">
        <v>0</v>
      </c>
    </row>
    <row r="141" customFormat="false" ht="15" hidden="true" customHeight="false" outlineLevel="0" collapsed="false">
      <c r="A141" s="2" t="s">
        <v>88</v>
      </c>
      <c r="B141" s="2" t="e">
        <f aca="false">OFFSET(Таблица2,139,1,1,1)&amp;"-"&amp;OFFSET(Таблица2,139,0,1,1)</f>
        <v>#VALUE!</v>
      </c>
      <c r="C141" s="42" t="s">
        <v>850</v>
      </c>
      <c r="D141" s="44"/>
      <c r="E141" s="44"/>
      <c r="F141" s="45"/>
      <c r="G141" s="45"/>
      <c r="H141" s="46" t="s">
        <v>851</v>
      </c>
      <c r="I141" s="46" t="s">
        <v>835</v>
      </c>
      <c r="J141" s="43" t="n">
        <v>0</v>
      </c>
    </row>
    <row r="142" customFormat="false" ht="15" hidden="true" customHeight="false" outlineLevel="0" collapsed="false">
      <c r="A142" s="2" t="s">
        <v>37</v>
      </c>
      <c r="B142" s="2" t="e">
        <f aca="false">OFFSET(Таблица2,140,1,1,1)&amp;"-"&amp;OFFSET(Таблица2,140,0,1,1)</f>
        <v>#VALUE!</v>
      </c>
      <c r="C142" s="2" t="s">
        <v>850</v>
      </c>
      <c r="D142" s="39"/>
      <c r="E142" s="39"/>
      <c r="F142" s="40"/>
      <c r="G142" s="40"/>
      <c r="H142" s="1" t="s">
        <v>851</v>
      </c>
      <c r="I142" s="1" t="s">
        <v>835</v>
      </c>
      <c r="J142" s="43" t="n">
        <v>0</v>
      </c>
    </row>
    <row r="143" customFormat="false" ht="15" hidden="true" customHeight="false" outlineLevel="0" collapsed="false">
      <c r="A143" s="2" t="s">
        <v>34</v>
      </c>
      <c r="B143" s="2" t="e">
        <f aca="false">OFFSET(Таблица2,141,1,1,1)&amp;"-"&amp;OFFSET(Таблица2,141,0,1,1)</f>
        <v>#VALUE!</v>
      </c>
      <c r="C143" s="2" t="s">
        <v>850</v>
      </c>
      <c r="D143" s="39"/>
      <c r="E143" s="39"/>
      <c r="F143" s="40"/>
      <c r="G143" s="40"/>
      <c r="H143" s="1" t="s">
        <v>851</v>
      </c>
      <c r="I143" s="1" t="s">
        <v>835</v>
      </c>
      <c r="J143" s="41" t="n">
        <v>0</v>
      </c>
    </row>
    <row r="144" customFormat="false" ht="15" hidden="true" customHeight="false" outlineLevel="0" collapsed="false">
      <c r="A144" s="2" t="s">
        <v>56</v>
      </c>
      <c r="B144" s="2" t="e">
        <f aca="false">OFFSET(Таблица2,142,1,1,1)&amp;"-"&amp;OFFSET(Таблица2,142,0,1,1)</f>
        <v>#VALUE!</v>
      </c>
      <c r="C144" s="2" t="s">
        <v>850</v>
      </c>
      <c r="D144" s="39"/>
      <c r="E144" s="39"/>
      <c r="F144" s="40"/>
      <c r="G144" s="40"/>
      <c r="H144" s="1" t="s">
        <v>851</v>
      </c>
      <c r="I144" s="1" t="s">
        <v>835</v>
      </c>
      <c r="J144" s="41" t="n">
        <v>0</v>
      </c>
    </row>
    <row r="145" customFormat="false" ht="15" hidden="true" customHeight="false" outlineLevel="0" collapsed="false">
      <c r="A145" s="2" t="s">
        <v>53</v>
      </c>
      <c r="B145" s="2" t="e">
        <f aca="false">OFFSET(Таблица2,143,1,1,1)&amp;"-"&amp;OFFSET(Таблица2,143,0,1,1)</f>
        <v>#VALUE!</v>
      </c>
      <c r="C145" s="2" t="s">
        <v>850</v>
      </c>
      <c r="D145" s="39"/>
      <c r="E145" s="39"/>
      <c r="F145" s="40"/>
      <c r="G145" s="40"/>
      <c r="H145" s="1" t="s">
        <v>851</v>
      </c>
      <c r="I145" s="1" t="s">
        <v>835</v>
      </c>
      <c r="J145" s="41" t="n">
        <v>0</v>
      </c>
    </row>
    <row r="146" customFormat="false" ht="15" hidden="true" customHeight="false" outlineLevel="0" collapsed="false">
      <c r="A146" s="2" t="s">
        <v>793</v>
      </c>
      <c r="B146" s="2" t="e">
        <f aca="false">OFFSET(Таблица2,144,1,1,1)&amp;"-"&amp;OFFSET(Таблица2,144,0,1,1)</f>
        <v>#VALUE!</v>
      </c>
      <c r="C146" s="2" t="s">
        <v>850</v>
      </c>
      <c r="D146" s="39"/>
      <c r="E146" s="39"/>
      <c r="F146" s="40"/>
      <c r="G146" s="40"/>
      <c r="H146" s="1" t="s">
        <v>851</v>
      </c>
      <c r="I146" s="1" t="s">
        <v>835</v>
      </c>
      <c r="J146" s="41" t="n">
        <v>0</v>
      </c>
    </row>
    <row r="147" customFormat="false" ht="15" hidden="true" customHeight="false" outlineLevel="0" collapsed="false">
      <c r="A147" s="2" t="s">
        <v>86</v>
      </c>
      <c r="B147" s="2" t="e">
        <f aca="false">OFFSET(Таблица2,145,1,1,1)&amp;"-"&amp;OFFSET(Таблица2,145,0,1,1)</f>
        <v>#VALUE!</v>
      </c>
      <c r="C147" s="2" t="s">
        <v>850</v>
      </c>
      <c r="D147" s="39"/>
      <c r="E147" s="39"/>
      <c r="F147" s="40"/>
      <c r="G147" s="40"/>
      <c r="H147" s="1" t="s">
        <v>851</v>
      </c>
      <c r="I147" s="1" t="s">
        <v>835</v>
      </c>
      <c r="J147" s="41" t="n">
        <v>0</v>
      </c>
    </row>
    <row r="148" customFormat="false" ht="15" hidden="true" customHeight="false" outlineLevel="0" collapsed="false">
      <c r="A148" s="2" t="s">
        <v>819</v>
      </c>
      <c r="B148" s="2" t="e">
        <f aca="false">OFFSET(Таблица2,146,1,1,1)&amp;"-"&amp;OFFSET(Таблица2,146,0,1,1)</f>
        <v>#VALUE!</v>
      </c>
      <c r="C148" s="2" t="s">
        <v>850</v>
      </c>
      <c r="D148" s="39"/>
      <c r="E148" s="39"/>
      <c r="F148" s="40"/>
      <c r="G148" s="40"/>
      <c r="H148" s="1" t="s">
        <v>851</v>
      </c>
      <c r="I148" s="1" t="s">
        <v>835</v>
      </c>
      <c r="J148" s="43" t="n">
        <v>0</v>
      </c>
    </row>
    <row r="149" customFormat="false" ht="15" hidden="true" customHeight="false" outlineLevel="0" collapsed="false">
      <c r="A149" s="2" t="s">
        <v>822</v>
      </c>
      <c r="B149" s="2" t="e">
        <f aca="false">OFFSET(Таблица2,147,1,1,1)&amp;"-"&amp;OFFSET(Таблица2,147,0,1,1)</f>
        <v>#VALUE!</v>
      </c>
      <c r="C149" s="2" t="s">
        <v>850</v>
      </c>
      <c r="D149" s="39"/>
      <c r="E149" s="39"/>
      <c r="F149" s="40"/>
      <c r="G149" s="40"/>
      <c r="H149" s="1" t="s">
        <v>851</v>
      </c>
      <c r="I149" s="1" t="s">
        <v>835</v>
      </c>
      <c r="J149" s="41" t="n">
        <v>0</v>
      </c>
    </row>
    <row r="150" customFormat="false" ht="15" hidden="true" customHeight="false" outlineLevel="0" collapsed="false">
      <c r="A150" s="2" t="s">
        <v>84</v>
      </c>
      <c r="B150" s="2" t="e">
        <f aca="false">OFFSET(Таблица2,148,1,1,1)&amp;"-"&amp;OFFSET(Таблица2,148,0,1,1)</f>
        <v>#VALUE!</v>
      </c>
      <c r="C150" s="42" t="s">
        <v>850</v>
      </c>
      <c r="D150" s="44"/>
      <c r="E150" s="44"/>
      <c r="F150" s="45"/>
      <c r="G150" s="45"/>
      <c r="H150" s="46" t="s">
        <v>851</v>
      </c>
      <c r="I150" s="46" t="s">
        <v>835</v>
      </c>
      <c r="J150" s="43" t="n">
        <v>0</v>
      </c>
    </row>
    <row r="151" customFormat="false" ht="15" hidden="true" customHeight="false" outlineLevel="0" collapsed="false">
      <c r="A151" s="2" t="s">
        <v>72</v>
      </c>
      <c r="B151" s="2" t="e">
        <f aca="false">OFFSET(Таблица2,149,1,1,1)&amp;"-"&amp;OFFSET(Таблица2,149,0,1,1)</f>
        <v>#VALUE!</v>
      </c>
      <c r="C151" s="2" t="s">
        <v>850</v>
      </c>
      <c r="D151" s="39"/>
      <c r="E151" s="39"/>
      <c r="F151" s="40"/>
      <c r="G151" s="40"/>
      <c r="H151" s="1" t="s">
        <v>851</v>
      </c>
      <c r="I151" s="1" t="s">
        <v>835</v>
      </c>
      <c r="J151" s="43" t="n">
        <v>0</v>
      </c>
    </row>
    <row r="152" customFormat="false" ht="15" hidden="true" customHeight="false" outlineLevel="0" collapsed="false">
      <c r="A152" s="2" t="s">
        <v>68</v>
      </c>
      <c r="B152" s="2" t="e">
        <f aca="false">OFFSET(Таблица2,150,1,1,1)&amp;"-"&amp;OFFSET(Таблица2,150,0,1,1)</f>
        <v>#VALUE!</v>
      </c>
      <c r="C152" s="2" t="s">
        <v>850</v>
      </c>
      <c r="D152" s="39"/>
      <c r="E152" s="39"/>
      <c r="F152" s="40"/>
      <c r="G152" s="40"/>
      <c r="H152" s="1" t="s">
        <v>851</v>
      </c>
      <c r="I152" s="1" t="s">
        <v>835</v>
      </c>
      <c r="J152" s="41" t="n">
        <v>0</v>
      </c>
    </row>
    <row r="153" customFormat="false" ht="15.75" hidden="true" customHeight="false" outlineLevel="0" collapsed="false">
      <c r="A153" s="13" t="s">
        <v>846</v>
      </c>
      <c r="B153" s="2" t="e">
        <f aca="false">OFFSET(Таблица2,151,1,1,1)&amp;"-"&amp;OFFSET(Таблица2,151,0,1,1)</f>
        <v>#VALUE!</v>
      </c>
      <c r="C153" s="2" t="s">
        <v>850</v>
      </c>
      <c r="D153" s="39"/>
      <c r="E153" s="39"/>
      <c r="F153" s="40"/>
      <c r="G153" s="40"/>
      <c r="H153" s="1" t="s">
        <v>851</v>
      </c>
      <c r="I153" s="1" t="s">
        <v>835</v>
      </c>
      <c r="J153" s="41" t="n">
        <v>0</v>
      </c>
    </row>
    <row r="154" customFormat="false" ht="15.75" hidden="true" customHeight="false" outlineLevel="0" collapsed="false">
      <c r="A154" s="13" t="s">
        <v>847</v>
      </c>
      <c r="B154" s="2" t="e">
        <f aca="false">OFFSET(Таблица2,152,1,1,1)&amp;"-"&amp;OFFSET(Таблица2,152,0,1,1)</f>
        <v>#VALUE!</v>
      </c>
      <c r="C154" s="2" t="s">
        <v>850</v>
      </c>
      <c r="D154" s="39"/>
      <c r="E154" s="39"/>
      <c r="F154" s="40"/>
      <c r="G154" s="40"/>
      <c r="H154" s="1" t="s">
        <v>851</v>
      </c>
      <c r="I154" s="1" t="s">
        <v>835</v>
      </c>
      <c r="J154" s="41" t="n">
        <v>0</v>
      </c>
    </row>
    <row r="155" customFormat="false" ht="15.75" hidden="true" customHeight="false" outlineLevel="0" collapsed="false">
      <c r="A155" s="13" t="s">
        <v>841</v>
      </c>
      <c r="B155" s="2" t="e">
        <f aca="false">OFFSET(Таблица2,153,1,1,1)&amp;"-"&amp;OFFSET(Таблица2,153,0,1,1)</f>
        <v>#VALUE!</v>
      </c>
      <c r="C155" s="2" t="s">
        <v>850</v>
      </c>
      <c r="D155" s="39"/>
      <c r="E155" s="39"/>
      <c r="F155" s="40"/>
      <c r="G155" s="40"/>
      <c r="H155" s="1" t="s">
        <v>851</v>
      </c>
      <c r="I155" s="1" t="s">
        <v>835</v>
      </c>
      <c r="J155" s="43" t="n">
        <v>0</v>
      </c>
    </row>
    <row r="156" customFormat="false" ht="15.75" hidden="true" customHeight="false" outlineLevel="0" collapsed="false">
      <c r="A156" s="13" t="s">
        <v>840</v>
      </c>
      <c r="B156" s="2" t="e">
        <f aca="false">OFFSET(Таблица2,154,1,1,1)&amp;"-"&amp;OFFSET(Таблица2,154,0,1,1)</f>
        <v>#VALUE!</v>
      </c>
      <c r="C156" s="2" t="s">
        <v>850</v>
      </c>
      <c r="D156" s="39"/>
      <c r="E156" s="39"/>
      <c r="F156" s="40"/>
      <c r="G156" s="40"/>
      <c r="H156" s="1" t="s">
        <v>851</v>
      </c>
      <c r="I156" s="1" t="s">
        <v>835</v>
      </c>
      <c r="J156" s="41" t="n">
        <v>0</v>
      </c>
    </row>
    <row r="157" customFormat="false" ht="15.75" hidden="true" customHeight="false" outlineLevel="0" collapsed="false">
      <c r="A157" s="13" t="s">
        <v>843</v>
      </c>
      <c r="B157" s="2" t="e">
        <f aca="false">OFFSET(Таблица2,155,1,1,1)&amp;"-"&amp;OFFSET(Таблица2,155,0,1,1)</f>
        <v>#VALUE!</v>
      </c>
      <c r="C157" s="42" t="s">
        <v>850</v>
      </c>
      <c r="D157" s="44"/>
      <c r="E157" s="44"/>
      <c r="F157" s="45"/>
      <c r="G157" s="45"/>
      <c r="H157" s="46" t="s">
        <v>851</v>
      </c>
      <c r="I157" s="46" t="s">
        <v>835</v>
      </c>
      <c r="J157" s="43" t="n">
        <v>0</v>
      </c>
    </row>
    <row r="158" customFormat="false" ht="15.75" hidden="true" customHeight="false" outlineLevel="0" collapsed="false">
      <c r="A158" s="13" t="s">
        <v>838</v>
      </c>
      <c r="B158" s="2" t="e">
        <f aca="false">OFFSET(Таблица2,156,1,1,1)&amp;"-"&amp;OFFSET(Таблица2,156,0,1,1)</f>
        <v>#VALUE!</v>
      </c>
      <c r="C158" s="2" t="s">
        <v>850</v>
      </c>
      <c r="D158" s="39"/>
      <c r="E158" s="39"/>
      <c r="F158" s="40"/>
      <c r="G158" s="40"/>
      <c r="H158" s="1" t="s">
        <v>851</v>
      </c>
      <c r="I158" s="1" t="s">
        <v>835</v>
      </c>
      <c r="J158" s="43" t="n">
        <v>0</v>
      </c>
    </row>
    <row r="159" customFormat="false" ht="15.75" hidden="true" customHeight="false" outlineLevel="0" collapsed="false">
      <c r="A159" s="13" t="s">
        <v>837</v>
      </c>
      <c r="B159" s="2" t="e">
        <f aca="false">OFFSET(Таблица2,157,1,1,1)&amp;"-"&amp;OFFSET(Таблица2,157,0,1,1)</f>
        <v>#VALUE!</v>
      </c>
      <c r="C159" s="2" t="s">
        <v>850</v>
      </c>
      <c r="D159" s="39"/>
      <c r="E159" s="39"/>
      <c r="F159" s="40"/>
      <c r="G159" s="40"/>
      <c r="H159" s="1" t="s">
        <v>851</v>
      </c>
      <c r="I159" s="1" t="s">
        <v>835</v>
      </c>
      <c r="J159" s="41" t="n">
        <v>0</v>
      </c>
    </row>
    <row r="160" customFormat="false" ht="15.75" hidden="true" customHeight="false" outlineLevel="0" collapsed="false">
      <c r="A160" s="13" t="s">
        <v>836</v>
      </c>
      <c r="B160" s="2" t="e">
        <f aca="false">OFFSET(Таблица2,158,1,1,1)&amp;"-"&amp;OFFSET(Таблица2,158,0,1,1)</f>
        <v>#VALUE!</v>
      </c>
      <c r="C160" s="2" t="s">
        <v>850</v>
      </c>
      <c r="D160" s="39"/>
      <c r="E160" s="39"/>
      <c r="F160" s="40"/>
      <c r="G160" s="40"/>
      <c r="H160" s="1" t="s">
        <v>851</v>
      </c>
      <c r="I160" s="1" t="s">
        <v>835</v>
      </c>
      <c r="J160" s="41" t="n">
        <v>0</v>
      </c>
    </row>
    <row r="161" customFormat="false" ht="15.75" hidden="true" customHeight="false" outlineLevel="0" collapsed="false">
      <c r="A161" s="13" t="s">
        <v>839</v>
      </c>
      <c r="B161" s="2" t="e">
        <f aca="false">OFFSET(Таблица2,159,1,1,1)&amp;"-"&amp;OFFSET(Таблица2,159,0,1,1)</f>
        <v>#VALUE!</v>
      </c>
      <c r="C161" s="2" t="s">
        <v>850</v>
      </c>
      <c r="D161" s="39"/>
      <c r="E161" s="39"/>
      <c r="F161" s="40"/>
      <c r="G161" s="40"/>
      <c r="H161" s="1" t="s">
        <v>851</v>
      </c>
      <c r="I161" s="1" t="s">
        <v>835</v>
      </c>
      <c r="J161" s="41" t="n">
        <v>0</v>
      </c>
    </row>
    <row r="162" customFormat="false" ht="15.75" hidden="true" customHeight="false" outlineLevel="0" collapsed="false">
      <c r="A162" s="13" t="s">
        <v>842</v>
      </c>
      <c r="B162" s="2" t="e">
        <f aca="false">OFFSET(Таблица2,160,1,1,1)&amp;"-"&amp;OFFSET(Таблица2,160,0,1,1)</f>
        <v>#VALUE!</v>
      </c>
      <c r="C162" s="2" t="s">
        <v>850</v>
      </c>
      <c r="D162" s="39"/>
      <c r="E162" s="39"/>
      <c r="F162" s="40"/>
      <c r="G162" s="40"/>
      <c r="H162" s="1" t="s">
        <v>851</v>
      </c>
      <c r="I162" s="1" t="s">
        <v>835</v>
      </c>
      <c r="J162" s="41" t="n">
        <v>0</v>
      </c>
    </row>
    <row r="163" customFormat="false" ht="15" hidden="true" customHeight="false" outlineLevel="0" collapsed="false">
      <c r="A163" s="2" t="s">
        <v>91</v>
      </c>
      <c r="B163" s="2" t="e">
        <f aca="false">OFFSET(Таблица2,161,1,1,1)&amp;"-"&amp;OFFSET(Таблица2,161,0,1,1)</f>
        <v>#VALUE!</v>
      </c>
      <c r="C163" s="2" t="s">
        <v>852</v>
      </c>
      <c r="D163" s="39"/>
      <c r="E163" s="39"/>
      <c r="F163" s="40"/>
      <c r="G163" s="40"/>
      <c r="H163" s="1" t="s">
        <v>851</v>
      </c>
      <c r="I163" s="1" t="s">
        <v>849</v>
      </c>
      <c r="J163" s="41" t="n">
        <v>0.3</v>
      </c>
    </row>
    <row r="164" customFormat="false" ht="15" hidden="true" customHeight="false" outlineLevel="0" collapsed="false">
      <c r="A164" s="2" t="s">
        <v>45</v>
      </c>
      <c r="B164" s="2" t="e">
        <f aca="false">OFFSET(Таблица2,162,1,1,1)&amp;"-"&amp;OFFSET(Таблица2,162,0,1,1)</f>
        <v>#VALUE!</v>
      </c>
      <c r="C164" s="2" t="s">
        <v>852</v>
      </c>
      <c r="D164" s="39"/>
      <c r="E164" s="39"/>
      <c r="F164" s="40"/>
      <c r="G164" s="40"/>
      <c r="H164" s="1" t="s">
        <v>851</v>
      </c>
      <c r="I164" s="1" t="s">
        <v>849</v>
      </c>
      <c r="J164" s="41" t="n">
        <v>0.3</v>
      </c>
    </row>
    <row r="165" customFormat="false" ht="15" hidden="true" customHeight="false" outlineLevel="0" collapsed="false">
      <c r="A165" s="2" t="s">
        <v>41</v>
      </c>
      <c r="B165" s="2" t="e">
        <f aca="false">OFFSET(Таблица2,163,1,1,1)&amp;"-"&amp;OFFSET(Таблица2,163,0,1,1)</f>
        <v>#VALUE!</v>
      </c>
      <c r="C165" s="2" t="s">
        <v>852</v>
      </c>
      <c r="D165" s="39"/>
      <c r="E165" s="39"/>
      <c r="F165" s="40"/>
      <c r="G165" s="40"/>
      <c r="H165" s="1" t="s">
        <v>851</v>
      </c>
      <c r="I165" s="1" t="s">
        <v>849</v>
      </c>
      <c r="J165" s="41" t="n">
        <v>0.3</v>
      </c>
    </row>
    <row r="166" customFormat="false" ht="15" hidden="true" customHeight="false" outlineLevel="0" collapsed="false">
      <c r="A166" s="2" t="s">
        <v>77</v>
      </c>
      <c r="B166" s="2" t="e">
        <f aca="false">OFFSET(Таблица2,164,1,1,1)&amp;"-"&amp;OFFSET(Таблица2,164,0,1,1)</f>
        <v>#VALUE!</v>
      </c>
      <c r="C166" s="2" t="s">
        <v>852</v>
      </c>
      <c r="D166" s="39"/>
      <c r="E166" s="39"/>
      <c r="F166" s="40"/>
      <c r="G166" s="40"/>
      <c r="H166" s="1" t="s">
        <v>851</v>
      </c>
      <c r="I166" s="1" t="s">
        <v>849</v>
      </c>
      <c r="J166" s="41" t="n">
        <v>0.3</v>
      </c>
    </row>
    <row r="167" customFormat="false" ht="15" hidden="true" customHeight="false" outlineLevel="0" collapsed="false">
      <c r="A167" s="2" t="s">
        <v>62</v>
      </c>
      <c r="B167" s="2" t="e">
        <f aca="false">OFFSET(Таблица2,165,1,1,1)&amp;"-"&amp;OFFSET(Таблица2,165,0,1,1)</f>
        <v>#VALUE!</v>
      </c>
      <c r="C167" s="2" t="s">
        <v>852</v>
      </c>
      <c r="D167" s="39"/>
      <c r="E167" s="39"/>
      <c r="F167" s="40"/>
      <c r="G167" s="40"/>
      <c r="H167" s="1" t="s">
        <v>851</v>
      </c>
      <c r="I167" s="1" t="s">
        <v>849</v>
      </c>
      <c r="J167" s="41" t="n">
        <v>0.3</v>
      </c>
    </row>
    <row r="168" customFormat="false" ht="15" hidden="true" customHeight="false" outlineLevel="0" collapsed="false">
      <c r="A168" s="2" t="s">
        <v>59</v>
      </c>
      <c r="B168" s="2" t="e">
        <f aca="false">OFFSET(Таблица2,166,1,1,1)&amp;"-"&amp;OFFSET(Таблица2,166,0,1,1)</f>
        <v>#VALUE!</v>
      </c>
      <c r="C168" s="2" t="s">
        <v>852</v>
      </c>
      <c r="D168" s="39"/>
      <c r="E168" s="39"/>
      <c r="F168" s="40"/>
      <c r="G168" s="40"/>
      <c r="H168" s="1" t="s">
        <v>851</v>
      </c>
      <c r="I168" s="1" t="s">
        <v>849</v>
      </c>
      <c r="J168" s="41" t="n">
        <v>0.3</v>
      </c>
    </row>
    <row r="169" customFormat="false" ht="15" hidden="true" customHeight="false" outlineLevel="0" collapsed="false">
      <c r="A169" s="2" t="s">
        <v>88</v>
      </c>
      <c r="B169" s="2" t="e">
        <f aca="false">OFFSET(Таблица2,167,1,1,1)&amp;"-"&amp;OFFSET(Таблица2,167,0,1,1)</f>
        <v>#VALUE!</v>
      </c>
      <c r="C169" s="2" t="s">
        <v>852</v>
      </c>
      <c r="D169" s="39"/>
      <c r="E169" s="39"/>
      <c r="F169" s="40"/>
      <c r="G169" s="40"/>
      <c r="H169" s="1" t="s">
        <v>851</v>
      </c>
      <c r="I169" s="1" t="s">
        <v>849</v>
      </c>
      <c r="J169" s="41" t="n">
        <v>0.3</v>
      </c>
    </row>
    <row r="170" customFormat="false" ht="15" hidden="true" customHeight="false" outlineLevel="0" collapsed="false">
      <c r="A170" s="2" t="s">
        <v>37</v>
      </c>
      <c r="B170" s="2" t="e">
        <f aca="false">OFFSET(Таблица2,168,1,1,1)&amp;"-"&amp;OFFSET(Таблица2,168,0,1,1)</f>
        <v>#VALUE!</v>
      </c>
      <c r="C170" s="2" t="s">
        <v>852</v>
      </c>
      <c r="D170" s="39"/>
      <c r="E170" s="39"/>
      <c r="F170" s="40"/>
      <c r="G170" s="40"/>
      <c r="H170" s="1" t="s">
        <v>851</v>
      </c>
      <c r="I170" s="1" t="s">
        <v>849</v>
      </c>
      <c r="J170" s="41" t="n">
        <v>0.3</v>
      </c>
    </row>
    <row r="171" customFormat="false" ht="15" hidden="true" customHeight="false" outlineLevel="0" collapsed="false">
      <c r="A171" s="2" t="s">
        <v>34</v>
      </c>
      <c r="B171" s="2" t="e">
        <f aca="false">OFFSET(Таблица2,169,1,1,1)&amp;"-"&amp;OFFSET(Таблица2,169,0,1,1)</f>
        <v>#VALUE!</v>
      </c>
      <c r="C171" s="2" t="s">
        <v>852</v>
      </c>
      <c r="D171" s="39"/>
      <c r="E171" s="39"/>
      <c r="F171" s="40"/>
      <c r="G171" s="40"/>
      <c r="H171" s="1" t="s">
        <v>851</v>
      </c>
      <c r="I171" s="1" t="s">
        <v>849</v>
      </c>
      <c r="J171" s="41" t="n">
        <v>0.3</v>
      </c>
    </row>
    <row r="172" customFormat="false" ht="15" hidden="true" customHeight="false" outlineLevel="0" collapsed="false">
      <c r="A172" s="2" t="s">
        <v>56</v>
      </c>
      <c r="B172" s="2" t="e">
        <f aca="false">OFFSET(Таблица2,170,1,1,1)&amp;"-"&amp;OFFSET(Таблица2,170,0,1,1)</f>
        <v>#VALUE!</v>
      </c>
      <c r="C172" s="2" t="s">
        <v>852</v>
      </c>
      <c r="D172" s="39"/>
      <c r="E172" s="39"/>
      <c r="F172" s="40"/>
      <c r="G172" s="40"/>
      <c r="H172" s="1" t="s">
        <v>851</v>
      </c>
      <c r="I172" s="1" t="s">
        <v>849</v>
      </c>
      <c r="J172" s="41" t="n">
        <v>0.3</v>
      </c>
    </row>
    <row r="173" customFormat="false" ht="15" hidden="true" customHeight="false" outlineLevel="0" collapsed="false">
      <c r="A173" s="2" t="s">
        <v>53</v>
      </c>
      <c r="B173" s="2" t="e">
        <f aca="false">OFFSET(Таблица2,171,1,1,1)&amp;"-"&amp;OFFSET(Таблица2,171,0,1,1)</f>
        <v>#VALUE!</v>
      </c>
      <c r="C173" s="2" t="s">
        <v>852</v>
      </c>
      <c r="D173" s="39"/>
      <c r="E173" s="39"/>
      <c r="F173" s="40"/>
      <c r="G173" s="40"/>
      <c r="H173" s="1" t="s">
        <v>851</v>
      </c>
      <c r="I173" s="1" t="s">
        <v>849</v>
      </c>
      <c r="J173" s="41" t="n">
        <v>0.3</v>
      </c>
    </row>
    <row r="174" customFormat="false" ht="15" hidden="true" customHeight="false" outlineLevel="0" collapsed="false">
      <c r="A174" s="2" t="s">
        <v>793</v>
      </c>
      <c r="B174" s="2" t="e">
        <f aca="false">OFFSET(Таблица2,172,1,1,1)&amp;"-"&amp;OFFSET(Таблица2,172,0,1,1)</f>
        <v>#VALUE!</v>
      </c>
      <c r="C174" s="2" t="s">
        <v>852</v>
      </c>
      <c r="D174" s="39"/>
      <c r="E174" s="39"/>
      <c r="F174" s="40"/>
      <c r="G174" s="40"/>
      <c r="H174" s="1" t="s">
        <v>851</v>
      </c>
      <c r="I174" s="1" t="s">
        <v>849</v>
      </c>
      <c r="J174" s="41" t="n">
        <v>0.3</v>
      </c>
    </row>
    <row r="175" customFormat="false" ht="15" hidden="true" customHeight="false" outlineLevel="0" collapsed="false">
      <c r="A175" s="2" t="s">
        <v>86</v>
      </c>
      <c r="B175" s="2" t="e">
        <f aca="false">OFFSET(Таблица2,173,1,1,1)&amp;"-"&amp;OFFSET(Таблица2,173,0,1,1)</f>
        <v>#VALUE!</v>
      </c>
      <c r="C175" s="2" t="s">
        <v>852</v>
      </c>
      <c r="D175" s="39"/>
      <c r="E175" s="39"/>
      <c r="F175" s="40"/>
      <c r="G175" s="40"/>
      <c r="H175" s="1" t="s">
        <v>851</v>
      </c>
      <c r="I175" s="1" t="s">
        <v>849</v>
      </c>
      <c r="J175" s="41" t="n">
        <v>0.3</v>
      </c>
    </row>
    <row r="176" customFormat="false" ht="15" hidden="true" customHeight="false" outlineLevel="0" collapsed="false">
      <c r="A176" s="2" t="s">
        <v>819</v>
      </c>
      <c r="B176" s="2" t="e">
        <f aca="false">OFFSET(Таблица2,174,1,1,1)&amp;"-"&amp;OFFSET(Таблица2,174,0,1,1)</f>
        <v>#VALUE!</v>
      </c>
      <c r="C176" s="2" t="s">
        <v>852</v>
      </c>
      <c r="D176" s="39"/>
      <c r="E176" s="39"/>
      <c r="F176" s="40"/>
      <c r="G176" s="40"/>
      <c r="H176" s="1" t="s">
        <v>851</v>
      </c>
      <c r="I176" s="1" t="s">
        <v>849</v>
      </c>
      <c r="J176" s="41" t="n">
        <v>0.3</v>
      </c>
    </row>
    <row r="177" customFormat="false" ht="15" hidden="true" customHeight="false" outlineLevel="0" collapsed="false">
      <c r="A177" s="2" t="s">
        <v>822</v>
      </c>
      <c r="B177" s="2" t="e">
        <f aca="false">OFFSET(Таблица2,175,1,1,1)&amp;"-"&amp;OFFSET(Таблица2,175,0,1,1)</f>
        <v>#VALUE!</v>
      </c>
      <c r="C177" s="2" t="s">
        <v>852</v>
      </c>
      <c r="D177" s="39"/>
      <c r="E177" s="39"/>
      <c r="F177" s="40"/>
      <c r="G177" s="40"/>
      <c r="H177" s="1" t="s">
        <v>851</v>
      </c>
      <c r="I177" s="1" t="s">
        <v>849</v>
      </c>
      <c r="J177" s="41" t="n">
        <v>0.3</v>
      </c>
    </row>
    <row r="178" customFormat="false" ht="15" hidden="true" customHeight="false" outlineLevel="0" collapsed="false">
      <c r="A178" s="2" t="s">
        <v>84</v>
      </c>
      <c r="B178" s="2" t="e">
        <f aca="false">OFFSET(Таблица2,176,1,1,1)&amp;"-"&amp;OFFSET(Таблица2,176,0,1,1)</f>
        <v>#VALUE!</v>
      </c>
      <c r="C178" s="2" t="s">
        <v>852</v>
      </c>
      <c r="D178" s="39"/>
      <c r="E178" s="39"/>
      <c r="F178" s="40"/>
      <c r="G178" s="40"/>
      <c r="H178" s="1" t="s">
        <v>851</v>
      </c>
      <c r="I178" s="1" t="s">
        <v>849</v>
      </c>
      <c r="J178" s="41" t="n">
        <v>0.3</v>
      </c>
    </row>
    <row r="179" customFormat="false" ht="15" hidden="true" customHeight="false" outlineLevel="0" collapsed="false">
      <c r="A179" s="2" t="s">
        <v>72</v>
      </c>
      <c r="B179" s="2" t="e">
        <f aca="false">OFFSET(Таблица2,177,1,1,1)&amp;"-"&amp;OFFSET(Таблица2,177,0,1,1)</f>
        <v>#VALUE!</v>
      </c>
      <c r="C179" s="2" t="s">
        <v>852</v>
      </c>
      <c r="D179" s="39"/>
      <c r="E179" s="39"/>
      <c r="F179" s="40"/>
      <c r="G179" s="40"/>
      <c r="H179" s="1" t="s">
        <v>851</v>
      </c>
      <c r="I179" s="1" t="s">
        <v>849</v>
      </c>
      <c r="J179" s="41" t="n">
        <v>0.3</v>
      </c>
    </row>
    <row r="180" customFormat="false" ht="15" hidden="true" customHeight="false" outlineLevel="0" collapsed="false">
      <c r="A180" s="2" t="s">
        <v>68</v>
      </c>
      <c r="B180" s="2" t="e">
        <f aca="false">OFFSET(Таблица2,178,1,1,1)&amp;"-"&amp;OFFSET(Таблица2,178,0,1,1)</f>
        <v>#VALUE!</v>
      </c>
      <c r="C180" s="2" t="s">
        <v>852</v>
      </c>
      <c r="D180" s="39"/>
      <c r="E180" s="39"/>
      <c r="F180" s="40"/>
      <c r="G180" s="40"/>
      <c r="H180" s="1" t="s">
        <v>851</v>
      </c>
      <c r="I180" s="1" t="s">
        <v>849</v>
      </c>
      <c r="J180" s="41" t="n">
        <v>0.3</v>
      </c>
    </row>
    <row r="181" customFormat="false" ht="15.75" hidden="true" customHeight="false" outlineLevel="0" collapsed="false">
      <c r="A181" s="13" t="s">
        <v>846</v>
      </c>
      <c r="B181" s="2" t="e">
        <f aca="false">OFFSET(Таблица2,179,1,1,1)&amp;"-"&amp;OFFSET(Таблица2,179,0,1,1)</f>
        <v>#VALUE!</v>
      </c>
      <c r="C181" s="2" t="s">
        <v>852</v>
      </c>
      <c r="D181" s="39"/>
      <c r="E181" s="39"/>
      <c r="F181" s="40"/>
      <c r="G181" s="40"/>
      <c r="H181" s="1" t="s">
        <v>851</v>
      </c>
      <c r="I181" s="1" t="s">
        <v>849</v>
      </c>
      <c r="J181" s="41" t="n">
        <v>0.3</v>
      </c>
    </row>
    <row r="182" customFormat="false" ht="15.75" hidden="true" customHeight="false" outlineLevel="0" collapsed="false">
      <c r="A182" s="13" t="s">
        <v>847</v>
      </c>
      <c r="B182" s="2" t="e">
        <f aca="false">OFFSET(Таблица2,180,1,1,1)&amp;"-"&amp;OFFSET(Таблица2,180,0,1,1)</f>
        <v>#VALUE!</v>
      </c>
      <c r="C182" s="2" t="s">
        <v>852</v>
      </c>
      <c r="D182" s="39"/>
      <c r="E182" s="39"/>
      <c r="F182" s="40"/>
      <c r="G182" s="40"/>
      <c r="H182" s="1" t="s">
        <v>851</v>
      </c>
      <c r="I182" s="1" t="s">
        <v>849</v>
      </c>
      <c r="J182" s="41" t="n">
        <v>0.3</v>
      </c>
    </row>
    <row r="183" customFormat="false" ht="15.75" hidden="true" customHeight="false" outlineLevel="0" collapsed="false">
      <c r="A183" s="13" t="s">
        <v>841</v>
      </c>
      <c r="B183" s="2" t="e">
        <f aca="false">OFFSET(Таблица2,181,1,1,1)&amp;"-"&amp;OFFSET(Таблица2,181,0,1,1)</f>
        <v>#VALUE!</v>
      </c>
      <c r="C183" s="2" t="s">
        <v>852</v>
      </c>
      <c r="D183" s="39"/>
      <c r="E183" s="39"/>
      <c r="F183" s="40"/>
      <c r="G183" s="40"/>
      <c r="H183" s="1" t="s">
        <v>851</v>
      </c>
      <c r="I183" s="1" t="s">
        <v>849</v>
      </c>
      <c r="J183" s="41" t="n">
        <v>0.3</v>
      </c>
    </row>
    <row r="184" customFormat="false" ht="15.75" hidden="true" customHeight="false" outlineLevel="0" collapsed="false">
      <c r="A184" s="13" t="s">
        <v>840</v>
      </c>
      <c r="B184" s="2" t="e">
        <f aca="false">OFFSET(Таблица2,182,1,1,1)&amp;"-"&amp;OFFSET(Таблица2,182,0,1,1)</f>
        <v>#VALUE!</v>
      </c>
      <c r="C184" s="2" t="s">
        <v>852</v>
      </c>
      <c r="D184" s="39"/>
      <c r="E184" s="39"/>
      <c r="F184" s="40"/>
      <c r="G184" s="40"/>
      <c r="H184" s="1" t="s">
        <v>851</v>
      </c>
      <c r="I184" s="1" t="s">
        <v>849</v>
      </c>
      <c r="J184" s="41" t="n">
        <v>0.3</v>
      </c>
    </row>
    <row r="185" customFormat="false" ht="15.75" hidden="true" customHeight="false" outlineLevel="0" collapsed="false">
      <c r="A185" s="13" t="s">
        <v>843</v>
      </c>
      <c r="B185" s="2" t="e">
        <f aca="false">OFFSET(Таблица2,183,1,1,1)&amp;"-"&amp;OFFSET(Таблица2,183,0,1,1)</f>
        <v>#VALUE!</v>
      </c>
      <c r="C185" s="2" t="s">
        <v>852</v>
      </c>
      <c r="D185" s="39"/>
      <c r="E185" s="39"/>
      <c r="F185" s="40"/>
      <c r="G185" s="40"/>
      <c r="H185" s="1" t="s">
        <v>851</v>
      </c>
      <c r="I185" s="1" t="s">
        <v>849</v>
      </c>
      <c r="J185" s="41" t="n">
        <v>0.3</v>
      </c>
    </row>
    <row r="186" customFormat="false" ht="15.75" hidden="true" customHeight="false" outlineLevel="0" collapsed="false">
      <c r="A186" s="13" t="s">
        <v>838</v>
      </c>
      <c r="B186" s="2" t="e">
        <f aca="false">OFFSET(Таблица2,184,1,1,1)&amp;"-"&amp;OFFSET(Таблица2,184,0,1,1)</f>
        <v>#VALUE!</v>
      </c>
      <c r="C186" s="2" t="s">
        <v>852</v>
      </c>
      <c r="D186" s="39"/>
      <c r="E186" s="39"/>
      <c r="F186" s="40"/>
      <c r="G186" s="40"/>
      <c r="H186" s="1" t="s">
        <v>851</v>
      </c>
      <c r="I186" s="1" t="s">
        <v>849</v>
      </c>
      <c r="J186" s="41" t="n">
        <v>0.3</v>
      </c>
    </row>
    <row r="187" customFormat="false" ht="15.75" hidden="true" customHeight="false" outlineLevel="0" collapsed="false">
      <c r="A187" s="13" t="s">
        <v>837</v>
      </c>
      <c r="B187" s="2" t="e">
        <f aca="false">OFFSET(Таблица2,185,1,1,1)&amp;"-"&amp;OFFSET(Таблица2,185,0,1,1)</f>
        <v>#VALUE!</v>
      </c>
      <c r="C187" s="2" t="s">
        <v>852</v>
      </c>
      <c r="D187" s="39"/>
      <c r="E187" s="39"/>
      <c r="F187" s="40"/>
      <c r="G187" s="40"/>
      <c r="H187" s="1" t="s">
        <v>851</v>
      </c>
      <c r="I187" s="1" t="s">
        <v>849</v>
      </c>
      <c r="J187" s="41" t="n">
        <v>0.3</v>
      </c>
    </row>
    <row r="188" customFormat="false" ht="15.75" hidden="true" customHeight="false" outlineLevel="0" collapsed="false">
      <c r="A188" s="13" t="s">
        <v>836</v>
      </c>
      <c r="B188" s="2" t="e">
        <f aca="false">OFFSET(Таблица2,186,1,1,1)&amp;"-"&amp;OFFSET(Таблица2,186,0,1,1)</f>
        <v>#VALUE!</v>
      </c>
      <c r="C188" s="2" t="s">
        <v>852</v>
      </c>
      <c r="D188" s="39"/>
      <c r="E188" s="39"/>
      <c r="F188" s="40"/>
      <c r="G188" s="40"/>
      <c r="H188" s="1" t="s">
        <v>851</v>
      </c>
      <c r="I188" s="1" t="s">
        <v>849</v>
      </c>
      <c r="J188" s="41" t="n">
        <v>0.3</v>
      </c>
    </row>
    <row r="189" customFormat="false" ht="15.75" hidden="true" customHeight="false" outlineLevel="0" collapsed="false">
      <c r="A189" s="13" t="s">
        <v>839</v>
      </c>
      <c r="B189" s="2" t="e">
        <f aca="false">OFFSET(Таблица2,187,1,1,1)&amp;"-"&amp;OFFSET(Таблица2,187,0,1,1)</f>
        <v>#VALUE!</v>
      </c>
      <c r="C189" s="2" t="s">
        <v>852</v>
      </c>
      <c r="D189" s="39"/>
      <c r="E189" s="39"/>
      <c r="F189" s="40"/>
      <c r="G189" s="40"/>
      <c r="H189" s="1" t="s">
        <v>851</v>
      </c>
      <c r="I189" s="1" t="s">
        <v>849</v>
      </c>
      <c r="J189" s="41" t="n">
        <v>0.3</v>
      </c>
    </row>
    <row r="190" customFormat="false" ht="15.75" hidden="true" customHeight="false" outlineLevel="0" collapsed="false">
      <c r="A190" s="13" t="s">
        <v>842</v>
      </c>
      <c r="B190" s="2" t="e">
        <f aca="false">OFFSET(Таблица2,188,1,1,1)&amp;"-"&amp;OFFSET(Таблица2,188,0,1,1)</f>
        <v>#VALUE!</v>
      </c>
      <c r="C190" s="2" t="s">
        <v>852</v>
      </c>
      <c r="D190" s="39"/>
      <c r="E190" s="39"/>
      <c r="F190" s="40"/>
      <c r="G190" s="40"/>
      <c r="H190" s="1" t="s">
        <v>851</v>
      </c>
      <c r="I190" s="1" t="s">
        <v>849</v>
      </c>
      <c r="J190" s="41" t="n">
        <v>0.3</v>
      </c>
    </row>
    <row r="191" customFormat="false" ht="15" hidden="true" customHeight="false" outlineLevel="0" collapsed="false">
      <c r="A191" s="2" t="s">
        <v>598</v>
      </c>
      <c r="B191" s="2" t="e">
        <f aca="false">OFFSET(Таблица2,189,1,1,1)&amp;"-"&amp;OFFSET(Таблица2,189,0,1,1)</f>
        <v>#VALUE!</v>
      </c>
      <c r="C191" s="2" t="s">
        <v>852</v>
      </c>
      <c r="D191" s="39"/>
      <c r="E191" s="39"/>
      <c r="F191" s="40"/>
      <c r="G191" s="40"/>
      <c r="H191" s="1" t="s">
        <v>851</v>
      </c>
      <c r="I191" s="1" t="s">
        <v>849</v>
      </c>
      <c r="J191" s="41" t="n">
        <v>0.3</v>
      </c>
    </row>
    <row r="192" customFormat="false" ht="15" hidden="true" customHeight="false" outlineLevel="0" collapsed="false">
      <c r="A192" s="2" t="s">
        <v>601</v>
      </c>
      <c r="B192" s="2" t="e">
        <f aca="false">OFFSET(Таблица2,190,1,1,1)&amp;"-"&amp;OFFSET(Таблица2,190,0,1,1)</f>
        <v>#VALUE!</v>
      </c>
      <c r="C192" s="2" t="s">
        <v>852</v>
      </c>
      <c r="D192" s="39"/>
      <c r="E192" s="39"/>
      <c r="F192" s="40"/>
      <c r="G192" s="40"/>
      <c r="H192" s="1" t="s">
        <v>851</v>
      </c>
      <c r="I192" s="1" t="s">
        <v>849</v>
      </c>
      <c r="J192" s="41" t="n">
        <v>0.3</v>
      </c>
    </row>
    <row r="193" customFormat="false" ht="15" hidden="true" customHeight="false" outlineLevel="0" collapsed="false">
      <c r="A193" s="2" t="s">
        <v>604</v>
      </c>
      <c r="B193" s="2" t="e">
        <f aca="false">OFFSET(Таблица2,191,1,1,1)&amp;"-"&amp;OFFSET(Таблица2,191,0,1,1)</f>
        <v>#VALUE!</v>
      </c>
      <c r="C193" s="2" t="s">
        <v>852</v>
      </c>
      <c r="D193" s="39"/>
      <c r="E193" s="39"/>
      <c r="F193" s="40"/>
      <c r="G193" s="40"/>
      <c r="H193" s="1" t="s">
        <v>851</v>
      </c>
      <c r="I193" s="1" t="s">
        <v>849</v>
      </c>
      <c r="J193" s="41" t="n">
        <v>0.3</v>
      </c>
    </row>
    <row r="194" customFormat="false" ht="15" hidden="true" customHeight="false" outlineLevel="0" collapsed="false">
      <c r="A194" s="2" t="s">
        <v>607</v>
      </c>
      <c r="B194" s="2" t="e">
        <f aca="false">OFFSET(Таблица2,192,1,1,1)&amp;"-"&amp;OFFSET(Таблица2,192,0,1,1)</f>
        <v>#VALUE!</v>
      </c>
      <c r="C194" s="2" t="s">
        <v>852</v>
      </c>
      <c r="D194" s="39"/>
      <c r="E194" s="39"/>
      <c r="F194" s="40"/>
      <c r="G194" s="40"/>
      <c r="H194" s="1" t="s">
        <v>851</v>
      </c>
      <c r="I194" s="1" t="s">
        <v>849</v>
      </c>
      <c r="J194" s="41" t="n">
        <v>0.3</v>
      </c>
    </row>
    <row r="195" customFormat="false" ht="15" hidden="true" customHeight="false" outlineLevel="0" collapsed="false">
      <c r="A195" s="2" t="s">
        <v>610</v>
      </c>
      <c r="B195" s="2" t="e">
        <f aca="false">OFFSET(Таблица2,193,1,1,1)&amp;"-"&amp;OFFSET(Таблица2,193,0,1,1)</f>
        <v>#VALUE!</v>
      </c>
      <c r="C195" s="2" t="s">
        <v>852</v>
      </c>
      <c r="D195" s="39"/>
      <c r="E195" s="39"/>
      <c r="F195" s="40"/>
      <c r="G195" s="40"/>
      <c r="H195" s="1" t="s">
        <v>851</v>
      </c>
      <c r="I195" s="1" t="s">
        <v>849</v>
      </c>
      <c r="J195" s="41" t="n">
        <v>0.3</v>
      </c>
    </row>
    <row r="196" customFormat="false" ht="15" hidden="true" customHeight="false" outlineLevel="0" collapsed="false">
      <c r="A196" s="2" t="s">
        <v>613</v>
      </c>
      <c r="B196" s="2" t="e">
        <f aca="false">OFFSET(Таблица2,194,1,1,1)&amp;"-"&amp;OFFSET(Таблица2,194,0,1,1)</f>
        <v>#VALUE!</v>
      </c>
      <c r="C196" s="2" t="s">
        <v>852</v>
      </c>
      <c r="D196" s="39"/>
      <c r="E196" s="39"/>
      <c r="F196" s="40"/>
      <c r="G196" s="40"/>
      <c r="H196" s="1" t="s">
        <v>851</v>
      </c>
      <c r="I196" s="1" t="s">
        <v>849</v>
      </c>
      <c r="J196" s="41" t="n">
        <v>0.3</v>
      </c>
    </row>
    <row r="197" customFormat="false" ht="15" hidden="true" customHeight="false" outlineLevel="0" collapsed="false">
      <c r="A197" s="2" t="s">
        <v>616</v>
      </c>
      <c r="B197" s="2" t="e">
        <f aca="false">OFFSET(Таблица2,195,1,1,1)&amp;"-"&amp;OFFSET(Таблица2,195,0,1,1)</f>
        <v>#VALUE!</v>
      </c>
      <c r="C197" s="2" t="s">
        <v>852</v>
      </c>
      <c r="D197" s="39"/>
      <c r="E197" s="39"/>
      <c r="F197" s="40"/>
      <c r="G197" s="40"/>
      <c r="H197" s="1" t="s">
        <v>851</v>
      </c>
      <c r="I197" s="1" t="s">
        <v>849</v>
      </c>
      <c r="J197" s="41" t="n">
        <v>0.3</v>
      </c>
    </row>
    <row r="198" customFormat="false" ht="15" hidden="true" customHeight="false" outlineLevel="0" collapsed="false">
      <c r="A198" s="2" t="s">
        <v>619</v>
      </c>
      <c r="B198" s="2" t="e">
        <f aca="false">OFFSET(Таблица2,196,1,1,1)&amp;"-"&amp;OFFSET(Таблица2,196,0,1,1)</f>
        <v>#VALUE!</v>
      </c>
      <c r="C198" s="2" t="s">
        <v>852</v>
      </c>
      <c r="D198" s="39"/>
      <c r="E198" s="39"/>
      <c r="F198" s="40"/>
      <c r="G198" s="40"/>
      <c r="H198" s="1" t="s">
        <v>851</v>
      </c>
      <c r="I198" s="1" t="s">
        <v>849</v>
      </c>
      <c r="J198" s="41" t="n">
        <v>0.3</v>
      </c>
    </row>
    <row r="199" customFormat="false" ht="15" hidden="true" customHeight="false" outlineLevel="0" collapsed="false">
      <c r="A199" s="2" t="s">
        <v>623</v>
      </c>
      <c r="B199" s="2" t="e">
        <f aca="false">OFFSET(Таблица2,197,1,1,1)&amp;"-"&amp;OFFSET(Таблица2,197,0,1,1)</f>
        <v>#VALUE!</v>
      </c>
      <c r="C199" s="2" t="s">
        <v>852</v>
      </c>
      <c r="D199" s="39"/>
      <c r="E199" s="39"/>
      <c r="F199" s="40"/>
      <c r="G199" s="40"/>
      <c r="H199" s="1" t="s">
        <v>851</v>
      </c>
      <c r="I199" s="1" t="s">
        <v>849</v>
      </c>
      <c r="J199" s="41" t="n">
        <v>0.3</v>
      </c>
    </row>
    <row r="200" customFormat="false" ht="15" hidden="true" customHeight="false" outlineLevel="0" collapsed="false">
      <c r="A200" s="2" t="s">
        <v>626</v>
      </c>
      <c r="B200" s="2" t="e">
        <f aca="false">OFFSET(Таблица2,198,1,1,1)&amp;"-"&amp;OFFSET(Таблица2,198,0,1,1)</f>
        <v>#VALUE!</v>
      </c>
      <c r="C200" s="2" t="s">
        <v>852</v>
      </c>
      <c r="D200" s="39"/>
      <c r="E200" s="39"/>
      <c r="F200" s="40"/>
      <c r="G200" s="40"/>
      <c r="H200" s="1" t="s">
        <v>851</v>
      </c>
      <c r="I200" s="1" t="s">
        <v>849</v>
      </c>
      <c r="J200" s="41" t="n">
        <v>0.3</v>
      </c>
    </row>
    <row r="201" customFormat="false" ht="15" hidden="true" customHeight="false" outlineLevel="0" collapsed="false">
      <c r="A201" s="2" t="s">
        <v>629</v>
      </c>
      <c r="B201" s="2" t="e">
        <f aca="false">OFFSET(Таблица2,199,1,1,1)&amp;"-"&amp;OFFSET(Таблица2,199,0,1,1)</f>
        <v>#VALUE!</v>
      </c>
      <c r="C201" s="2" t="s">
        <v>852</v>
      </c>
      <c r="D201" s="44"/>
      <c r="E201" s="44"/>
      <c r="F201" s="45"/>
      <c r="G201" s="45"/>
      <c r="H201" s="46" t="s">
        <v>851</v>
      </c>
      <c r="I201" s="46" t="s">
        <v>849</v>
      </c>
      <c r="J201" s="41" t="n">
        <v>0.3</v>
      </c>
    </row>
    <row r="202" customFormat="false" ht="15" hidden="true" customHeight="false" outlineLevel="0" collapsed="false">
      <c r="A202" s="2" t="s">
        <v>632</v>
      </c>
      <c r="B202" s="2" t="e">
        <f aca="false">OFFSET(Таблица2,200,1,1,1)&amp;"-"&amp;OFFSET(Таблица2,200,0,1,1)</f>
        <v>#VALUE!</v>
      </c>
      <c r="C202" s="2" t="s">
        <v>852</v>
      </c>
      <c r="D202" s="44"/>
      <c r="E202" s="44"/>
      <c r="F202" s="45"/>
      <c r="G202" s="45"/>
      <c r="H202" s="46" t="s">
        <v>851</v>
      </c>
      <c r="I202" s="46" t="s">
        <v>849</v>
      </c>
      <c r="J202" s="41" t="n">
        <v>0.3</v>
      </c>
    </row>
    <row r="203" customFormat="false" ht="15" hidden="true" customHeight="false" outlineLevel="0" collapsed="false">
      <c r="A203" s="2" t="s">
        <v>635</v>
      </c>
      <c r="B203" s="2" t="e">
        <f aca="false">OFFSET(Таблица2,201,1,1,1)&amp;"-"&amp;OFFSET(Таблица2,201,0,1,1)</f>
        <v>#VALUE!</v>
      </c>
      <c r="C203" s="2" t="s">
        <v>852</v>
      </c>
      <c r="D203" s="44"/>
      <c r="E203" s="44"/>
      <c r="F203" s="45"/>
      <c r="G203" s="45"/>
      <c r="H203" s="46" t="s">
        <v>851</v>
      </c>
      <c r="I203" s="46" t="s">
        <v>849</v>
      </c>
      <c r="J203" s="41" t="n">
        <v>0.3</v>
      </c>
    </row>
    <row r="204" customFormat="false" ht="15" hidden="true" customHeight="false" outlineLevel="0" collapsed="false">
      <c r="A204" s="2" t="s">
        <v>638</v>
      </c>
      <c r="B204" s="2" t="e">
        <f aca="false">OFFSET(Таблица2,202,1,1,1)&amp;"-"&amp;OFFSET(Таблица2,202,0,1,1)</f>
        <v>#VALUE!</v>
      </c>
      <c r="C204" s="2" t="s">
        <v>852</v>
      </c>
      <c r="D204" s="44"/>
      <c r="E204" s="44"/>
      <c r="F204" s="45"/>
      <c r="G204" s="45"/>
      <c r="H204" s="46" t="s">
        <v>851</v>
      </c>
      <c r="I204" s="46" t="s">
        <v>849</v>
      </c>
      <c r="J204" s="41" t="n">
        <v>0.3</v>
      </c>
    </row>
    <row r="205" customFormat="false" ht="15" hidden="true" customHeight="false" outlineLevel="0" collapsed="false">
      <c r="A205" s="2" t="s">
        <v>641</v>
      </c>
      <c r="B205" s="2" t="e">
        <f aca="false">OFFSET(Таблица2,203,1,1,1)&amp;"-"&amp;OFFSET(Таблица2,203,0,1,1)</f>
        <v>#VALUE!</v>
      </c>
      <c r="C205" s="2" t="s">
        <v>852</v>
      </c>
      <c r="D205" s="44"/>
      <c r="E205" s="44"/>
      <c r="F205" s="45"/>
      <c r="G205" s="45"/>
      <c r="H205" s="46" t="s">
        <v>851</v>
      </c>
      <c r="I205" s="46" t="s">
        <v>849</v>
      </c>
      <c r="J205" s="41" t="n">
        <v>0.3</v>
      </c>
    </row>
    <row r="206" customFormat="false" ht="15" hidden="true" customHeight="false" outlineLevel="0" collapsed="false">
      <c r="A206" s="2" t="s">
        <v>644</v>
      </c>
      <c r="B206" s="2" t="e">
        <f aca="false">OFFSET(Таблица2,204,1,1,1)&amp;"-"&amp;OFFSET(Таблица2,204,0,1,1)</f>
        <v>#VALUE!</v>
      </c>
      <c r="C206" s="2" t="s">
        <v>852</v>
      </c>
      <c r="D206" s="44"/>
      <c r="E206" s="44"/>
      <c r="F206" s="45"/>
      <c r="G206" s="45"/>
      <c r="H206" s="46" t="s">
        <v>851</v>
      </c>
      <c r="I206" s="46" t="s">
        <v>849</v>
      </c>
      <c r="J206" s="41" t="n">
        <v>0.3</v>
      </c>
    </row>
    <row r="207" customFormat="false" ht="15" hidden="true" customHeight="false" outlineLevel="0" collapsed="false">
      <c r="A207" s="2" t="s">
        <v>647</v>
      </c>
      <c r="B207" s="2" t="e">
        <f aca="false">OFFSET(Таблица2,205,1,1,1)&amp;"-"&amp;OFFSET(Таблица2,205,0,1,1)</f>
        <v>#VALUE!</v>
      </c>
      <c r="C207" s="2" t="s">
        <v>852</v>
      </c>
      <c r="D207" s="44"/>
      <c r="E207" s="44"/>
      <c r="F207" s="45"/>
      <c r="G207" s="45"/>
      <c r="H207" s="46" t="s">
        <v>851</v>
      </c>
      <c r="I207" s="46" t="s">
        <v>849</v>
      </c>
      <c r="J207" s="41" t="n">
        <v>0.3</v>
      </c>
    </row>
    <row r="208" customFormat="false" ht="15" hidden="true" customHeight="false" outlineLevel="0" collapsed="false">
      <c r="A208" s="2" t="s">
        <v>650</v>
      </c>
      <c r="B208" s="2" t="e">
        <f aca="false">OFFSET(Таблица2,206,1,1,1)&amp;"-"&amp;OFFSET(Таблица2,206,0,1,1)</f>
        <v>#VALUE!</v>
      </c>
      <c r="C208" s="2" t="s">
        <v>852</v>
      </c>
      <c r="D208" s="44"/>
      <c r="E208" s="44"/>
      <c r="F208" s="45"/>
      <c r="G208" s="45"/>
      <c r="H208" s="46" t="s">
        <v>851</v>
      </c>
      <c r="I208" s="46" t="s">
        <v>849</v>
      </c>
      <c r="J208" s="41" t="n">
        <v>0.3</v>
      </c>
    </row>
    <row r="209" customFormat="false" ht="15" hidden="true" customHeight="false" outlineLevel="0" collapsed="false">
      <c r="A209" s="2" t="s">
        <v>49</v>
      </c>
      <c r="B209" s="42" t="s">
        <v>853</v>
      </c>
      <c r="C209" s="2" t="s">
        <v>852</v>
      </c>
      <c r="D209" s="44"/>
      <c r="E209" s="44"/>
      <c r="F209" s="45"/>
      <c r="G209" s="45"/>
      <c r="H209" s="46" t="s">
        <v>851</v>
      </c>
      <c r="I209" s="46" t="s">
        <v>849</v>
      </c>
      <c r="J209" s="41" t="n">
        <v>0.3</v>
      </c>
    </row>
    <row r="210" customFormat="false" ht="15" hidden="true" customHeight="false" outlineLevel="0" collapsed="false">
      <c r="A210" s="2" t="s">
        <v>81</v>
      </c>
      <c r="B210" s="47" t="s">
        <v>854</v>
      </c>
      <c r="C210" s="2" t="s">
        <v>852</v>
      </c>
      <c r="D210" s="48"/>
      <c r="E210" s="48"/>
      <c r="F210" s="49"/>
      <c r="G210" s="49"/>
      <c r="H210" s="50" t="s">
        <v>851</v>
      </c>
      <c r="I210" s="50" t="s">
        <v>849</v>
      </c>
      <c r="J210" s="41" t="n">
        <v>0.3</v>
      </c>
    </row>
    <row r="211" customFormat="false" ht="15" hidden="true" customHeight="false" outlineLevel="0" collapsed="false">
      <c r="A211" s="2" t="s">
        <v>65</v>
      </c>
      <c r="B211" s="42" t="s">
        <v>855</v>
      </c>
      <c r="C211" s="42" t="s">
        <v>852</v>
      </c>
      <c r="D211" s="44"/>
      <c r="E211" s="44"/>
      <c r="F211" s="45"/>
      <c r="G211" s="45"/>
      <c r="H211" s="46" t="s">
        <v>851</v>
      </c>
      <c r="I211" s="46" t="s">
        <v>849</v>
      </c>
      <c r="J211" s="41" t="n">
        <v>0.3</v>
      </c>
    </row>
    <row r="212" customFormat="false" ht="15" hidden="true" customHeight="false" outlineLevel="0" collapsed="false">
      <c r="A212" s="2" t="s">
        <v>49</v>
      </c>
      <c r="B212" s="42" t="s">
        <v>856</v>
      </c>
      <c r="C212" s="42" t="s">
        <v>797</v>
      </c>
      <c r="D212" s="44"/>
      <c r="E212" s="44"/>
      <c r="F212" s="45"/>
      <c r="G212" s="45"/>
      <c r="H212" s="46" t="s">
        <v>857</v>
      </c>
      <c r="I212" s="46" t="s">
        <v>790</v>
      </c>
      <c r="J212" s="43" t="n">
        <v>1.3</v>
      </c>
    </row>
    <row r="213" customFormat="false" ht="15" hidden="true" customHeight="false" outlineLevel="0" collapsed="false">
      <c r="A213" s="2" t="s">
        <v>793</v>
      </c>
      <c r="B213" s="42" t="s">
        <v>858</v>
      </c>
      <c r="C213" s="42" t="s">
        <v>797</v>
      </c>
      <c r="D213" s="44"/>
      <c r="E213" s="44"/>
      <c r="F213" s="45"/>
      <c r="G213" s="45"/>
      <c r="H213" s="46" t="s">
        <v>857</v>
      </c>
      <c r="I213" s="46" t="s">
        <v>790</v>
      </c>
      <c r="J213" s="43" t="n">
        <v>1.3</v>
      </c>
    </row>
    <row r="214" customFormat="false" ht="15" hidden="true" customHeight="false" outlineLevel="0" collapsed="false">
      <c r="A214" s="2" t="s">
        <v>81</v>
      </c>
      <c r="B214" s="42" t="s">
        <v>859</v>
      </c>
      <c r="C214" s="42" t="s">
        <v>797</v>
      </c>
      <c r="D214" s="44"/>
      <c r="E214" s="44"/>
      <c r="F214" s="45"/>
      <c r="G214" s="45"/>
      <c r="H214" s="46" t="s">
        <v>857</v>
      </c>
      <c r="I214" s="46" t="s">
        <v>790</v>
      </c>
      <c r="J214" s="43" t="n">
        <v>1.3</v>
      </c>
    </row>
    <row r="215" customFormat="false" ht="15" hidden="true" customHeight="false" outlineLevel="0" collapsed="false">
      <c r="A215" s="2" t="s">
        <v>86</v>
      </c>
      <c r="B215" s="42" t="s">
        <v>860</v>
      </c>
      <c r="C215" s="42" t="s">
        <v>797</v>
      </c>
      <c r="D215" s="44"/>
      <c r="E215" s="44"/>
      <c r="F215" s="45"/>
      <c r="G215" s="45"/>
      <c r="H215" s="46" t="s">
        <v>857</v>
      </c>
      <c r="I215" s="46" t="s">
        <v>790</v>
      </c>
      <c r="J215" s="43" t="n">
        <v>1.3</v>
      </c>
    </row>
    <row r="216" customFormat="false" ht="15" hidden="true" customHeight="false" outlineLevel="0" collapsed="false">
      <c r="A216" s="2" t="s">
        <v>65</v>
      </c>
      <c r="B216" s="42" t="s">
        <v>861</v>
      </c>
      <c r="C216" s="42" t="s">
        <v>797</v>
      </c>
      <c r="D216" s="44"/>
      <c r="E216" s="44"/>
      <c r="F216" s="45"/>
      <c r="G216" s="45"/>
      <c r="H216" s="46" t="s">
        <v>857</v>
      </c>
      <c r="I216" s="46" t="s">
        <v>790</v>
      </c>
      <c r="J216" s="43" t="n">
        <v>1.3</v>
      </c>
    </row>
    <row r="217" customFormat="false" ht="15" hidden="true" customHeight="false" outlineLevel="0" collapsed="false">
      <c r="A217" s="2" t="s">
        <v>91</v>
      </c>
      <c r="B217" s="42" t="s">
        <v>862</v>
      </c>
      <c r="C217" s="42" t="s">
        <v>797</v>
      </c>
      <c r="D217" s="44"/>
      <c r="E217" s="44"/>
      <c r="F217" s="45"/>
      <c r="G217" s="45"/>
      <c r="H217" s="46" t="s">
        <v>857</v>
      </c>
      <c r="I217" s="46" t="s">
        <v>790</v>
      </c>
      <c r="J217" s="43" t="n">
        <v>1.3</v>
      </c>
    </row>
    <row r="218" customFormat="false" ht="15" hidden="true" customHeight="false" outlineLevel="0" collapsed="false">
      <c r="A218" s="2" t="s">
        <v>72</v>
      </c>
      <c r="B218" s="42" t="s">
        <v>863</v>
      </c>
      <c r="C218" s="42" t="s">
        <v>797</v>
      </c>
      <c r="D218" s="44"/>
      <c r="E218" s="44"/>
      <c r="F218" s="45"/>
      <c r="G218" s="45"/>
      <c r="H218" s="46" t="s">
        <v>857</v>
      </c>
      <c r="I218" s="46" t="s">
        <v>790</v>
      </c>
      <c r="J218" s="43" t="n">
        <v>1.3</v>
      </c>
    </row>
    <row r="219" customFormat="false" ht="15" hidden="true" customHeight="false" outlineLevel="0" collapsed="false">
      <c r="A219" s="2" t="s">
        <v>45</v>
      </c>
      <c r="B219" s="42" t="s">
        <v>864</v>
      </c>
      <c r="C219" s="42" t="s">
        <v>797</v>
      </c>
      <c r="D219" s="44"/>
      <c r="E219" s="44"/>
      <c r="F219" s="45"/>
      <c r="G219" s="45"/>
      <c r="H219" s="46" t="s">
        <v>857</v>
      </c>
      <c r="I219" s="46" t="s">
        <v>790</v>
      </c>
      <c r="J219" s="43" t="n">
        <v>1.3</v>
      </c>
    </row>
    <row r="220" customFormat="false" ht="15" hidden="true" customHeight="false" outlineLevel="0" collapsed="false">
      <c r="A220" s="2" t="s">
        <v>819</v>
      </c>
      <c r="B220" s="47" t="s">
        <v>865</v>
      </c>
      <c r="C220" s="47" t="s">
        <v>797</v>
      </c>
      <c r="D220" s="48"/>
      <c r="E220" s="48"/>
      <c r="F220" s="49"/>
      <c r="G220" s="49"/>
      <c r="H220" s="50" t="s">
        <v>857</v>
      </c>
      <c r="I220" s="50" t="s">
        <v>790</v>
      </c>
      <c r="J220" s="43" t="n">
        <v>1.3</v>
      </c>
    </row>
    <row r="221" customFormat="false" ht="15" hidden="true" customHeight="false" outlineLevel="0" collapsed="false">
      <c r="A221" s="2" t="s">
        <v>41</v>
      </c>
      <c r="B221" s="42" t="s">
        <v>866</v>
      </c>
      <c r="C221" s="42" t="s">
        <v>797</v>
      </c>
      <c r="D221" s="44"/>
      <c r="E221" s="44"/>
      <c r="F221" s="45"/>
      <c r="G221" s="45"/>
      <c r="H221" s="46" t="s">
        <v>857</v>
      </c>
      <c r="I221" s="46" t="s">
        <v>790</v>
      </c>
      <c r="J221" s="43" t="n">
        <v>1.3</v>
      </c>
    </row>
    <row r="222" customFormat="false" ht="15" hidden="true" customHeight="false" outlineLevel="0" collapsed="false">
      <c r="A222" s="2" t="s">
        <v>822</v>
      </c>
      <c r="B222" s="42" t="s">
        <v>867</v>
      </c>
      <c r="C222" s="42" t="s">
        <v>797</v>
      </c>
      <c r="D222" s="44"/>
      <c r="E222" s="44"/>
      <c r="F222" s="45"/>
      <c r="G222" s="45"/>
      <c r="H222" s="46" t="s">
        <v>857</v>
      </c>
      <c r="I222" s="46" t="s">
        <v>790</v>
      </c>
      <c r="J222" s="43" t="n">
        <v>1.3</v>
      </c>
    </row>
    <row r="223" customFormat="false" ht="15" hidden="true" customHeight="false" outlineLevel="0" collapsed="false">
      <c r="A223" s="2" t="s">
        <v>77</v>
      </c>
      <c r="B223" s="42" t="s">
        <v>868</v>
      </c>
      <c r="C223" s="42" t="s">
        <v>797</v>
      </c>
      <c r="D223" s="44"/>
      <c r="E223" s="44"/>
      <c r="F223" s="45"/>
      <c r="G223" s="45"/>
      <c r="H223" s="46" t="s">
        <v>857</v>
      </c>
      <c r="I223" s="46" t="s">
        <v>790</v>
      </c>
      <c r="J223" s="43" t="n">
        <v>1.3</v>
      </c>
    </row>
    <row r="224" customFormat="false" ht="15" hidden="true" customHeight="false" outlineLevel="0" collapsed="false">
      <c r="A224" s="2" t="s">
        <v>84</v>
      </c>
      <c r="B224" s="42" t="s">
        <v>869</v>
      </c>
      <c r="C224" s="42" t="s">
        <v>797</v>
      </c>
      <c r="D224" s="44"/>
      <c r="E224" s="44"/>
      <c r="F224" s="45"/>
      <c r="G224" s="45"/>
      <c r="H224" s="46" t="s">
        <v>857</v>
      </c>
      <c r="I224" s="46" t="s">
        <v>790</v>
      </c>
      <c r="J224" s="43" t="n">
        <v>1.3</v>
      </c>
    </row>
    <row r="225" customFormat="false" ht="15" hidden="true" customHeight="false" outlineLevel="0" collapsed="false">
      <c r="A225" s="2" t="s">
        <v>62</v>
      </c>
      <c r="B225" s="42" t="s">
        <v>870</v>
      </c>
      <c r="C225" s="42" t="s">
        <v>797</v>
      </c>
      <c r="D225" s="44"/>
      <c r="E225" s="44"/>
      <c r="F225" s="45"/>
      <c r="G225" s="45"/>
      <c r="H225" s="46" t="s">
        <v>857</v>
      </c>
      <c r="I225" s="46" t="s">
        <v>790</v>
      </c>
      <c r="J225" s="43" t="n">
        <v>1.3</v>
      </c>
    </row>
    <row r="226" customFormat="false" ht="15" hidden="true" customHeight="false" outlineLevel="0" collapsed="false">
      <c r="A226" s="2" t="s">
        <v>59</v>
      </c>
      <c r="B226" s="42" t="s">
        <v>871</v>
      </c>
      <c r="C226" s="42" t="s">
        <v>797</v>
      </c>
      <c r="D226" s="44"/>
      <c r="E226" s="44"/>
      <c r="F226" s="45"/>
      <c r="G226" s="45"/>
      <c r="H226" s="46" t="s">
        <v>857</v>
      </c>
      <c r="I226" s="46" t="s">
        <v>790</v>
      </c>
      <c r="J226" s="43" t="n">
        <v>1.3</v>
      </c>
    </row>
    <row r="227" customFormat="false" ht="15" hidden="true" customHeight="false" outlineLevel="0" collapsed="false">
      <c r="A227" s="2" t="s">
        <v>88</v>
      </c>
      <c r="B227" s="42" t="s">
        <v>872</v>
      </c>
      <c r="C227" s="42" t="s">
        <v>797</v>
      </c>
      <c r="D227" s="44"/>
      <c r="E227" s="44"/>
      <c r="F227" s="45"/>
      <c r="G227" s="45"/>
      <c r="H227" s="46" t="s">
        <v>857</v>
      </c>
      <c r="I227" s="46" t="s">
        <v>790</v>
      </c>
      <c r="J227" s="43" t="n">
        <v>1.3</v>
      </c>
    </row>
    <row r="228" customFormat="false" ht="15" hidden="true" customHeight="false" outlineLevel="0" collapsed="false">
      <c r="A228" s="2" t="s">
        <v>68</v>
      </c>
      <c r="B228" s="42" t="s">
        <v>873</v>
      </c>
      <c r="C228" s="42" t="s">
        <v>797</v>
      </c>
      <c r="D228" s="44"/>
      <c r="E228" s="44"/>
      <c r="F228" s="45"/>
      <c r="G228" s="45"/>
      <c r="H228" s="46" t="s">
        <v>857</v>
      </c>
      <c r="I228" s="46" t="s">
        <v>790</v>
      </c>
      <c r="J228" s="43" t="n">
        <v>1.3</v>
      </c>
    </row>
    <row r="229" customFormat="false" ht="15" hidden="true" customHeight="false" outlineLevel="0" collapsed="false">
      <c r="A229" s="2" t="s">
        <v>37</v>
      </c>
      <c r="B229" s="42" t="s">
        <v>874</v>
      </c>
      <c r="C229" s="42" t="s">
        <v>797</v>
      </c>
      <c r="D229" s="44"/>
      <c r="E229" s="44"/>
      <c r="F229" s="45"/>
      <c r="G229" s="45"/>
      <c r="H229" s="46" t="s">
        <v>857</v>
      </c>
      <c r="I229" s="46" t="s">
        <v>790</v>
      </c>
      <c r="J229" s="43" t="n">
        <v>1.3</v>
      </c>
    </row>
    <row r="230" customFormat="false" ht="15" hidden="true" customHeight="false" outlineLevel="0" collapsed="false">
      <c r="A230" s="2" t="s">
        <v>34</v>
      </c>
      <c r="B230" s="42" t="s">
        <v>875</v>
      </c>
      <c r="C230" s="42" t="s">
        <v>797</v>
      </c>
      <c r="D230" s="44"/>
      <c r="E230" s="44"/>
      <c r="F230" s="45"/>
      <c r="G230" s="45"/>
      <c r="H230" s="46" t="s">
        <v>857</v>
      </c>
      <c r="I230" s="46" t="s">
        <v>790</v>
      </c>
      <c r="J230" s="43" t="n">
        <v>1.3</v>
      </c>
    </row>
    <row r="231" customFormat="false" ht="15" hidden="true" customHeight="false" outlineLevel="0" collapsed="false">
      <c r="A231" s="2" t="s">
        <v>56</v>
      </c>
      <c r="B231" s="42" t="s">
        <v>876</v>
      </c>
      <c r="C231" s="42" t="s">
        <v>797</v>
      </c>
      <c r="D231" s="44"/>
      <c r="E231" s="44"/>
      <c r="F231" s="45"/>
      <c r="G231" s="45"/>
      <c r="H231" s="46" t="s">
        <v>857</v>
      </c>
      <c r="I231" s="46" t="s">
        <v>790</v>
      </c>
      <c r="J231" s="43" t="n">
        <v>1.3</v>
      </c>
    </row>
    <row r="232" customFormat="false" ht="15" hidden="true" customHeight="false" outlineLevel="0" collapsed="false">
      <c r="A232" s="2" t="s">
        <v>53</v>
      </c>
      <c r="B232" s="42" t="s">
        <v>877</v>
      </c>
      <c r="C232" s="42" t="s">
        <v>797</v>
      </c>
      <c r="D232" s="44"/>
      <c r="E232" s="44"/>
      <c r="F232" s="45"/>
      <c r="G232" s="45"/>
      <c r="H232" s="46" t="s">
        <v>857</v>
      </c>
      <c r="I232" s="46" t="s">
        <v>790</v>
      </c>
      <c r="J232" s="43" t="n">
        <v>1.3</v>
      </c>
    </row>
    <row r="233" customFormat="false" ht="15" hidden="false" customHeight="false" outlineLevel="0" collapsed="false">
      <c r="A233" s="2" t="s">
        <v>49</v>
      </c>
      <c r="B233" s="2" t="e">
        <f aca="false">OFFSET(Таблица2,231,1,1,1)&amp;"-"&amp;OFFSET(Таблица2,231,0,1,1)</f>
        <v>#VALUE!</v>
      </c>
      <c r="C233" s="42" t="s">
        <v>805</v>
      </c>
      <c r="D233" s="44"/>
      <c r="E233" s="44"/>
      <c r="F233" s="45"/>
      <c r="G233" s="45"/>
      <c r="H233" s="46" t="s">
        <v>857</v>
      </c>
      <c r="I233" s="46" t="s">
        <v>835</v>
      </c>
      <c r="J233" s="43" t="n">
        <v>0.35</v>
      </c>
    </row>
    <row r="234" customFormat="false" ht="15" hidden="false" customHeight="false" outlineLevel="0" collapsed="false">
      <c r="A234" s="2" t="s">
        <v>81</v>
      </c>
      <c r="B234" s="2" t="e">
        <f aca="false">OFFSET(Таблица2,232,1,1,1)&amp;"-"&amp;OFFSET(Таблица2,232,0,1,1)</f>
        <v>#VALUE!</v>
      </c>
      <c r="C234" s="42" t="s">
        <v>805</v>
      </c>
      <c r="D234" s="44"/>
      <c r="E234" s="44"/>
      <c r="F234" s="45"/>
      <c r="G234" s="45"/>
      <c r="H234" s="46" t="s">
        <v>857</v>
      </c>
      <c r="I234" s="46" t="s">
        <v>835</v>
      </c>
      <c r="J234" s="43" t="n">
        <v>0.35</v>
      </c>
    </row>
    <row r="235" customFormat="false" ht="15" hidden="false" customHeight="false" outlineLevel="0" collapsed="false">
      <c r="A235" s="2" t="s">
        <v>65</v>
      </c>
      <c r="B235" s="2" t="e">
        <f aca="false">OFFSET(Таблица2,233,1,1,1)&amp;"-"&amp;OFFSET(Таблица2,233,0,1,1)</f>
        <v>#VALUE!</v>
      </c>
      <c r="C235" s="42" t="s">
        <v>805</v>
      </c>
      <c r="D235" s="44"/>
      <c r="E235" s="44"/>
      <c r="F235" s="45"/>
      <c r="G235" s="45"/>
      <c r="H235" s="46" t="s">
        <v>857</v>
      </c>
      <c r="I235" s="46" t="s">
        <v>835</v>
      </c>
      <c r="J235" s="43" t="n">
        <v>0.35</v>
      </c>
    </row>
    <row r="236" customFormat="false" ht="15" hidden="false" customHeight="false" outlineLevel="0" collapsed="false">
      <c r="A236" s="2" t="s">
        <v>91</v>
      </c>
      <c r="B236" s="2" t="e">
        <f aca="false">OFFSET(Таблица2,234,1,1,1)&amp;"-"&amp;OFFSET(Таблица2,234,0,1,1)</f>
        <v>#VALUE!</v>
      </c>
      <c r="C236" s="42" t="s">
        <v>805</v>
      </c>
      <c r="D236" s="44"/>
      <c r="E236" s="44"/>
      <c r="F236" s="45"/>
      <c r="G236" s="45"/>
      <c r="H236" s="46" t="s">
        <v>857</v>
      </c>
      <c r="I236" s="46" t="s">
        <v>835</v>
      </c>
      <c r="J236" s="43" t="n">
        <v>0.35</v>
      </c>
    </row>
    <row r="237" customFormat="false" ht="15" hidden="false" customHeight="false" outlineLevel="0" collapsed="false">
      <c r="A237" s="2" t="s">
        <v>45</v>
      </c>
      <c r="B237" s="2" t="e">
        <f aca="false">OFFSET(Таблица2,235,1,1,1)&amp;"-"&amp;OFFSET(Таблица2,235,0,1,1)</f>
        <v>#VALUE!</v>
      </c>
      <c r="C237" s="42" t="s">
        <v>805</v>
      </c>
      <c r="D237" s="44"/>
      <c r="E237" s="44"/>
      <c r="F237" s="45"/>
      <c r="G237" s="45"/>
      <c r="H237" s="46" t="s">
        <v>857</v>
      </c>
      <c r="I237" s="46" t="s">
        <v>835</v>
      </c>
      <c r="J237" s="43" t="n">
        <v>0.35</v>
      </c>
    </row>
    <row r="238" customFormat="false" ht="15" hidden="false" customHeight="false" outlineLevel="0" collapsed="false">
      <c r="A238" s="2" t="s">
        <v>41</v>
      </c>
      <c r="B238" s="2" t="e">
        <f aca="false">OFFSET(Таблица2,236,1,1,1)&amp;"-"&amp;OFFSET(Таблица2,236,0,1,1)</f>
        <v>#VALUE!</v>
      </c>
      <c r="C238" s="42" t="s">
        <v>805</v>
      </c>
      <c r="D238" s="44"/>
      <c r="E238" s="44"/>
      <c r="F238" s="45"/>
      <c r="G238" s="45"/>
      <c r="H238" s="46" t="s">
        <v>857</v>
      </c>
      <c r="I238" s="46" t="s">
        <v>835</v>
      </c>
      <c r="J238" s="43" t="n">
        <v>0.35</v>
      </c>
    </row>
    <row r="239" customFormat="false" ht="15" hidden="false" customHeight="false" outlineLevel="0" collapsed="false">
      <c r="A239" s="2" t="s">
        <v>77</v>
      </c>
      <c r="B239" s="2" t="e">
        <f aca="false">OFFSET(Таблица2,237,1,1,1)&amp;"-"&amp;OFFSET(Таблица2,237,0,1,1)</f>
        <v>#VALUE!</v>
      </c>
      <c r="C239" s="42" t="s">
        <v>805</v>
      </c>
      <c r="D239" s="44"/>
      <c r="E239" s="44"/>
      <c r="F239" s="45"/>
      <c r="G239" s="45"/>
      <c r="H239" s="46" t="s">
        <v>857</v>
      </c>
      <c r="I239" s="46" t="s">
        <v>835</v>
      </c>
      <c r="J239" s="43" t="n">
        <v>0.35</v>
      </c>
    </row>
    <row r="240" customFormat="false" ht="15" hidden="false" customHeight="false" outlineLevel="0" collapsed="false">
      <c r="A240" s="2" t="s">
        <v>62</v>
      </c>
      <c r="B240" s="2" t="e">
        <f aca="false">OFFSET(Таблица2,238,1,1,1)&amp;"-"&amp;OFFSET(Таблица2,238,0,1,1)</f>
        <v>#VALUE!</v>
      </c>
      <c r="C240" s="42" t="s">
        <v>805</v>
      </c>
      <c r="D240" s="44"/>
      <c r="E240" s="44"/>
      <c r="F240" s="45"/>
      <c r="G240" s="45"/>
      <c r="H240" s="46" t="s">
        <v>857</v>
      </c>
      <c r="I240" s="50" t="s">
        <v>835</v>
      </c>
      <c r="J240" s="43" t="n">
        <v>0.35</v>
      </c>
    </row>
    <row r="241" customFormat="false" ht="15" hidden="false" customHeight="false" outlineLevel="0" collapsed="false">
      <c r="A241" s="2" t="s">
        <v>59</v>
      </c>
      <c r="B241" s="2" t="e">
        <f aca="false">OFFSET(Таблица2,239,1,1,1)&amp;"-"&amp;OFFSET(Таблица2,239,0,1,1)</f>
        <v>#VALUE!</v>
      </c>
      <c r="C241" s="42" t="s">
        <v>805</v>
      </c>
      <c r="D241" s="44"/>
      <c r="E241" s="44"/>
      <c r="F241" s="45"/>
      <c r="G241" s="45"/>
      <c r="H241" s="46" t="s">
        <v>857</v>
      </c>
      <c r="I241" s="46" t="s">
        <v>835</v>
      </c>
      <c r="J241" s="43" t="n">
        <v>0.35</v>
      </c>
    </row>
    <row r="242" customFormat="false" ht="15" hidden="false" customHeight="false" outlineLevel="0" collapsed="false">
      <c r="A242" s="2" t="s">
        <v>88</v>
      </c>
      <c r="B242" s="2" t="e">
        <f aca="false">OFFSET(Таблица2,240,1,1,1)&amp;"-"&amp;OFFSET(Таблица2,240,0,1,1)</f>
        <v>#VALUE!</v>
      </c>
      <c r="C242" s="42" t="s">
        <v>805</v>
      </c>
      <c r="D242" s="44"/>
      <c r="E242" s="44"/>
      <c r="F242" s="45"/>
      <c r="G242" s="45"/>
      <c r="H242" s="46" t="s">
        <v>857</v>
      </c>
      <c r="I242" s="46" t="s">
        <v>835</v>
      </c>
      <c r="J242" s="43" t="n">
        <v>0.35</v>
      </c>
    </row>
    <row r="243" customFormat="false" ht="15" hidden="false" customHeight="false" outlineLevel="0" collapsed="false">
      <c r="A243" s="2" t="s">
        <v>37</v>
      </c>
      <c r="B243" s="2" t="e">
        <f aca="false">OFFSET(Таблица2,241,1,1,1)&amp;"-"&amp;OFFSET(Таблица2,241,0,1,1)</f>
        <v>#VALUE!</v>
      </c>
      <c r="C243" s="42" t="s">
        <v>805</v>
      </c>
      <c r="D243" s="44"/>
      <c r="E243" s="44"/>
      <c r="F243" s="45"/>
      <c r="G243" s="45"/>
      <c r="H243" s="46" t="s">
        <v>857</v>
      </c>
      <c r="I243" s="46" t="s">
        <v>835</v>
      </c>
      <c r="J243" s="43" t="n">
        <v>0.35</v>
      </c>
    </row>
    <row r="244" customFormat="false" ht="15" hidden="false" customHeight="false" outlineLevel="0" collapsed="false">
      <c r="A244" s="2" t="s">
        <v>34</v>
      </c>
      <c r="B244" s="2" t="e">
        <f aca="false">OFFSET(Таблица2,242,1,1,1)&amp;"-"&amp;OFFSET(Таблица2,242,0,1,1)</f>
        <v>#VALUE!</v>
      </c>
      <c r="C244" s="42" t="s">
        <v>805</v>
      </c>
      <c r="D244" s="44"/>
      <c r="E244" s="44"/>
      <c r="F244" s="45"/>
      <c r="G244" s="45"/>
      <c r="H244" s="46" t="s">
        <v>857</v>
      </c>
      <c r="I244" s="46" t="s">
        <v>835</v>
      </c>
      <c r="J244" s="43" t="n">
        <v>0.35</v>
      </c>
    </row>
    <row r="245" customFormat="false" ht="15" hidden="false" customHeight="false" outlineLevel="0" collapsed="false">
      <c r="A245" s="2" t="s">
        <v>56</v>
      </c>
      <c r="B245" s="2" t="e">
        <f aca="false">OFFSET(Таблица2,243,1,1,1)&amp;"-"&amp;OFFSET(Таблица2,243,0,1,1)</f>
        <v>#VALUE!</v>
      </c>
      <c r="C245" s="42" t="s">
        <v>805</v>
      </c>
      <c r="D245" s="44"/>
      <c r="E245" s="44"/>
      <c r="F245" s="45"/>
      <c r="G245" s="45"/>
      <c r="H245" s="46" t="s">
        <v>857</v>
      </c>
      <c r="I245" s="46" t="s">
        <v>835</v>
      </c>
      <c r="J245" s="43" t="n">
        <v>0.35</v>
      </c>
    </row>
    <row r="246" customFormat="false" ht="15" hidden="false" customHeight="false" outlineLevel="0" collapsed="false">
      <c r="A246" s="2" t="s">
        <v>53</v>
      </c>
      <c r="B246" s="2" t="e">
        <f aca="false">OFFSET(Таблица2,244,1,1,1)&amp;"-"&amp;OFFSET(Таблица2,244,0,1,1)</f>
        <v>#VALUE!</v>
      </c>
      <c r="C246" s="42" t="s">
        <v>805</v>
      </c>
      <c r="D246" s="44"/>
      <c r="E246" s="44"/>
      <c r="F246" s="45"/>
      <c r="G246" s="45"/>
      <c r="H246" s="46" t="s">
        <v>857</v>
      </c>
      <c r="I246" s="46" t="s">
        <v>835</v>
      </c>
      <c r="J246" s="43" t="n">
        <v>0.35</v>
      </c>
    </row>
    <row r="247" customFormat="false" ht="15" hidden="false" customHeight="false" outlineLevel="0" collapsed="false">
      <c r="A247" s="2" t="s">
        <v>793</v>
      </c>
      <c r="B247" s="2" t="e">
        <f aca="false">OFFSET(Таблица2,245,1,1,1)&amp;"-"&amp;OFFSET(Таблица2,245,0,1,1)</f>
        <v>#VALUE!</v>
      </c>
      <c r="C247" s="42" t="s">
        <v>805</v>
      </c>
      <c r="D247" s="44"/>
      <c r="E247" s="44"/>
      <c r="F247" s="45"/>
      <c r="G247" s="45"/>
      <c r="H247" s="46" t="s">
        <v>857</v>
      </c>
      <c r="I247" s="46" t="s">
        <v>835</v>
      </c>
      <c r="J247" s="43" t="n">
        <v>0.35</v>
      </c>
    </row>
    <row r="248" customFormat="false" ht="15" hidden="false" customHeight="false" outlineLevel="0" collapsed="false">
      <c r="A248" s="2" t="s">
        <v>86</v>
      </c>
      <c r="B248" s="2" t="e">
        <f aca="false">OFFSET(Таблица2,246,1,1,1)&amp;"-"&amp;OFFSET(Таблица2,246,0,1,1)</f>
        <v>#VALUE!</v>
      </c>
      <c r="C248" s="42" t="s">
        <v>805</v>
      </c>
      <c r="D248" s="44"/>
      <c r="E248" s="44"/>
      <c r="F248" s="45"/>
      <c r="G248" s="45"/>
      <c r="H248" s="46" t="s">
        <v>857</v>
      </c>
      <c r="I248" s="46" t="s">
        <v>835</v>
      </c>
      <c r="J248" s="43" t="n">
        <v>0.35</v>
      </c>
    </row>
    <row r="249" customFormat="false" ht="15" hidden="false" customHeight="false" outlineLevel="0" collapsed="false">
      <c r="A249" s="2" t="s">
        <v>819</v>
      </c>
      <c r="B249" s="2" t="e">
        <f aca="false">OFFSET(Таблица2,247,1,1,1)&amp;"-"&amp;OFFSET(Таблица2,247,0,1,1)</f>
        <v>#VALUE!</v>
      </c>
      <c r="C249" s="42" t="s">
        <v>805</v>
      </c>
      <c r="D249" s="44"/>
      <c r="E249" s="44"/>
      <c r="F249" s="45"/>
      <c r="G249" s="45"/>
      <c r="H249" s="46" t="s">
        <v>857</v>
      </c>
      <c r="I249" s="46" t="s">
        <v>835</v>
      </c>
      <c r="J249" s="43" t="n">
        <v>0.35</v>
      </c>
    </row>
    <row r="250" customFormat="false" ht="15" hidden="false" customHeight="false" outlineLevel="0" collapsed="false">
      <c r="A250" s="2" t="s">
        <v>822</v>
      </c>
      <c r="B250" s="2" t="e">
        <f aca="false">OFFSET(Таблица2,248,1,1,1)&amp;"-"&amp;OFFSET(Таблица2,248,0,1,1)</f>
        <v>#VALUE!</v>
      </c>
      <c r="C250" s="47" t="s">
        <v>805</v>
      </c>
      <c r="D250" s="48"/>
      <c r="E250" s="48"/>
      <c r="F250" s="49"/>
      <c r="G250" s="49"/>
      <c r="H250" s="50" t="s">
        <v>857</v>
      </c>
      <c r="I250" s="50" t="s">
        <v>835</v>
      </c>
      <c r="J250" s="43" t="n">
        <v>0.35</v>
      </c>
    </row>
    <row r="251" customFormat="false" ht="15" hidden="false" customHeight="false" outlineLevel="0" collapsed="false">
      <c r="A251" s="2" t="s">
        <v>84</v>
      </c>
      <c r="B251" s="2" t="e">
        <f aca="false">OFFSET(Таблица2,249,1,1,1)&amp;"-"&amp;OFFSET(Таблица2,249,0,1,1)</f>
        <v>#VALUE!</v>
      </c>
      <c r="C251" s="47" t="s">
        <v>805</v>
      </c>
      <c r="D251" s="48"/>
      <c r="E251" s="48"/>
      <c r="F251" s="49"/>
      <c r="G251" s="49"/>
      <c r="H251" s="50" t="s">
        <v>857</v>
      </c>
      <c r="I251" s="50" t="s">
        <v>835</v>
      </c>
      <c r="J251" s="43" t="n">
        <v>0.35</v>
      </c>
    </row>
    <row r="252" customFormat="false" ht="15" hidden="false" customHeight="false" outlineLevel="0" collapsed="false">
      <c r="A252" s="2" t="s">
        <v>72</v>
      </c>
      <c r="B252" s="2" t="e">
        <f aca="false">OFFSET(Таблица2,250,1,1,1)&amp;"-"&amp;OFFSET(Таблица2,250,0,1,1)</f>
        <v>#VALUE!</v>
      </c>
      <c r="C252" s="47" t="s">
        <v>805</v>
      </c>
      <c r="D252" s="48"/>
      <c r="E252" s="48"/>
      <c r="F252" s="49"/>
      <c r="G252" s="49"/>
      <c r="H252" s="50" t="s">
        <v>857</v>
      </c>
      <c r="I252" s="50" t="s">
        <v>835</v>
      </c>
      <c r="J252" s="43" t="n">
        <v>0.35</v>
      </c>
    </row>
    <row r="253" customFormat="false" ht="15" hidden="false" customHeight="false" outlineLevel="0" collapsed="false">
      <c r="A253" s="2" t="s">
        <v>68</v>
      </c>
      <c r="B253" s="2" t="e">
        <f aca="false">OFFSET(Таблица2,251,1,1,1)&amp;"-"&amp;OFFSET(Таблица2,251,0,1,1)</f>
        <v>#VALUE!</v>
      </c>
      <c r="C253" s="47" t="s">
        <v>805</v>
      </c>
      <c r="D253" s="48"/>
      <c r="E253" s="48"/>
      <c r="F253" s="49"/>
      <c r="G253" s="49"/>
      <c r="H253" s="50" t="s">
        <v>857</v>
      </c>
      <c r="I253" s="50" t="s">
        <v>835</v>
      </c>
      <c r="J253" s="43" t="n">
        <v>0.35</v>
      </c>
    </row>
    <row r="254" customFormat="false" ht="15.75" hidden="false" customHeight="false" outlineLevel="0" collapsed="false">
      <c r="A254" s="13" t="s">
        <v>846</v>
      </c>
      <c r="B254" s="2" t="e">
        <f aca="false">OFFSET(Таблица2,252,1,1,1)&amp;"-"&amp;OFFSET(Таблица2,252,0,1,1)</f>
        <v>#VALUE!</v>
      </c>
      <c r="C254" s="47" t="s">
        <v>805</v>
      </c>
      <c r="D254" s="48"/>
      <c r="E254" s="48"/>
      <c r="F254" s="49"/>
      <c r="G254" s="49"/>
      <c r="H254" s="50" t="s">
        <v>857</v>
      </c>
      <c r="I254" s="50" t="s">
        <v>835</v>
      </c>
      <c r="J254" s="43" t="n">
        <v>0.35</v>
      </c>
    </row>
    <row r="255" customFormat="false" ht="15.75" hidden="false" customHeight="false" outlineLevel="0" collapsed="false">
      <c r="A255" s="13" t="s">
        <v>847</v>
      </c>
      <c r="B255" s="2" t="e">
        <f aca="false">OFFSET(Таблица2,253,1,1,1)&amp;"-"&amp;OFFSET(Таблица2,253,0,1,1)</f>
        <v>#VALUE!</v>
      </c>
      <c r="C255" s="47" t="s">
        <v>805</v>
      </c>
      <c r="D255" s="48"/>
      <c r="E255" s="48"/>
      <c r="F255" s="49"/>
      <c r="G255" s="49"/>
      <c r="H255" s="50" t="s">
        <v>857</v>
      </c>
      <c r="I255" s="50" t="s">
        <v>835</v>
      </c>
      <c r="J255" s="43" t="n">
        <v>0.35</v>
      </c>
    </row>
    <row r="256" customFormat="false" ht="15.75" hidden="false" customHeight="false" outlineLevel="0" collapsed="false">
      <c r="A256" s="13" t="s">
        <v>841</v>
      </c>
      <c r="B256" s="2" t="e">
        <f aca="false">OFFSET(Таблица2,254,1,1,1)&amp;"-"&amp;OFFSET(Таблица2,254,0,1,1)</f>
        <v>#VALUE!</v>
      </c>
      <c r="C256" s="47" t="s">
        <v>805</v>
      </c>
      <c r="D256" s="48"/>
      <c r="E256" s="48"/>
      <c r="F256" s="49"/>
      <c r="G256" s="49"/>
      <c r="H256" s="50" t="s">
        <v>857</v>
      </c>
      <c r="I256" s="50" t="s">
        <v>835</v>
      </c>
      <c r="J256" s="43" t="n">
        <v>0.35</v>
      </c>
    </row>
    <row r="257" customFormat="false" ht="15.75" hidden="false" customHeight="false" outlineLevel="0" collapsed="false">
      <c r="A257" s="13" t="s">
        <v>840</v>
      </c>
      <c r="B257" s="2" t="e">
        <f aca="false">OFFSET(Таблица2,255,1,1,1)&amp;"-"&amp;OFFSET(Таблица2,255,0,1,1)</f>
        <v>#VALUE!</v>
      </c>
      <c r="C257" s="42" t="s">
        <v>805</v>
      </c>
      <c r="D257" s="44"/>
      <c r="E257" s="44"/>
      <c r="F257" s="45"/>
      <c r="G257" s="45"/>
      <c r="H257" s="46" t="s">
        <v>857</v>
      </c>
      <c r="I257" s="46" t="s">
        <v>835</v>
      </c>
      <c r="J257" s="43" t="n">
        <v>0.35</v>
      </c>
    </row>
    <row r="258" customFormat="false" ht="15.75" hidden="false" customHeight="false" outlineLevel="0" collapsed="false">
      <c r="A258" s="13" t="s">
        <v>843</v>
      </c>
      <c r="B258" s="2" t="e">
        <f aca="false">OFFSET(Таблица2,256,1,1,1)&amp;"-"&amp;OFFSET(Таблица2,256,0,1,1)</f>
        <v>#VALUE!</v>
      </c>
      <c r="C258" s="42" t="s">
        <v>805</v>
      </c>
      <c r="D258" s="44"/>
      <c r="E258" s="44"/>
      <c r="F258" s="45"/>
      <c r="G258" s="45"/>
      <c r="H258" s="46" t="s">
        <v>857</v>
      </c>
      <c r="I258" s="46" t="s">
        <v>835</v>
      </c>
      <c r="J258" s="43" t="n">
        <v>0.35</v>
      </c>
    </row>
    <row r="259" customFormat="false" ht="15.75" hidden="false" customHeight="false" outlineLevel="0" collapsed="false">
      <c r="A259" s="13" t="s">
        <v>838</v>
      </c>
      <c r="B259" s="2" t="e">
        <f aca="false">OFFSET(Таблица2,257,1,1,1)&amp;"-"&amp;OFFSET(Таблица2,257,0,1,1)</f>
        <v>#VALUE!</v>
      </c>
      <c r="C259" s="42" t="s">
        <v>805</v>
      </c>
      <c r="D259" s="44"/>
      <c r="E259" s="44"/>
      <c r="F259" s="45"/>
      <c r="G259" s="45"/>
      <c r="H259" s="46" t="s">
        <v>857</v>
      </c>
      <c r="I259" s="46" t="s">
        <v>835</v>
      </c>
      <c r="J259" s="43" t="n">
        <v>0.35</v>
      </c>
    </row>
    <row r="260" customFormat="false" ht="15.75" hidden="false" customHeight="false" outlineLevel="0" collapsed="false">
      <c r="A260" s="13" t="s">
        <v>837</v>
      </c>
      <c r="B260" s="2" t="e">
        <f aca="false">OFFSET(Таблица2,258,1,1,1)&amp;"-"&amp;OFFSET(Таблица2,258,0,1,1)</f>
        <v>#VALUE!</v>
      </c>
      <c r="C260" s="42" t="s">
        <v>805</v>
      </c>
      <c r="D260" s="44"/>
      <c r="E260" s="44"/>
      <c r="F260" s="45"/>
      <c r="G260" s="45"/>
      <c r="H260" s="46" t="s">
        <v>857</v>
      </c>
      <c r="I260" s="46" t="s">
        <v>835</v>
      </c>
      <c r="J260" s="43" t="n">
        <v>0.35</v>
      </c>
    </row>
    <row r="261" customFormat="false" ht="15.75" hidden="false" customHeight="false" outlineLevel="0" collapsed="false">
      <c r="A261" s="13" t="s">
        <v>836</v>
      </c>
      <c r="B261" s="2" t="e">
        <f aca="false">OFFSET(Таблица2,259,1,1,1)&amp;"-"&amp;OFFSET(Таблица2,259,0,1,1)</f>
        <v>#VALUE!</v>
      </c>
      <c r="C261" s="42" t="s">
        <v>805</v>
      </c>
      <c r="D261" s="44"/>
      <c r="E261" s="44"/>
      <c r="F261" s="45"/>
      <c r="G261" s="45"/>
      <c r="H261" s="46" t="s">
        <v>857</v>
      </c>
      <c r="I261" s="46" t="s">
        <v>835</v>
      </c>
      <c r="J261" s="43" t="n">
        <v>0.35</v>
      </c>
    </row>
    <row r="262" customFormat="false" ht="15.75" hidden="false" customHeight="false" outlineLevel="0" collapsed="false">
      <c r="A262" s="13" t="s">
        <v>839</v>
      </c>
      <c r="B262" s="2" t="e">
        <f aca="false">OFFSET(Таблица2,260,1,1,1)&amp;"-"&amp;OFFSET(Таблица2,260,0,1,1)</f>
        <v>#VALUE!</v>
      </c>
      <c r="C262" s="42" t="s">
        <v>805</v>
      </c>
      <c r="D262" s="44"/>
      <c r="E262" s="44"/>
      <c r="F262" s="45"/>
      <c r="G262" s="45"/>
      <c r="H262" s="46" t="s">
        <v>857</v>
      </c>
      <c r="I262" s="46" t="s">
        <v>835</v>
      </c>
      <c r="J262" s="43" t="n">
        <v>0.35</v>
      </c>
    </row>
    <row r="263" customFormat="false" ht="15.75" hidden="false" customHeight="false" outlineLevel="0" collapsed="false">
      <c r="A263" s="13" t="s">
        <v>842</v>
      </c>
      <c r="B263" s="2" t="e">
        <f aca="false">OFFSET(Таблица2,261,1,1,1)&amp;"-"&amp;OFFSET(Таблица2,261,0,1,1)</f>
        <v>#VALUE!</v>
      </c>
      <c r="C263" s="42" t="s">
        <v>805</v>
      </c>
      <c r="D263" s="44"/>
      <c r="E263" s="44"/>
      <c r="F263" s="45"/>
      <c r="G263" s="45"/>
      <c r="H263" s="46" t="s">
        <v>857</v>
      </c>
      <c r="I263" s="46" t="s">
        <v>835</v>
      </c>
      <c r="J263" s="43" t="n">
        <v>0.35</v>
      </c>
    </row>
    <row r="264" customFormat="false" ht="15.75" hidden="false" customHeight="false" outlineLevel="0" collapsed="false">
      <c r="A264" s="13" t="s">
        <v>613</v>
      </c>
      <c r="B264" s="2" t="e">
        <f aca="false">OFFSET(Таблица2,262,1,1,1)&amp;"-"&amp;OFFSET(Таблица2,262,0,1,1)</f>
        <v>#VALUE!</v>
      </c>
      <c r="C264" s="42" t="s">
        <v>805</v>
      </c>
      <c r="D264" s="44"/>
      <c r="E264" s="44"/>
      <c r="F264" s="45"/>
      <c r="G264" s="45"/>
      <c r="H264" s="46" t="s">
        <v>857</v>
      </c>
      <c r="I264" s="46" t="s">
        <v>835</v>
      </c>
      <c r="J264" s="43" t="n">
        <v>0.35</v>
      </c>
    </row>
    <row r="265" customFormat="false" ht="15.75" hidden="false" customHeight="false" outlineLevel="0" collapsed="false">
      <c r="A265" s="13" t="s">
        <v>604</v>
      </c>
      <c r="B265" s="2" t="e">
        <f aca="false">OFFSET(Таблица2,263,1,1,1)&amp;"-"&amp;OFFSET(Таблица2,263,0,1,1)</f>
        <v>#VALUE!</v>
      </c>
      <c r="C265" s="42" t="s">
        <v>805</v>
      </c>
      <c r="D265" s="44"/>
      <c r="E265" s="44"/>
      <c r="F265" s="45"/>
      <c r="G265" s="45"/>
      <c r="H265" s="46" t="s">
        <v>857</v>
      </c>
      <c r="I265" s="46" t="s">
        <v>835</v>
      </c>
      <c r="J265" s="43" t="n">
        <v>0.35</v>
      </c>
    </row>
    <row r="266" customFormat="false" ht="15.75" hidden="false" customHeight="false" outlineLevel="0" collapsed="false">
      <c r="A266" s="13" t="s">
        <v>607</v>
      </c>
      <c r="B266" s="2" t="e">
        <f aca="false">OFFSET(Таблица2,264,1,1,1)&amp;"-"&amp;OFFSET(Таблица2,264,0,1,1)</f>
        <v>#VALUE!</v>
      </c>
      <c r="C266" s="47" t="s">
        <v>805</v>
      </c>
      <c r="D266" s="48"/>
      <c r="E266" s="48"/>
      <c r="F266" s="49"/>
      <c r="G266" s="49"/>
      <c r="H266" s="50" t="s">
        <v>857</v>
      </c>
      <c r="I266" s="50" t="s">
        <v>835</v>
      </c>
      <c r="J266" s="43" t="n">
        <v>0.35</v>
      </c>
    </row>
    <row r="267" customFormat="false" ht="15.75" hidden="false" customHeight="false" outlineLevel="0" collapsed="false">
      <c r="A267" s="13" t="s">
        <v>619</v>
      </c>
      <c r="B267" s="2" t="e">
        <f aca="false">OFFSET(Таблица2,265,1,1,1)&amp;"-"&amp;OFFSET(Таблица2,265,0,1,1)</f>
        <v>#VALUE!</v>
      </c>
      <c r="C267" s="47" t="s">
        <v>805</v>
      </c>
      <c r="D267" s="48"/>
      <c r="E267" s="48"/>
      <c r="F267" s="49"/>
      <c r="G267" s="49"/>
      <c r="H267" s="50" t="s">
        <v>857</v>
      </c>
      <c r="I267" s="50" t="s">
        <v>835</v>
      </c>
      <c r="J267" s="43" t="n">
        <v>0.35</v>
      </c>
    </row>
    <row r="268" customFormat="false" ht="15.75" hidden="false" customHeight="false" outlineLevel="0" collapsed="false">
      <c r="A268" s="13" t="s">
        <v>632</v>
      </c>
      <c r="B268" s="2" t="e">
        <f aca="false">OFFSET(Таблица2,266,1,1,1)&amp;"-"&amp;OFFSET(Таблица2,266,0,1,1)</f>
        <v>#VALUE!</v>
      </c>
      <c r="C268" s="47" t="s">
        <v>805</v>
      </c>
      <c r="D268" s="48"/>
      <c r="E268" s="48"/>
      <c r="F268" s="49"/>
      <c r="G268" s="49"/>
      <c r="H268" s="50" t="s">
        <v>857</v>
      </c>
      <c r="I268" s="50" t="s">
        <v>835</v>
      </c>
      <c r="J268" s="43" t="n">
        <v>0.35</v>
      </c>
    </row>
    <row r="269" customFormat="false" ht="15.75" hidden="false" customHeight="false" outlineLevel="0" collapsed="false">
      <c r="A269" s="13" t="s">
        <v>610</v>
      </c>
      <c r="B269" s="2" t="e">
        <f aca="false">OFFSET(Таблица2,267,1,1,1)&amp;"-"&amp;OFFSET(Таблица2,267,0,1,1)</f>
        <v>#VALUE!</v>
      </c>
      <c r="C269" s="47" t="s">
        <v>805</v>
      </c>
      <c r="D269" s="48"/>
      <c r="E269" s="48"/>
      <c r="F269" s="49"/>
      <c r="G269" s="49"/>
      <c r="H269" s="50" t="s">
        <v>857</v>
      </c>
      <c r="I269" s="50" t="s">
        <v>835</v>
      </c>
      <c r="J269" s="43" t="n">
        <v>0.35</v>
      </c>
    </row>
    <row r="270" customFormat="false" ht="15.75" hidden="false" customHeight="false" outlineLevel="0" collapsed="false">
      <c r="A270" s="13" t="s">
        <v>598</v>
      </c>
      <c r="B270" s="2" t="e">
        <f aca="false">OFFSET(Таблица2,268,1,1,1)&amp;"-"&amp;OFFSET(Таблица2,268,0,1,1)</f>
        <v>#VALUE!</v>
      </c>
      <c r="C270" s="47" t="s">
        <v>805</v>
      </c>
      <c r="D270" s="48"/>
      <c r="E270" s="48"/>
      <c r="F270" s="49"/>
      <c r="G270" s="49"/>
      <c r="H270" s="50" t="s">
        <v>857</v>
      </c>
      <c r="I270" s="50" t="s">
        <v>835</v>
      </c>
      <c r="J270" s="43" t="n">
        <v>0.35</v>
      </c>
    </row>
    <row r="271" customFormat="false" ht="15.75" hidden="false" customHeight="false" outlineLevel="0" collapsed="false">
      <c r="A271" s="13" t="s">
        <v>601</v>
      </c>
      <c r="B271" s="2" t="e">
        <f aca="false">OFFSET(Таблица2,269,1,1,1)&amp;"-"&amp;OFFSET(Таблица2,269,0,1,1)</f>
        <v>#VALUE!</v>
      </c>
      <c r="C271" s="47" t="s">
        <v>805</v>
      </c>
      <c r="D271" s="48"/>
      <c r="E271" s="48"/>
      <c r="F271" s="49"/>
      <c r="G271" s="49"/>
      <c r="H271" s="50" t="s">
        <v>857</v>
      </c>
      <c r="I271" s="50" t="s">
        <v>835</v>
      </c>
      <c r="J271" s="43" t="n">
        <v>0.35</v>
      </c>
    </row>
    <row r="272" customFormat="false" ht="15.75" hidden="false" customHeight="false" outlineLevel="0" collapsed="false">
      <c r="A272" s="13" t="s">
        <v>616</v>
      </c>
      <c r="B272" s="2" t="e">
        <f aca="false">OFFSET(Таблица2,270,1,1,1)&amp;"-"&amp;OFFSET(Таблица2,270,0,1,1)</f>
        <v>#VALUE!</v>
      </c>
      <c r="C272" s="47" t="s">
        <v>805</v>
      </c>
      <c r="D272" s="48"/>
      <c r="E272" s="48"/>
      <c r="F272" s="49"/>
      <c r="G272" s="49"/>
      <c r="H272" s="50" t="s">
        <v>857</v>
      </c>
      <c r="I272" s="50" t="s">
        <v>835</v>
      </c>
      <c r="J272" s="43" t="n">
        <v>0.35</v>
      </c>
    </row>
    <row r="273" customFormat="false" ht="15.75" hidden="false" customHeight="false" outlineLevel="0" collapsed="false">
      <c r="A273" s="13" t="s">
        <v>629</v>
      </c>
      <c r="B273" s="2" t="e">
        <f aca="false">OFFSET(Таблица2,271,1,1,1)&amp;"-"&amp;OFFSET(Таблица2,271,0,1,1)</f>
        <v>#VALUE!</v>
      </c>
      <c r="C273" s="47" t="s">
        <v>805</v>
      </c>
      <c r="D273" s="48"/>
      <c r="E273" s="48"/>
      <c r="F273" s="49"/>
      <c r="G273" s="49"/>
      <c r="H273" s="50" t="s">
        <v>857</v>
      </c>
      <c r="I273" s="50" t="s">
        <v>835</v>
      </c>
      <c r="J273" s="43" t="n">
        <v>0.35</v>
      </c>
    </row>
    <row r="274" customFormat="false" ht="15.75" hidden="false" customHeight="false" outlineLevel="0" collapsed="false">
      <c r="A274" s="13" t="s">
        <v>626</v>
      </c>
      <c r="B274" s="2" t="e">
        <f aca="false">OFFSET(Таблица2,272,1,1,1)&amp;"-"&amp;OFFSET(Таблица2,272,0,1,1)</f>
        <v>#VALUE!</v>
      </c>
      <c r="C274" s="2" t="s">
        <v>805</v>
      </c>
      <c r="D274" s="48"/>
      <c r="E274" s="48"/>
      <c r="F274" s="49"/>
      <c r="G274" s="49"/>
      <c r="H274" s="50" t="s">
        <v>857</v>
      </c>
      <c r="I274" s="50" t="s">
        <v>835</v>
      </c>
      <c r="J274" s="43" t="n">
        <v>0.35</v>
      </c>
    </row>
    <row r="275" customFormat="false" ht="15" hidden="false" customHeight="false" outlineLevel="0" collapsed="false">
      <c r="A275" s="2" t="s">
        <v>635</v>
      </c>
      <c r="B275" s="2" t="e">
        <f aca="false">OFFSET(Таблица2,273,1,1,1)&amp;"-"&amp;OFFSET(Таблица2,273,0,1,1)</f>
        <v>#VALUE!</v>
      </c>
      <c r="C275" s="2" t="s">
        <v>805</v>
      </c>
      <c r="D275" s="48"/>
      <c r="E275" s="48"/>
      <c r="F275" s="49"/>
      <c r="G275" s="49"/>
      <c r="H275" s="50" t="s">
        <v>857</v>
      </c>
      <c r="I275" s="50" t="s">
        <v>835</v>
      </c>
      <c r="J275" s="43" t="n">
        <v>0.35</v>
      </c>
    </row>
    <row r="276" customFormat="false" ht="15" hidden="false" customHeight="false" outlineLevel="0" collapsed="false">
      <c r="A276" s="2" t="s">
        <v>638</v>
      </c>
      <c r="B276" s="2" t="e">
        <f aca="false">OFFSET(Таблица2,274,1,1,1)&amp;"-"&amp;OFFSET(Таблица2,274,0,1,1)</f>
        <v>#VALUE!</v>
      </c>
      <c r="C276" s="2" t="s">
        <v>805</v>
      </c>
      <c r="D276" s="48"/>
      <c r="E276" s="48"/>
      <c r="F276" s="49"/>
      <c r="G276" s="49"/>
      <c r="H276" s="50" t="s">
        <v>857</v>
      </c>
      <c r="I276" s="50" t="s">
        <v>835</v>
      </c>
      <c r="J276" s="43" t="n">
        <v>0.35</v>
      </c>
    </row>
    <row r="277" customFormat="false" ht="15" hidden="false" customHeight="false" outlineLevel="0" collapsed="false">
      <c r="A277" s="2" t="s">
        <v>641</v>
      </c>
      <c r="B277" s="2" t="e">
        <f aca="false">OFFSET(Таблица2,275,1,1,1)&amp;"-"&amp;OFFSET(Таблица2,275,0,1,1)</f>
        <v>#VALUE!</v>
      </c>
      <c r="C277" s="2" t="s">
        <v>805</v>
      </c>
      <c r="D277" s="48"/>
      <c r="E277" s="48"/>
      <c r="F277" s="49"/>
      <c r="G277" s="49"/>
      <c r="H277" s="50" t="s">
        <v>857</v>
      </c>
      <c r="I277" s="50" t="s">
        <v>835</v>
      </c>
      <c r="J277" s="43" t="n">
        <v>0.35</v>
      </c>
    </row>
    <row r="278" customFormat="false" ht="15" hidden="false" customHeight="false" outlineLevel="0" collapsed="false">
      <c r="A278" s="2" t="s">
        <v>644</v>
      </c>
      <c r="B278" s="2" t="e">
        <f aca="false">OFFSET(Таблица2,276,1,1,1)&amp;"-"&amp;OFFSET(Таблица2,276,0,1,1)</f>
        <v>#VALUE!</v>
      </c>
      <c r="C278" s="2" t="s">
        <v>805</v>
      </c>
      <c r="D278" s="48"/>
      <c r="E278" s="48"/>
      <c r="F278" s="49"/>
      <c r="G278" s="49"/>
      <c r="H278" s="50" t="s">
        <v>857</v>
      </c>
      <c r="I278" s="50" t="s">
        <v>835</v>
      </c>
      <c r="J278" s="43" t="n">
        <v>0.35</v>
      </c>
    </row>
    <row r="279" customFormat="false" ht="15" hidden="false" customHeight="false" outlineLevel="0" collapsed="false">
      <c r="A279" s="2" t="s">
        <v>647</v>
      </c>
      <c r="B279" s="2" t="e">
        <f aca="false">OFFSET(Таблица2,277,1,1,1)&amp;"-"&amp;OFFSET(Таблица2,277,0,1,1)</f>
        <v>#VALUE!</v>
      </c>
      <c r="C279" s="2" t="s">
        <v>805</v>
      </c>
      <c r="D279" s="48"/>
      <c r="E279" s="48"/>
      <c r="F279" s="49"/>
      <c r="G279" s="49"/>
      <c r="H279" s="50" t="s">
        <v>857</v>
      </c>
      <c r="I279" s="50" t="s">
        <v>835</v>
      </c>
      <c r="J279" s="43" t="n">
        <v>0.35</v>
      </c>
    </row>
    <row r="280" customFormat="false" ht="15" hidden="false" customHeight="false" outlineLevel="0" collapsed="false">
      <c r="A280" s="2" t="s">
        <v>650</v>
      </c>
      <c r="B280" s="2" t="e">
        <f aca="false">OFFSET(Таблица2,278,1,1,1)&amp;"-"&amp;OFFSET(Таблица2,278,0,1,1)</f>
        <v>#VALUE!</v>
      </c>
      <c r="C280" s="2" t="s">
        <v>805</v>
      </c>
      <c r="D280" s="48"/>
      <c r="E280" s="48"/>
      <c r="F280" s="49"/>
      <c r="G280" s="49"/>
      <c r="H280" s="50" t="s">
        <v>857</v>
      </c>
      <c r="I280" s="50" t="s">
        <v>835</v>
      </c>
      <c r="J280" s="43" t="n">
        <v>0.35</v>
      </c>
    </row>
    <row r="281" customFormat="false" ht="15" hidden="true" customHeight="false" outlineLevel="0" collapsed="false">
      <c r="A281" s="2" t="s">
        <v>49</v>
      </c>
      <c r="B281" s="2" t="e">
        <f aca="false">OFFSET(Таблица2,279,1,1,1)&amp;"-"&amp;OFFSET(Таблица2,279,0,1,1)</f>
        <v>#VALUE!</v>
      </c>
      <c r="C281" s="2" t="s">
        <v>817</v>
      </c>
      <c r="D281" s="48"/>
      <c r="E281" s="48"/>
      <c r="F281" s="49"/>
      <c r="G281" s="49"/>
      <c r="H281" s="50" t="s">
        <v>857</v>
      </c>
      <c r="I281" s="50" t="s">
        <v>849</v>
      </c>
      <c r="J281" s="51" t="n">
        <v>0.55</v>
      </c>
    </row>
    <row r="282" customFormat="false" ht="15" hidden="true" customHeight="false" outlineLevel="0" collapsed="false">
      <c r="A282" s="2" t="s">
        <v>81</v>
      </c>
      <c r="B282" s="2" t="e">
        <f aca="false">OFFSET(Таблица2,280,1,1,1)&amp;"-"&amp;OFFSET(Таблица2,280,0,1,1)</f>
        <v>#VALUE!</v>
      </c>
      <c r="C282" s="2" t="s">
        <v>817</v>
      </c>
      <c r="D282" s="48"/>
      <c r="E282" s="48"/>
      <c r="F282" s="49"/>
      <c r="G282" s="49"/>
      <c r="H282" s="50" t="s">
        <v>857</v>
      </c>
      <c r="I282" s="50" t="s">
        <v>849</v>
      </c>
      <c r="J282" s="51" t="n">
        <v>0.55</v>
      </c>
    </row>
    <row r="283" customFormat="false" ht="15" hidden="true" customHeight="false" outlineLevel="0" collapsed="false">
      <c r="A283" s="2" t="s">
        <v>65</v>
      </c>
      <c r="B283" s="2" t="e">
        <f aca="false">OFFSET(Таблица2,281,1,1,1)&amp;"-"&amp;OFFSET(Таблица2,281,0,1,1)</f>
        <v>#VALUE!</v>
      </c>
      <c r="C283" s="2" t="s">
        <v>817</v>
      </c>
      <c r="D283" s="48"/>
      <c r="E283" s="48"/>
      <c r="F283" s="49"/>
      <c r="G283" s="49"/>
      <c r="H283" s="50" t="s">
        <v>857</v>
      </c>
      <c r="I283" s="50" t="s">
        <v>849</v>
      </c>
      <c r="J283" s="51" t="n">
        <v>0.55</v>
      </c>
    </row>
    <row r="284" customFormat="false" ht="15" hidden="true" customHeight="false" outlineLevel="0" collapsed="false">
      <c r="A284" s="2" t="s">
        <v>91</v>
      </c>
      <c r="B284" s="2" t="e">
        <f aca="false">OFFSET(Таблица2,282,1,1,1)&amp;"-"&amp;OFFSET(Таблица2,282,0,1,1)</f>
        <v>#VALUE!</v>
      </c>
      <c r="C284" s="2" t="s">
        <v>817</v>
      </c>
      <c r="D284" s="48"/>
      <c r="E284" s="48"/>
      <c r="F284" s="49"/>
      <c r="G284" s="49"/>
      <c r="H284" s="50" t="s">
        <v>857</v>
      </c>
      <c r="I284" s="50" t="s">
        <v>849</v>
      </c>
      <c r="J284" s="51" t="n">
        <v>0.55</v>
      </c>
    </row>
    <row r="285" customFormat="false" ht="15" hidden="true" customHeight="false" outlineLevel="0" collapsed="false">
      <c r="A285" s="2" t="s">
        <v>45</v>
      </c>
      <c r="B285" s="2" t="e">
        <f aca="false">OFFSET(Таблица2,283,1,1,1)&amp;"-"&amp;OFFSET(Таблица2,283,0,1,1)</f>
        <v>#VALUE!</v>
      </c>
      <c r="C285" s="2" t="s">
        <v>817</v>
      </c>
      <c r="D285" s="48"/>
      <c r="E285" s="48"/>
      <c r="F285" s="49"/>
      <c r="G285" s="49"/>
      <c r="H285" s="50" t="s">
        <v>857</v>
      </c>
      <c r="I285" s="50" t="s">
        <v>849</v>
      </c>
      <c r="J285" s="51" t="n">
        <v>0.55</v>
      </c>
    </row>
    <row r="286" customFormat="false" ht="15" hidden="true" customHeight="false" outlineLevel="0" collapsed="false">
      <c r="A286" s="2" t="s">
        <v>41</v>
      </c>
      <c r="B286" s="2" t="e">
        <f aca="false">OFFSET(Таблица2,284,1,1,1)&amp;"-"&amp;OFFSET(Таблица2,284,0,1,1)</f>
        <v>#VALUE!</v>
      </c>
      <c r="C286" s="2" t="s">
        <v>817</v>
      </c>
      <c r="D286" s="48"/>
      <c r="E286" s="48"/>
      <c r="F286" s="49"/>
      <c r="G286" s="49"/>
      <c r="H286" s="50" t="s">
        <v>857</v>
      </c>
      <c r="I286" s="50" t="s">
        <v>849</v>
      </c>
      <c r="J286" s="51" t="n">
        <v>0.55</v>
      </c>
    </row>
    <row r="287" customFormat="false" ht="15" hidden="true" customHeight="false" outlineLevel="0" collapsed="false">
      <c r="A287" s="2" t="s">
        <v>77</v>
      </c>
      <c r="B287" s="2" t="e">
        <f aca="false">OFFSET(Таблица2,285,1,1,1)&amp;"-"&amp;OFFSET(Таблица2,285,0,1,1)</f>
        <v>#VALUE!</v>
      </c>
      <c r="C287" s="2" t="s">
        <v>817</v>
      </c>
      <c r="D287" s="48"/>
      <c r="E287" s="48"/>
      <c r="F287" s="49"/>
      <c r="G287" s="49"/>
      <c r="H287" s="50" t="s">
        <v>857</v>
      </c>
      <c r="I287" s="50" t="s">
        <v>849</v>
      </c>
      <c r="J287" s="51" t="n">
        <v>0.55</v>
      </c>
    </row>
    <row r="288" customFormat="false" ht="15" hidden="true" customHeight="false" outlineLevel="0" collapsed="false">
      <c r="A288" s="2" t="s">
        <v>62</v>
      </c>
      <c r="B288" s="2" t="e">
        <f aca="false">OFFSET(Таблица2,286,1,1,1)&amp;"-"&amp;OFFSET(Таблица2,286,0,1,1)</f>
        <v>#VALUE!</v>
      </c>
      <c r="C288" s="2" t="s">
        <v>817</v>
      </c>
      <c r="D288" s="48"/>
      <c r="E288" s="48"/>
      <c r="F288" s="49"/>
      <c r="G288" s="49"/>
      <c r="H288" s="50" t="s">
        <v>857</v>
      </c>
      <c r="I288" s="50" t="s">
        <v>849</v>
      </c>
      <c r="J288" s="51" t="n">
        <v>0.55</v>
      </c>
    </row>
    <row r="289" customFormat="false" ht="15" hidden="true" customHeight="false" outlineLevel="0" collapsed="false">
      <c r="A289" s="2" t="s">
        <v>59</v>
      </c>
      <c r="B289" s="2" t="e">
        <f aca="false">OFFSET(Таблица2,287,1,1,1)&amp;"-"&amp;OFFSET(Таблица2,287,0,1,1)</f>
        <v>#VALUE!</v>
      </c>
      <c r="C289" s="2" t="s">
        <v>817</v>
      </c>
      <c r="D289" s="48"/>
      <c r="E289" s="48"/>
      <c r="F289" s="49"/>
      <c r="G289" s="49"/>
      <c r="H289" s="50" t="s">
        <v>857</v>
      </c>
      <c r="I289" s="50" t="s">
        <v>849</v>
      </c>
      <c r="J289" s="51" t="n">
        <v>0.55</v>
      </c>
    </row>
    <row r="290" customFormat="false" ht="15" hidden="true" customHeight="false" outlineLevel="0" collapsed="false">
      <c r="A290" s="2" t="s">
        <v>88</v>
      </c>
      <c r="B290" s="2" t="e">
        <f aca="false">OFFSET(Таблица2,288,1,1,1)&amp;"-"&amp;OFFSET(Таблица2,288,0,1,1)</f>
        <v>#VALUE!</v>
      </c>
      <c r="C290" s="2" t="s">
        <v>817</v>
      </c>
      <c r="D290" s="48"/>
      <c r="E290" s="48"/>
      <c r="F290" s="49"/>
      <c r="G290" s="49"/>
      <c r="H290" s="50" t="s">
        <v>857</v>
      </c>
      <c r="I290" s="50" t="s">
        <v>849</v>
      </c>
      <c r="J290" s="51" t="n">
        <v>0.55</v>
      </c>
    </row>
    <row r="291" customFormat="false" ht="15" hidden="true" customHeight="false" outlineLevel="0" collapsed="false">
      <c r="A291" s="2" t="s">
        <v>37</v>
      </c>
      <c r="B291" s="2" t="e">
        <f aca="false">OFFSET(Таблица2,289,1,1,1)&amp;"-"&amp;OFFSET(Таблица2,289,0,1,1)</f>
        <v>#VALUE!</v>
      </c>
      <c r="C291" s="2" t="s">
        <v>817</v>
      </c>
      <c r="D291" s="48"/>
      <c r="E291" s="48"/>
      <c r="F291" s="49"/>
      <c r="G291" s="49"/>
      <c r="H291" s="50" t="s">
        <v>857</v>
      </c>
      <c r="I291" s="50" t="s">
        <v>849</v>
      </c>
      <c r="J291" s="51" t="n">
        <v>0.55</v>
      </c>
    </row>
    <row r="292" customFormat="false" ht="15" hidden="true" customHeight="false" outlineLevel="0" collapsed="false">
      <c r="A292" s="2" t="s">
        <v>34</v>
      </c>
      <c r="B292" s="2" t="e">
        <f aca="false">OFFSET(Таблица2,290,1,1,1)&amp;"-"&amp;OFFSET(Таблица2,290,0,1,1)</f>
        <v>#VALUE!</v>
      </c>
      <c r="C292" s="42" t="s">
        <v>817</v>
      </c>
      <c r="D292" s="44"/>
      <c r="E292" s="44"/>
      <c r="F292" s="45"/>
      <c r="G292" s="45"/>
      <c r="H292" s="46" t="s">
        <v>857</v>
      </c>
      <c r="I292" s="46" t="s">
        <v>849</v>
      </c>
      <c r="J292" s="51" t="n">
        <v>0.55</v>
      </c>
    </row>
    <row r="293" customFormat="false" ht="15" hidden="true" customHeight="false" outlineLevel="0" collapsed="false">
      <c r="A293" s="2" t="s">
        <v>56</v>
      </c>
      <c r="B293" s="2" t="e">
        <f aca="false">OFFSET(Таблица2,291,1,1,1)&amp;"-"&amp;OFFSET(Таблица2,291,0,1,1)</f>
        <v>#VALUE!</v>
      </c>
      <c r="C293" s="42" t="s">
        <v>817</v>
      </c>
      <c r="D293" s="44"/>
      <c r="E293" s="44"/>
      <c r="F293" s="45"/>
      <c r="G293" s="45"/>
      <c r="H293" s="46" t="s">
        <v>857</v>
      </c>
      <c r="I293" s="46" t="s">
        <v>849</v>
      </c>
      <c r="J293" s="51" t="n">
        <v>0.55</v>
      </c>
    </row>
    <row r="294" customFormat="false" ht="15" hidden="true" customHeight="false" outlineLevel="0" collapsed="false">
      <c r="A294" s="2" t="s">
        <v>53</v>
      </c>
      <c r="B294" s="2" t="e">
        <f aca="false">OFFSET(Таблица2,292,1,1,1)&amp;"-"&amp;OFFSET(Таблица2,292,0,1,1)</f>
        <v>#VALUE!</v>
      </c>
      <c r="C294" s="42" t="s">
        <v>817</v>
      </c>
      <c r="D294" s="44"/>
      <c r="E294" s="44"/>
      <c r="F294" s="45"/>
      <c r="G294" s="45"/>
      <c r="H294" s="46" t="s">
        <v>857</v>
      </c>
      <c r="I294" s="46" t="s">
        <v>849</v>
      </c>
      <c r="J294" s="51" t="n">
        <v>0.55</v>
      </c>
    </row>
    <row r="295" customFormat="false" ht="15" hidden="true" customHeight="false" outlineLevel="0" collapsed="false">
      <c r="A295" s="2" t="s">
        <v>793</v>
      </c>
      <c r="B295" s="2" t="e">
        <f aca="false">OFFSET(Таблица2,293,1,1,1)&amp;"-"&amp;OFFSET(Таблица2,293,0,1,1)</f>
        <v>#VALUE!</v>
      </c>
      <c r="C295" s="42" t="s">
        <v>817</v>
      </c>
      <c r="D295" s="44"/>
      <c r="E295" s="44"/>
      <c r="F295" s="45"/>
      <c r="G295" s="45"/>
      <c r="H295" s="46" t="s">
        <v>857</v>
      </c>
      <c r="I295" s="46" t="s">
        <v>849</v>
      </c>
      <c r="J295" s="51" t="n">
        <v>0.55</v>
      </c>
    </row>
    <row r="296" customFormat="false" ht="15" hidden="true" customHeight="false" outlineLevel="0" collapsed="false">
      <c r="A296" s="2" t="s">
        <v>86</v>
      </c>
      <c r="B296" s="2" t="e">
        <f aca="false">OFFSET(Таблица2,294,1,1,1)&amp;"-"&amp;OFFSET(Таблица2,294,0,1,1)</f>
        <v>#VALUE!</v>
      </c>
      <c r="C296" s="42" t="s">
        <v>817</v>
      </c>
      <c r="D296" s="44"/>
      <c r="E296" s="44"/>
      <c r="F296" s="45"/>
      <c r="G296" s="45"/>
      <c r="H296" s="46" t="s">
        <v>857</v>
      </c>
      <c r="I296" s="46" t="s">
        <v>849</v>
      </c>
      <c r="J296" s="51" t="n">
        <v>0.55</v>
      </c>
    </row>
    <row r="297" customFormat="false" ht="15" hidden="true" customHeight="false" outlineLevel="0" collapsed="false">
      <c r="A297" s="2" t="s">
        <v>819</v>
      </c>
      <c r="B297" s="2" t="e">
        <f aca="false">OFFSET(Таблица2,295,1,1,1)&amp;"-"&amp;OFFSET(Таблица2,295,0,1,1)</f>
        <v>#VALUE!</v>
      </c>
      <c r="C297" s="42" t="s">
        <v>817</v>
      </c>
      <c r="D297" s="44"/>
      <c r="E297" s="44"/>
      <c r="F297" s="45"/>
      <c r="G297" s="45"/>
      <c r="H297" s="46" t="s">
        <v>857</v>
      </c>
      <c r="I297" s="46" t="s">
        <v>849</v>
      </c>
      <c r="J297" s="51" t="n">
        <v>0.55</v>
      </c>
    </row>
    <row r="298" customFormat="false" ht="15" hidden="true" customHeight="false" outlineLevel="0" collapsed="false">
      <c r="A298" s="2" t="s">
        <v>822</v>
      </c>
      <c r="B298" s="2" t="e">
        <f aca="false">OFFSET(Таблица2,296,1,1,1)&amp;"-"&amp;OFFSET(Таблица2,296,0,1,1)</f>
        <v>#VALUE!</v>
      </c>
      <c r="C298" s="42" t="s">
        <v>817</v>
      </c>
      <c r="D298" s="44"/>
      <c r="E298" s="44"/>
      <c r="F298" s="45"/>
      <c r="G298" s="45"/>
      <c r="H298" s="46" t="s">
        <v>857</v>
      </c>
      <c r="I298" s="46" t="s">
        <v>849</v>
      </c>
      <c r="J298" s="51" t="n">
        <v>0.55</v>
      </c>
    </row>
    <row r="299" customFormat="false" ht="15" hidden="true" customHeight="false" outlineLevel="0" collapsed="false">
      <c r="A299" s="2" t="s">
        <v>84</v>
      </c>
      <c r="B299" s="2" t="e">
        <f aca="false">OFFSET(Таблица2,297,1,1,1)&amp;"-"&amp;OFFSET(Таблица2,297,0,1,1)</f>
        <v>#VALUE!</v>
      </c>
      <c r="C299" s="42" t="s">
        <v>817</v>
      </c>
      <c r="D299" s="44"/>
      <c r="E299" s="44"/>
      <c r="F299" s="45"/>
      <c r="G299" s="45"/>
      <c r="H299" s="46" t="s">
        <v>857</v>
      </c>
      <c r="I299" s="46" t="s">
        <v>849</v>
      </c>
      <c r="J299" s="51" t="n">
        <v>0.55</v>
      </c>
    </row>
    <row r="300" customFormat="false" ht="15" hidden="true" customHeight="false" outlineLevel="0" collapsed="false">
      <c r="A300" s="2" t="s">
        <v>72</v>
      </c>
      <c r="B300" s="2" t="e">
        <f aca="false">OFFSET(Таблица2,298,1,1,1)&amp;"-"&amp;OFFSET(Таблица2,298,0,1,1)</f>
        <v>#VALUE!</v>
      </c>
      <c r="C300" s="42" t="s">
        <v>817</v>
      </c>
      <c r="D300" s="44"/>
      <c r="E300" s="44"/>
      <c r="F300" s="45"/>
      <c r="G300" s="45"/>
      <c r="H300" s="46" t="s">
        <v>857</v>
      </c>
      <c r="I300" s="46" t="s">
        <v>849</v>
      </c>
      <c r="J300" s="51" t="n">
        <v>0.55</v>
      </c>
    </row>
    <row r="301" customFormat="false" ht="15" hidden="true" customHeight="false" outlineLevel="0" collapsed="false">
      <c r="A301" s="2" t="s">
        <v>68</v>
      </c>
      <c r="B301" s="2" t="e">
        <f aca="false">OFFSET(Таблица2,299,1,1,1)&amp;"-"&amp;OFFSET(Таблица2,299,0,1,1)</f>
        <v>#VALUE!</v>
      </c>
      <c r="C301" s="42" t="s">
        <v>817</v>
      </c>
      <c r="D301" s="44"/>
      <c r="E301" s="44"/>
      <c r="F301" s="45"/>
      <c r="G301" s="45"/>
      <c r="H301" s="46" t="s">
        <v>857</v>
      </c>
      <c r="I301" s="46" t="s">
        <v>849</v>
      </c>
      <c r="J301" s="51" t="n">
        <v>0.55</v>
      </c>
    </row>
    <row r="302" customFormat="false" ht="15.75" hidden="true" customHeight="false" outlineLevel="0" collapsed="false">
      <c r="A302" s="13" t="s">
        <v>846</v>
      </c>
      <c r="B302" s="2" t="e">
        <f aca="false">OFFSET(Таблица2,300,1,1,1)&amp;"-"&amp;OFFSET(Таблица2,300,0,1,1)</f>
        <v>#VALUE!</v>
      </c>
      <c r="C302" s="42" t="s">
        <v>817</v>
      </c>
      <c r="D302" s="44"/>
      <c r="E302" s="44"/>
      <c r="F302" s="45"/>
      <c r="G302" s="45"/>
      <c r="H302" s="46" t="s">
        <v>857</v>
      </c>
      <c r="I302" s="46" t="s">
        <v>849</v>
      </c>
      <c r="J302" s="51" t="n">
        <v>0.55</v>
      </c>
    </row>
    <row r="303" customFormat="false" ht="15.75" hidden="true" customHeight="false" outlineLevel="0" collapsed="false">
      <c r="A303" s="13" t="s">
        <v>847</v>
      </c>
      <c r="B303" s="2" t="e">
        <f aca="false">OFFSET(Таблица2,301,1,1,1)&amp;"-"&amp;OFFSET(Таблица2,301,0,1,1)</f>
        <v>#VALUE!</v>
      </c>
      <c r="C303" s="42" t="s">
        <v>817</v>
      </c>
      <c r="D303" s="44"/>
      <c r="E303" s="44"/>
      <c r="F303" s="45"/>
      <c r="G303" s="45"/>
      <c r="H303" s="46" t="s">
        <v>857</v>
      </c>
      <c r="I303" s="46" t="s">
        <v>849</v>
      </c>
      <c r="J303" s="51" t="n">
        <v>0.55</v>
      </c>
    </row>
    <row r="304" customFormat="false" ht="15.75" hidden="true" customHeight="false" outlineLevel="0" collapsed="false">
      <c r="A304" s="13" t="s">
        <v>841</v>
      </c>
      <c r="B304" s="2" t="e">
        <f aca="false">OFFSET(Таблица2,302,1,1,1)&amp;"-"&amp;OFFSET(Таблица2,302,0,1,1)</f>
        <v>#VALUE!</v>
      </c>
      <c r="C304" s="42" t="s">
        <v>817</v>
      </c>
      <c r="D304" s="44"/>
      <c r="E304" s="44"/>
      <c r="F304" s="45"/>
      <c r="G304" s="45"/>
      <c r="H304" s="46" t="s">
        <v>857</v>
      </c>
      <c r="I304" s="46" t="s">
        <v>849</v>
      </c>
      <c r="J304" s="51" t="n">
        <v>0.55</v>
      </c>
    </row>
    <row r="305" customFormat="false" ht="15.75" hidden="true" customHeight="false" outlineLevel="0" collapsed="false">
      <c r="A305" s="13" t="s">
        <v>840</v>
      </c>
      <c r="B305" s="2" t="e">
        <f aca="false">OFFSET(Таблица2,303,1,1,1)&amp;"-"&amp;OFFSET(Таблица2,303,0,1,1)</f>
        <v>#VALUE!</v>
      </c>
      <c r="C305" s="42" t="s">
        <v>817</v>
      </c>
      <c r="D305" s="44"/>
      <c r="E305" s="44"/>
      <c r="F305" s="45"/>
      <c r="G305" s="45"/>
      <c r="H305" s="46" t="s">
        <v>857</v>
      </c>
      <c r="I305" s="46" t="s">
        <v>849</v>
      </c>
      <c r="J305" s="51" t="n">
        <v>0.55</v>
      </c>
    </row>
    <row r="306" customFormat="false" ht="15.75" hidden="true" customHeight="false" outlineLevel="0" collapsed="false">
      <c r="A306" s="13" t="s">
        <v>843</v>
      </c>
      <c r="B306" s="2" t="e">
        <f aca="false">OFFSET(Таблица2,304,1,1,1)&amp;"-"&amp;OFFSET(Таблица2,304,0,1,1)</f>
        <v>#VALUE!</v>
      </c>
      <c r="C306" s="42" t="s">
        <v>817</v>
      </c>
      <c r="D306" s="44"/>
      <c r="E306" s="44"/>
      <c r="F306" s="45"/>
      <c r="G306" s="45"/>
      <c r="H306" s="46" t="s">
        <v>857</v>
      </c>
      <c r="I306" s="46" t="s">
        <v>849</v>
      </c>
      <c r="J306" s="51" t="n">
        <v>0.55</v>
      </c>
    </row>
    <row r="307" customFormat="false" ht="15.75" hidden="true" customHeight="false" outlineLevel="0" collapsed="false">
      <c r="A307" s="13" t="s">
        <v>838</v>
      </c>
      <c r="B307" s="2" t="e">
        <f aca="false">OFFSET(Таблица2,305,1,1,1)&amp;"-"&amp;OFFSET(Таблица2,305,0,1,1)</f>
        <v>#VALUE!</v>
      </c>
      <c r="C307" s="42" t="s">
        <v>817</v>
      </c>
      <c r="D307" s="44"/>
      <c r="E307" s="44"/>
      <c r="F307" s="45"/>
      <c r="G307" s="45"/>
      <c r="H307" s="46" t="s">
        <v>857</v>
      </c>
      <c r="I307" s="46" t="s">
        <v>849</v>
      </c>
      <c r="J307" s="51" t="n">
        <v>0.55</v>
      </c>
    </row>
    <row r="308" customFormat="false" ht="15.75" hidden="true" customHeight="false" outlineLevel="0" collapsed="false">
      <c r="A308" s="13" t="s">
        <v>837</v>
      </c>
      <c r="B308" s="2" t="e">
        <f aca="false">OFFSET(Таблица2,306,1,1,1)&amp;"-"&amp;OFFSET(Таблица2,306,0,1,1)</f>
        <v>#VALUE!</v>
      </c>
      <c r="C308" s="42" t="s">
        <v>817</v>
      </c>
      <c r="D308" s="44"/>
      <c r="E308" s="44"/>
      <c r="F308" s="45"/>
      <c r="G308" s="45"/>
      <c r="H308" s="46" t="s">
        <v>857</v>
      </c>
      <c r="I308" s="46" t="s">
        <v>849</v>
      </c>
      <c r="J308" s="51" t="n">
        <v>0.55</v>
      </c>
    </row>
    <row r="309" customFormat="false" ht="15.75" hidden="true" customHeight="false" outlineLevel="0" collapsed="false">
      <c r="A309" s="13" t="s">
        <v>836</v>
      </c>
      <c r="B309" s="2" t="e">
        <f aca="false">OFFSET(Таблица2,307,1,1,1)&amp;"-"&amp;OFFSET(Таблица2,307,0,1,1)</f>
        <v>#VALUE!</v>
      </c>
      <c r="C309" s="42" t="s">
        <v>817</v>
      </c>
      <c r="D309" s="44"/>
      <c r="E309" s="44"/>
      <c r="F309" s="45"/>
      <c r="G309" s="45"/>
      <c r="H309" s="46" t="s">
        <v>857</v>
      </c>
      <c r="I309" s="46" t="s">
        <v>849</v>
      </c>
      <c r="J309" s="51" t="n">
        <v>0.55</v>
      </c>
    </row>
    <row r="310" customFormat="false" ht="15.75" hidden="true" customHeight="false" outlineLevel="0" collapsed="false">
      <c r="A310" s="13" t="s">
        <v>839</v>
      </c>
      <c r="B310" s="2" t="e">
        <f aca="false">OFFSET(Таблица2,308,1,1,1)&amp;"-"&amp;OFFSET(Таблица2,308,0,1,1)</f>
        <v>#VALUE!</v>
      </c>
      <c r="C310" s="2" t="s">
        <v>817</v>
      </c>
      <c r="D310" s="39"/>
      <c r="E310" s="39"/>
      <c r="F310" s="40"/>
      <c r="G310" s="40"/>
      <c r="H310" s="1" t="s">
        <v>857</v>
      </c>
      <c r="I310" s="1" t="s">
        <v>849</v>
      </c>
      <c r="J310" s="51" t="n">
        <v>0.55</v>
      </c>
    </row>
    <row r="311" customFormat="false" ht="15.75" hidden="true" customHeight="false" outlineLevel="0" collapsed="false">
      <c r="A311" s="13" t="s">
        <v>842</v>
      </c>
      <c r="B311" s="2" t="e">
        <f aca="false">OFFSET(Таблица2,309,1,1,1)&amp;"-"&amp;OFFSET(Таблица2,309,0,1,1)</f>
        <v>#VALUE!</v>
      </c>
      <c r="C311" s="2" t="s">
        <v>817</v>
      </c>
      <c r="D311" s="39"/>
      <c r="E311" s="39"/>
      <c r="F311" s="40"/>
      <c r="G311" s="40"/>
      <c r="H311" s="1" t="s">
        <v>857</v>
      </c>
      <c r="I311" s="1" t="s">
        <v>849</v>
      </c>
      <c r="J311" s="51" t="n">
        <v>0.55</v>
      </c>
    </row>
    <row r="312" customFormat="false" ht="15.75" hidden="true" customHeight="false" outlineLevel="0" collapsed="false">
      <c r="A312" s="13" t="s">
        <v>613</v>
      </c>
      <c r="B312" s="2" t="e">
        <f aca="false">OFFSET(Таблица2,310,1,1,1)&amp;"-"&amp;OFFSET(Таблица2,310,0,1,1)</f>
        <v>#VALUE!</v>
      </c>
      <c r="C312" s="2" t="s">
        <v>817</v>
      </c>
      <c r="D312" s="39"/>
      <c r="E312" s="39"/>
      <c r="F312" s="40"/>
      <c r="G312" s="40"/>
      <c r="H312" s="1" t="s">
        <v>857</v>
      </c>
      <c r="I312" s="1" t="s">
        <v>849</v>
      </c>
      <c r="J312" s="51" t="n">
        <v>0.55</v>
      </c>
    </row>
    <row r="313" customFormat="false" ht="15.75" hidden="true" customHeight="false" outlineLevel="0" collapsed="false">
      <c r="A313" s="13" t="s">
        <v>604</v>
      </c>
      <c r="B313" s="2" t="e">
        <f aca="false">OFFSET(Таблица2,311,1,1,1)&amp;"-"&amp;OFFSET(Таблица2,311,0,1,1)</f>
        <v>#VALUE!</v>
      </c>
      <c r="C313" s="2" t="s">
        <v>817</v>
      </c>
      <c r="D313" s="39"/>
      <c r="E313" s="39"/>
      <c r="F313" s="40"/>
      <c r="G313" s="40"/>
      <c r="H313" s="1" t="s">
        <v>857</v>
      </c>
      <c r="I313" s="1" t="s">
        <v>849</v>
      </c>
      <c r="J313" s="51" t="n">
        <v>0.55</v>
      </c>
    </row>
    <row r="314" customFormat="false" ht="15.75" hidden="true" customHeight="false" outlineLevel="0" collapsed="false">
      <c r="A314" s="13" t="s">
        <v>607</v>
      </c>
      <c r="B314" s="2" t="e">
        <f aca="false">OFFSET(Таблица2,312,1,1,1)&amp;"-"&amp;OFFSET(Таблица2,312,0,1,1)</f>
        <v>#VALUE!</v>
      </c>
      <c r="C314" s="2" t="s">
        <v>817</v>
      </c>
      <c r="D314" s="39"/>
      <c r="E314" s="39"/>
      <c r="F314" s="40"/>
      <c r="G314" s="40"/>
      <c r="H314" s="1" t="s">
        <v>857</v>
      </c>
      <c r="I314" s="1" t="s">
        <v>849</v>
      </c>
      <c r="J314" s="51" t="n">
        <v>0.55</v>
      </c>
    </row>
    <row r="315" customFormat="false" ht="15.75" hidden="true" customHeight="false" outlineLevel="0" collapsed="false">
      <c r="A315" s="13" t="s">
        <v>619</v>
      </c>
      <c r="B315" s="2" t="e">
        <f aca="false">OFFSET(Таблица2,313,1,1,1)&amp;"-"&amp;OFFSET(Таблица2,313,0,1,1)</f>
        <v>#VALUE!</v>
      </c>
      <c r="C315" s="2" t="s">
        <v>817</v>
      </c>
      <c r="D315" s="39"/>
      <c r="E315" s="39"/>
      <c r="F315" s="40"/>
      <c r="G315" s="40"/>
      <c r="H315" s="1" t="s">
        <v>857</v>
      </c>
      <c r="I315" s="1" t="s">
        <v>849</v>
      </c>
      <c r="J315" s="51" t="n">
        <v>0.55</v>
      </c>
    </row>
    <row r="316" customFormat="false" ht="15.75" hidden="true" customHeight="false" outlineLevel="0" collapsed="false">
      <c r="A316" s="13" t="s">
        <v>632</v>
      </c>
      <c r="B316" s="2" t="e">
        <f aca="false">OFFSET(Таблица2,314,1,1,1)&amp;"-"&amp;OFFSET(Таблица2,314,0,1,1)</f>
        <v>#VALUE!</v>
      </c>
      <c r="C316" s="2" t="s">
        <v>817</v>
      </c>
      <c r="D316" s="39"/>
      <c r="E316" s="39"/>
      <c r="F316" s="40"/>
      <c r="G316" s="40"/>
      <c r="H316" s="1" t="s">
        <v>857</v>
      </c>
      <c r="I316" s="1" t="s">
        <v>849</v>
      </c>
      <c r="J316" s="51" t="n">
        <v>0.55</v>
      </c>
    </row>
    <row r="317" customFormat="false" ht="15.75" hidden="true" customHeight="false" outlineLevel="0" collapsed="false">
      <c r="A317" s="13" t="s">
        <v>610</v>
      </c>
      <c r="B317" s="2" t="e">
        <f aca="false">OFFSET(Таблица2,315,1,1,1)&amp;"-"&amp;OFFSET(Таблица2,315,0,1,1)</f>
        <v>#VALUE!</v>
      </c>
      <c r="C317" s="2" t="s">
        <v>817</v>
      </c>
      <c r="D317" s="39"/>
      <c r="E317" s="39"/>
      <c r="F317" s="40"/>
      <c r="G317" s="40"/>
      <c r="H317" s="1" t="s">
        <v>857</v>
      </c>
      <c r="I317" s="1" t="s">
        <v>849</v>
      </c>
      <c r="J317" s="51" t="n">
        <v>0.55</v>
      </c>
    </row>
    <row r="318" customFormat="false" ht="15.75" hidden="true" customHeight="false" outlineLevel="0" collapsed="false">
      <c r="A318" s="13" t="s">
        <v>598</v>
      </c>
      <c r="B318" s="2" t="e">
        <f aca="false">OFFSET(Таблица2,316,1,1,1)&amp;"-"&amp;OFFSET(Таблица2,316,0,1,1)</f>
        <v>#VALUE!</v>
      </c>
      <c r="C318" s="2" t="s">
        <v>817</v>
      </c>
      <c r="D318" s="39"/>
      <c r="E318" s="39"/>
      <c r="F318" s="40"/>
      <c r="G318" s="40"/>
      <c r="H318" s="1" t="s">
        <v>857</v>
      </c>
      <c r="I318" s="1" t="s">
        <v>849</v>
      </c>
      <c r="J318" s="51" t="n">
        <v>0.55</v>
      </c>
    </row>
    <row r="319" customFormat="false" ht="15.75" hidden="true" customHeight="false" outlineLevel="0" collapsed="false">
      <c r="A319" s="13" t="s">
        <v>601</v>
      </c>
      <c r="B319" s="2" t="e">
        <f aca="false">OFFSET(Таблица2,317,1,1,1)&amp;"-"&amp;OFFSET(Таблица2,317,0,1,1)</f>
        <v>#VALUE!</v>
      </c>
      <c r="C319" s="2" t="s">
        <v>817</v>
      </c>
      <c r="D319" s="39"/>
      <c r="E319" s="39"/>
      <c r="F319" s="40"/>
      <c r="G319" s="40"/>
      <c r="H319" s="1" t="s">
        <v>857</v>
      </c>
      <c r="I319" s="1" t="s">
        <v>849</v>
      </c>
      <c r="J319" s="51" t="n">
        <v>0.55</v>
      </c>
    </row>
    <row r="320" customFormat="false" ht="15.75" hidden="true" customHeight="false" outlineLevel="0" collapsed="false">
      <c r="A320" s="13" t="s">
        <v>616</v>
      </c>
      <c r="B320" s="2" t="e">
        <f aca="false">OFFSET(Таблица2,318,1,1,1)&amp;"-"&amp;OFFSET(Таблица2,318,0,1,1)</f>
        <v>#VALUE!</v>
      </c>
      <c r="C320" s="2" t="s">
        <v>817</v>
      </c>
      <c r="D320" s="39"/>
      <c r="E320" s="39"/>
      <c r="F320" s="40"/>
      <c r="G320" s="40"/>
      <c r="H320" s="1" t="s">
        <v>857</v>
      </c>
      <c r="I320" s="1" t="s">
        <v>849</v>
      </c>
      <c r="J320" s="51" t="n">
        <v>0.55</v>
      </c>
    </row>
    <row r="321" customFormat="false" ht="15.75" hidden="true" customHeight="false" outlineLevel="0" collapsed="false">
      <c r="A321" s="13" t="s">
        <v>629</v>
      </c>
      <c r="B321" s="2" t="e">
        <f aca="false">OFFSET(Таблица2,319,1,1,1)&amp;"-"&amp;OFFSET(Таблица2,319,0,1,1)</f>
        <v>#VALUE!</v>
      </c>
      <c r="C321" s="2" t="s">
        <v>817</v>
      </c>
      <c r="D321" s="39"/>
      <c r="E321" s="39"/>
      <c r="F321" s="40"/>
      <c r="G321" s="40"/>
      <c r="H321" s="1" t="s">
        <v>857</v>
      </c>
      <c r="I321" s="1" t="s">
        <v>849</v>
      </c>
      <c r="J321" s="51" t="n">
        <v>0.55</v>
      </c>
    </row>
    <row r="322" customFormat="false" ht="15" hidden="true" customHeight="false" outlineLevel="0" collapsed="false">
      <c r="A322" s="2" t="s">
        <v>635</v>
      </c>
      <c r="B322" s="2" t="e">
        <f aca="false">OFFSET(Таблица2,320,1,1,1)&amp;"-"&amp;OFFSET(Таблица2,320,0,1,1)</f>
        <v>#VALUE!</v>
      </c>
      <c r="C322" s="2" t="s">
        <v>817</v>
      </c>
      <c r="D322" s="39"/>
      <c r="E322" s="39"/>
      <c r="F322" s="40"/>
      <c r="G322" s="40"/>
      <c r="H322" s="1" t="s">
        <v>857</v>
      </c>
      <c r="I322" s="1" t="s">
        <v>849</v>
      </c>
      <c r="J322" s="51" t="n">
        <v>0.55</v>
      </c>
    </row>
    <row r="323" customFormat="false" ht="15" hidden="true" customHeight="false" outlineLevel="0" collapsed="false">
      <c r="A323" s="2" t="s">
        <v>638</v>
      </c>
      <c r="B323" s="2" t="e">
        <f aca="false">OFFSET(Таблица2,321,1,1,1)&amp;"-"&amp;OFFSET(Таблица2,321,0,1,1)</f>
        <v>#VALUE!</v>
      </c>
      <c r="C323" s="2" t="s">
        <v>817</v>
      </c>
      <c r="D323" s="39"/>
      <c r="E323" s="39"/>
      <c r="F323" s="40"/>
      <c r="G323" s="40"/>
      <c r="H323" s="1" t="s">
        <v>857</v>
      </c>
      <c r="I323" s="1" t="s">
        <v>849</v>
      </c>
      <c r="J323" s="51" t="n">
        <v>0.55</v>
      </c>
    </row>
    <row r="324" customFormat="false" ht="15" hidden="true" customHeight="false" outlineLevel="0" collapsed="false">
      <c r="A324" s="2" t="s">
        <v>641</v>
      </c>
      <c r="B324" s="2" t="e">
        <f aca="false">OFFSET(Таблица2,322,1,1,1)&amp;"-"&amp;OFFSET(Таблица2,322,0,1,1)</f>
        <v>#VALUE!</v>
      </c>
      <c r="C324" s="2" t="s">
        <v>817</v>
      </c>
      <c r="D324" s="39"/>
      <c r="E324" s="39"/>
      <c r="F324" s="40"/>
      <c r="G324" s="40"/>
      <c r="H324" s="1" t="s">
        <v>857</v>
      </c>
      <c r="I324" s="1" t="s">
        <v>849</v>
      </c>
      <c r="J324" s="51" t="n">
        <v>0.55</v>
      </c>
    </row>
    <row r="325" customFormat="false" ht="15" hidden="true" customHeight="false" outlineLevel="0" collapsed="false">
      <c r="A325" s="2" t="s">
        <v>644</v>
      </c>
      <c r="B325" s="2" t="e">
        <f aca="false">OFFSET(Таблица2,323,1,1,1)&amp;"-"&amp;OFFSET(Таблица2,323,0,1,1)</f>
        <v>#VALUE!</v>
      </c>
      <c r="C325" s="2" t="s">
        <v>817</v>
      </c>
      <c r="D325" s="39"/>
      <c r="E325" s="39"/>
      <c r="F325" s="40"/>
      <c r="G325" s="40"/>
      <c r="H325" s="1" t="s">
        <v>857</v>
      </c>
      <c r="I325" s="1" t="s">
        <v>849</v>
      </c>
      <c r="J325" s="51" t="n">
        <v>0.55</v>
      </c>
    </row>
    <row r="326" customFormat="false" ht="15" hidden="true" customHeight="false" outlineLevel="0" collapsed="false">
      <c r="A326" s="2" t="s">
        <v>647</v>
      </c>
      <c r="B326" s="2" t="e">
        <f aca="false">OFFSET(Таблица2,324,1,1,1)&amp;"-"&amp;OFFSET(Таблица2,324,0,1,1)</f>
        <v>#VALUE!</v>
      </c>
      <c r="C326" s="2" t="s">
        <v>817</v>
      </c>
      <c r="D326" s="39"/>
      <c r="E326" s="39"/>
      <c r="F326" s="40"/>
      <c r="G326" s="40"/>
      <c r="H326" s="1" t="s">
        <v>857</v>
      </c>
      <c r="I326" s="1" t="s">
        <v>849</v>
      </c>
      <c r="J326" s="51" t="n">
        <v>0.55</v>
      </c>
    </row>
    <row r="327" customFormat="false" ht="15" hidden="true" customHeight="false" outlineLevel="0" collapsed="false">
      <c r="A327" s="2" t="s">
        <v>650</v>
      </c>
      <c r="B327" s="2" t="e">
        <f aca="false">OFFSET(Таблица2,325,1,1,1)&amp;"-"&amp;OFFSET(Таблица2,325,0,1,1)</f>
        <v>#VALUE!</v>
      </c>
      <c r="C327" s="2" t="s">
        <v>817</v>
      </c>
      <c r="D327" s="39"/>
      <c r="E327" s="39"/>
      <c r="F327" s="40"/>
      <c r="G327" s="40"/>
      <c r="H327" s="1" t="s">
        <v>857</v>
      </c>
      <c r="I327" s="1" t="s">
        <v>849</v>
      </c>
      <c r="J327" s="51" t="n">
        <v>0.55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ColWidth="8.859375" defaultRowHeight="15" zeroHeight="false" outlineLevelRow="0" outlineLevelCol="0"/>
  <cols>
    <col collapsed="false" customWidth="false" hidden="false" outlineLevel="0" max="4" min="1" style="2" width="8.86"/>
    <col collapsed="false" customWidth="true" hidden="false" outlineLevel="0" max="5" min="5" style="3" width="45.57"/>
    <col collapsed="false" customWidth="true" hidden="false" outlineLevel="0" max="6" min="6" style="2" width="22.71"/>
    <col collapsed="false" customWidth="true" hidden="false" outlineLevel="0" max="8" min="7" style="2" width="9.43"/>
    <col collapsed="false" customWidth="true" hidden="false" outlineLevel="0" max="9" min="9" style="2" width="12.72"/>
    <col collapsed="false" customWidth="true" hidden="false" outlineLevel="0" max="10" min="10" style="2" width="18.29"/>
    <col collapsed="false" customWidth="true" hidden="false" outlineLevel="0" max="11" min="11" style="2" width="20"/>
    <col collapsed="false" customWidth="false" hidden="false" outlineLevel="0" max="16384" min="12" style="2" width="8.86"/>
  </cols>
  <sheetData>
    <row r="2" customFormat="false" ht="15" hidden="false" customHeight="false" outlineLevel="0" collapsed="false">
      <c r="A2" s="52" t="s">
        <v>878</v>
      </c>
    </row>
    <row r="8" customFormat="false" ht="15" hidden="false" customHeight="false" outlineLevel="0" collapsed="false">
      <c r="G8" s="2" t="s">
        <v>0</v>
      </c>
    </row>
    <row r="10" customFormat="false" ht="15" hidden="false" customHeight="true" outlineLevel="0" collapsed="false">
      <c r="F10" s="53" t="s">
        <v>879</v>
      </c>
      <c r="G10" s="53"/>
      <c r="H10" s="2" t="s">
        <v>880</v>
      </c>
      <c r="I10" s="53" t="s">
        <v>881</v>
      </c>
      <c r="J10" s="54" t="s">
        <v>882</v>
      </c>
      <c r="K10" s="53" t="s">
        <v>883</v>
      </c>
    </row>
    <row r="11" s="1" customFormat="true" ht="15" hidden="false" customHeight="false" outlineLevel="0" collapsed="false">
      <c r="E11" s="55"/>
      <c r="F11" s="1" t="s">
        <v>884</v>
      </c>
      <c r="G11" s="1" t="s">
        <v>885</v>
      </c>
      <c r="H11" s="1" t="s">
        <v>886</v>
      </c>
      <c r="I11" s="53"/>
      <c r="J11" s="54"/>
      <c r="K11" s="53"/>
    </row>
    <row r="12" customFormat="false" ht="28.15" hidden="false" customHeight="true" outlineLevel="0" collapsed="false">
      <c r="E12" s="3" t="s">
        <v>887</v>
      </c>
      <c r="F12" s="56" t="n">
        <v>4</v>
      </c>
      <c r="G12" s="57" t="n">
        <v>8</v>
      </c>
      <c r="H12" s="57" t="n">
        <v>2</v>
      </c>
      <c r="I12" s="1" t="s">
        <v>888</v>
      </c>
      <c r="J12" s="58" t="s">
        <v>889</v>
      </c>
      <c r="K12" s="59" t="s">
        <v>890</v>
      </c>
    </row>
    <row r="13" s="3" customFormat="true" ht="28.15" hidden="false" customHeight="true" outlineLevel="0" collapsed="false">
      <c r="E13" s="3" t="s">
        <v>891</v>
      </c>
      <c r="F13" s="56" t="n">
        <v>4</v>
      </c>
      <c r="G13" s="60" t="n">
        <v>20</v>
      </c>
      <c r="H13" s="60" t="n">
        <v>2</v>
      </c>
      <c r="I13" s="1" t="s">
        <v>888</v>
      </c>
      <c r="J13" s="58" t="s">
        <v>889</v>
      </c>
      <c r="K13" s="59" t="s">
        <v>890</v>
      </c>
    </row>
    <row r="20" s="2" customFormat="true" ht="15" hidden="false" customHeight="false" outlineLevel="0" collapsed="false"/>
    <row r="21" s="2" customFormat="true" ht="15" hidden="false" customHeight="false" outlineLevel="0" collapsed="false"/>
    <row r="22" s="2" customFormat="true" ht="15" hidden="false" customHeight="false" outlineLevel="0" collapsed="false"/>
    <row r="23" customFormat="false" ht="15" hidden="false" customHeight="false" outlineLevel="0" collapsed="false">
      <c r="E23" s="2" t="s">
        <v>892</v>
      </c>
      <c r="F23" s="2" t="s">
        <v>893</v>
      </c>
    </row>
    <row r="24" customFormat="false" ht="15" hidden="false" customHeight="false" outlineLevel="0" collapsed="false">
      <c r="E24" s="2" t="s">
        <v>894</v>
      </c>
      <c r="F24" s="2" t="s">
        <v>895</v>
      </c>
    </row>
    <row r="25" customFormat="false" ht="15" hidden="false" customHeight="false" outlineLevel="0" collapsed="false">
      <c r="E25" s="2" t="s">
        <v>896</v>
      </c>
      <c r="F25" s="2" t="s">
        <v>897</v>
      </c>
    </row>
    <row r="26" customFormat="false" ht="15" hidden="false" customHeight="false" outlineLevel="0" collapsed="false">
      <c r="E26" s="2" t="s">
        <v>898</v>
      </c>
      <c r="F26" s="2" t="s">
        <v>899</v>
      </c>
    </row>
    <row r="27" customFormat="false" ht="15" hidden="false" customHeight="false" outlineLevel="0" collapsed="false">
      <c r="E27" s="2" t="s">
        <v>900</v>
      </c>
      <c r="F27" s="2" t="s">
        <v>901</v>
      </c>
    </row>
    <row r="28" customFormat="false" ht="15" hidden="false" customHeight="false" outlineLevel="0" collapsed="false">
      <c r="E28" s="2" t="s">
        <v>902</v>
      </c>
      <c r="F28" s="2" t="s">
        <v>903</v>
      </c>
    </row>
    <row r="29" customFormat="false" ht="15" hidden="false" customHeight="false" outlineLevel="0" collapsed="false">
      <c r="E29" s="2" t="s">
        <v>904</v>
      </c>
      <c r="F29" s="2" t="s">
        <v>905</v>
      </c>
    </row>
    <row r="30" customFormat="false" ht="15" hidden="false" customHeight="false" outlineLevel="0" collapsed="false">
      <c r="E30" s="2" t="s">
        <v>906</v>
      </c>
      <c r="F30" s="2" t="s">
        <v>907</v>
      </c>
    </row>
    <row r="31" customFormat="false" ht="15" hidden="false" customHeight="false" outlineLevel="0" collapsed="false">
      <c r="E31" s="2" t="s">
        <v>908</v>
      </c>
      <c r="F31" s="2" t="s">
        <v>909</v>
      </c>
    </row>
    <row r="32" customFormat="false" ht="15" hidden="false" customHeight="false" outlineLevel="0" collapsed="false">
      <c r="E32" s="2" t="s">
        <v>910</v>
      </c>
      <c r="F32" s="2" t="s">
        <v>911</v>
      </c>
    </row>
    <row r="33" s="2" customFormat="true" ht="15" hidden="false" customHeight="false" outlineLevel="0" collapsed="false"/>
    <row r="34" s="2" customFormat="true" ht="15" hidden="false" customHeight="false" outlineLevel="0" collapsed="false"/>
    <row r="35" s="2" customFormat="true" ht="15" hidden="false" customHeight="false" outlineLevel="0" collapsed="false"/>
    <row r="36" s="2" customFormat="true" ht="15" hidden="false" customHeight="false" outlineLevel="0" collapsed="false"/>
  </sheetData>
  <mergeCells count="4">
    <mergeCell ref="F10:G10"/>
    <mergeCell ref="I10:I11"/>
    <mergeCell ref="J10:J11"/>
    <mergeCell ref="K10:K11"/>
  </mergeCells>
  <hyperlinks>
    <hyperlink ref="A2" r:id="rId1" location="internal-storage" display="https://lenovopress.lenovo.com/lp1392-thinksystem-sr650-v2-server#internal-storag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4"/>
  <sheetViews>
    <sheetView showFormulas="false" showGridLines="true" showRowColHeaders="true" showZeros="true" rightToLeft="false" tabSelected="false" showOutlineSymbols="true" defaultGridColor="true" view="normal" topLeftCell="A61" colorId="64" zoomScale="85" zoomScaleNormal="85" zoomScalePageLayoutView="100" workbookViewId="0">
      <selection pane="topLeft" activeCell="G38" activeCellId="0" sqref="G38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6.71"/>
    <col collapsed="false" customWidth="true" hidden="false" outlineLevel="0" max="4" min="4" style="4" width="7.57"/>
    <col collapsed="false" customWidth="true" hidden="false" outlineLevel="0" max="5" min="5" style="0" width="10.29"/>
    <col collapsed="false" customWidth="true" hidden="false" outlineLevel="0" max="6" min="6" style="0" width="11"/>
    <col collapsed="false" customWidth="true" hidden="false" outlineLevel="0" max="7" min="7" style="0" width="10.86"/>
    <col collapsed="false" customWidth="true" hidden="false" outlineLevel="0" max="9" min="8" style="0" width="7.72"/>
    <col collapsed="false" customWidth="true" hidden="false" outlineLevel="0" max="11" min="11" style="0" width="11.15"/>
    <col collapsed="false" customWidth="true" hidden="false" outlineLevel="0" max="18" min="12" style="0" width="11.43"/>
  </cols>
  <sheetData>
    <row r="1" customFormat="false" ht="15" hidden="false" customHeight="false" outlineLevel="0" collapsed="false">
      <c r="C1" s="4"/>
      <c r="D1" s="0"/>
    </row>
    <row r="2" customFormat="false" ht="21" hidden="false" customHeight="false" outlineLevel="0" collapsed="false">
      <c r="B2" s="61" t="s">
        <v>912</v>
      </c>
      <c r="C2" s="4"/>
      <c r="D2" s="0"/>
    </row>
    <row r="3" customFormat="false" ht="15" hidden="false" customHeight="false" outlineLevel="0" collapsed="false">
      <c r="C3" s="4"/>
      <c r="D3" s="0"/>
    </row>
    <row r="4" s="62" customFormat="true" ht="31.15" hidden="false" customHeight="true" outlineLevel="0" collapsed="false">
      <c r="B4" s="63" t="s">
        <v>913</v>
      </c>
      <c r="C4" s="63" t="s">
        <v>881</v>
      </c>
      <c r="D4" s="63" t="s">
        <v>914</v>
      </c>
      <c r="E4" s="63" t="s">
        <v>915</v>
      </c>
      <c r="F4" s="63" t="s">
        <v>916</v>
      </c>
      <c r="G4" s="63" t="s">
        <v>917</v>
      </c>
      <c r="H4" s="63" t="s">
        <v>918</v>
      </c>
      <c r="I4" s="63" t="s">
        <v>919</v>
      </c>
      <c r="J4" s="63"/>
    </row>
    <row r="5" customFormat="false" ht="15" hidden="false" customHeight="false" outlineLevel="0" collapsed="false">
      <c r="B5" s="4" t="n">
        <v>1</v>
      </c>
      <c r="C5" s="4" t="n">
        <v>1</v>
      </c>
      <c r="D5" s="4" t="n">
        <v>0</v>
      </c>
      <c r="E5" s="64" t="n">
        <v>0</v>
      </c>
      <c r="F5" s="4" t="n">
        <v>4</v>
      </c>
      <c r="G5" s="64" t="s">
        <v>920</v>
      </c>
      <c r="H5" s="4" t="n">
        <v>2</v>
      </c>
      <c r="I5" s="4" t="n">
        <v>2</v>
      </c>
      <c r="J5" s="4"/>
    </row>
    <row r="6" customFormat="false" ht="15" hidden="false" customHeight="false" outlineLevel="0" collapsed="false">
      <c r="B6" s="4" t="n">
        <v>2</v>
      </c>
      <c r="C6" s="4" t="n">
        <v>1</v>
      </c>
      <c r="D6" s="4" t="n">
        <v>1</v>
      </c>
      <c r="E6" s="4" t="n">
        <v>4</v>
      </c>
      <c r="F6" s="4" t="n">
        <v>3</v>
      </c>
      <c r="G6" s="64" t="s">
        <v>921</v>
      </c>
      <c r="H6" s="4" t="n">
        <v>2</v>
      </c>
      <c r="I6" s="4" t="n">
        <v>1</v>
      </c>
      <c r="J6" s="4"/>
    </row>
    <row r="7" customFormat="false" ht="15" hidden="false" customHeight="false" outlineLevel="0" collapsed="false">
      <c r="B7" s="4" t="n">
        <v>3</v>
      </c>
      <c r="C7" s="4" t="n">
        <v>1</v>
      </c>
      <c r="D7" s="4" t="n">
        <v>1</v>
      </c>
      <c r="E7" s="4" t="n">
        <v>3</v>
      </c>
      <c r="F7" s="4" t="n">
        <v>3</v>
      </c>
      <c r="G7" s="64" t="s">
        <v>922</v>
      </c>
      <c r="H7" s="4" t="n">
        <v>2</v>
      </c>
      <c r="I7" s="4" t="n">
        <v>1</v>
      </c>
      <c r="J7" s="4"/>
    </row>
    <row r="8" customFormat="false" ht="15" hidden="false" customHeight="false" outlineLevel="0" collapsed="false">
      <c r="B8" s="4" t="n">
        <v>4</v>
      </c>
      <c r="C8" s="4" t="n">
        <v>1</v>
      </c>
      <c r="D8" s="4" t="n">
        <v>1</v>
      </c>
      <c r="E8" s="64" t="n">
        <v>1</v>
      </c>
      <c r="F8" s="4" t="n">
        <v>3</v>
      </c>
      <c r="G8" s="64" t="s">
        <v>923</v>
      </c>
      <c r="H8" s="4" t="n">
        <v>1</v>
      </c>
      <c r="I8" s="4" t="n">
        <v>2</v>
      </c>
      <c r="J8" s="4"/>
    </row>
    <row r="9" customFormat="false" ht="15" hidden="false" customHeight="false" outlineLevel="0" collapsed="false">
      <c r="B9" s="4" t="n">
        <v>5</v>
      </c>
      <c r="C9" s="4" t="n">
        <v>1</v>
      </c>
      <c r="D9" s="4" t="n">
        <v>2</v>
      </c>
      <c r="E9" s="64" t="s">
        <v>924</v>
      </c>
      <c r="F9" s="4" t="n">
        <v>2</v>
      </c>
      <c r="G9" s="64" t="s">
        <v>925</v>
      </c>
      <c r="H9" s="4" t="n">
        <v>1</v>
      </c>
      <c r="I9" s="4" t="n">
        <v>1</v>
      </c>
      <c r="J9" s="4"/>
    </row>
    <row r="10" customFormat="false" ht="15" hidden="false" customHeight="false" outlineLevel="0" collapsed="false">
      <c r="B10" s="4" t="n">
        <v>6</v>
      </c>
      <c r="C10" s="4" t="n">
        <v>1</v>
      </c>
      <c r="D10" s="4" t="n">
        <v>2</v>
      </c>
      <c r="E10" s="64" t="s">
        <v>926</v>
      </c>
      <c r="F10" s="4" t="n">
        <v>2</v>
      </c>
      <c r="G10" s="64" t="s">
        <v>927</v>
      </c>
      <c r="H10" s="4" t="n">
        <v>1</v>
      </c>
      <c r="I10" s="4" t="n">
        <v>1</v>
      </c>
      <c r="J10" s="4"/>
    </row>
    <row r="11" customFormat="false" ht="15" hidden="false" customHeight="false" outlineLevel="0" collapsed="false">
      <c r="B11" s="4" t="n">
        <v>7</v>
      </c>
      <c r="C11" s="4" t="n">
        <v>1</v>
      </c>
      <c r="D11" s="4" t="n">
        <v>3</v>
      </c>
      <c r="E11" s="64" t="s">
        <v>928</v>
      </c>
      <c r="F11" s="4" t="n">
        <v>1</v>
      </c>
      <c r="G11" s="64" t="n">
        <v>2</v>
      </c>
      <c r="H11" s="4" t="n">
        <v>1</v>
      </c>
      <c r="I11" s="4" t="n">
        <v>0</v>
      </c>
      <c r="J11" s="4"/>
    </row>
    <row r="12" customFormat="false" ht="15" hidden="false" customHeight="false" outlineLevel="0" collapsed="false">
      <c r="B12" s="4" t="n">
        <v>8</v>
      </c>
      <c r="C12" s="4" t="n">
        <v>2</v>
      </c>
      <c r="D12" s="4" t="n">
        <v>0</v>
      </c>
      <c r="E12" s="64" t="n">
        <v>0</v>
      </c>
      <c r="F12" s="4" t="n">
        <v>4</v>
      </c>
      <c r="G12" s="64" t="s">
        <v>920</v>
      </c>
      <c r="H12" s="4" t="n">
        <v>2</v>
      </c>
      <c r="I12" s="4" t="n">
        <v>2</v>
      </c>
      <c r="J12" s="4"/>
    </row>
    <row r="13" customFormat="false" ht="15" hidden="false" customHeight="false" outlineLevel="0" collapsed="false">
      <c r="B13" s="4" t="n">
        <v>9</v>
      </c>
      <c r="C13" s="4" t="n">
        <v>2</v>
      </c>
      <c r="D13" s="4" t="n">
        <v>1</v>
      </c>
      <c r="E13" s="4" t="n">
        <v>1</v>
      </c>
      <c r="F13" s="4" t="n">
        <v>3</v>
      </c>
      <c r="G13" s="64" t="s">
        <v>929</v>
      </c>
      <c r="H13" s="4" t="n">
        <v>1</v>
      </c>
      <c r="I13" s="4" t="n">
        <v>2</v>
      </c>
      <c r="J13" s="4"/>
    </row>
    <row r="14" customFormat="false" ht="15" hidden="false" customHeight="false" outlineLevel="0" collapsed="false">
      <c r="B14" s="4" t="n">
        <v>10</v>
      </c>
      <c r="C14" s="4" t="n">
        <v>2</v>
      </c>
      <c r="D14" s="4" t="n">
        <v>1</v>
      </c>
      <c r="E14" s="4" t="n">
        <v>2</v>
      </c>
      <c r="F14" s="4" t="n">
        <v>3</v>
      </c>
      <c r="G14" s="64" t="s">
        <v>930</v>
      </c>
      <c r="H14" s="4" t="n">
        <v>1</v>
      </c>
      <c r="I14" s="4" t="n">
        <v>2</v>
      </c>
      <c r="J14" s="4"/>
    </row>
    <row r="15" customFormat="false" ht="15" hidden="false" customHeight="false" outlineLevel="0" collapsed="false">
      <c r="B15" s="4" t="n">
        <v>11</v>
      </c>
      <c r="C15" s="4" t="n">
        <v>2</v>
      </c>
      <c r="D15" s="4" t="n">
        <v>1</v>
      </c>
      <c r="E15" s="4" t="n">
        <v>3</v>
      </c>
      <c r="F15" s="4" t="n">
        <v>3</v>
      </c>
      <c r="G15" s="64" t="s">
        <v>922</v>
      </c>
      <c r="H15" s="4" t="n">
        <v>2</v>
      </c>
      <c r="I15" s="4" t="n">
        <v>1</v>
      </c>
      <c r="J15" s="4"/>
    </row>
    <row r="16" customFormat="false" ht="15" hidden="false" customHeight="false" outlineLevel="0" collapsed="false">
      <c r="B16" s="4" t="n">
        <v>12</v>
      </c>
      <c r="C16" s="4" t="n">
        <v>2</v>
      </c>
      <c r="D16" s="4" t="n">
        <v>1</v>
      </c>
      <c r="E16" s="4" t="n">
        <v>4</v>
      </c>
      <c r="F16" s="4" t="n">
        <v>3</v>
      </c>
      <c r="G16" s="64" t="s">
        <v>921</v>
      </c>
      <c r="H16" s="4" t="n">
        <v>2</v>
      </c>
      <c r="I16" s="4" t="n">
        <v>1</v>
      </c>
      <c r="J16" s="4"/>
    </row>
    <row r="17" customFormat="false" ht="15" hidden="false" customHeight="false" outlineLevel="0" collapsed="false">
      <c r="B17" s="4" t="n">
        <v>13</v>
      </c>
      <c r="C17" s="4" t="n">
        <v>2</v>
      </c>
      <c r="D17" s="4" t="n">
        <v>2</v>
      </c>
      <c r="E17" s="64" t="s">
        <v>931</v>
      </c>
      <c r="F17" s="4" t="n">
        <v>2</v>
      </c>
      <c r="G17" s="64" t="s">
        <v>932</v>
      </c>
      <c r="H17" s="4" t="n">
        <v>0</v>
      </c>
      <c r="I17" s="4" t="n">
        <v>2</v>
      </c>
      <c r="J17" s="4"/>
    </row>
    <row r="18" customFormat="false" ht="15" hidden="false" customHeight="false" outlineLevel="0" collapsed="false">
      <c r="B18" s="4" t="n">
        <v>14</v>
      </c>
      <c r="C18" s="4" t="n">
        <v>2</v>
      </c>
      <c r="D18" s="4" t="n">
        <v>2</v>
      </c>
      <c r="E18" s="64" t="s">
        <v>924</v>
      </c>
      <c r="F18" s="4" t="n">
        <v>2</v>
      </c>
      <c r="G18" s="64" t="s">
        <v>925</v>
      </c>
      <c r="H18" s="4" t="n">
        <v>1</v>
      </c>
      <c r="I18" s="4" t="n">
        <v>1</v>
      </c>
      <c r="J18" s="4"/>
    </row>
    <row r="19" customFormat="false" ht="15" hidden="false" customHeight="false" outlineLevel="0" collapsed="false">
      <c r="B19" s="4" t="n">
        <v>15</v>
      </c>
      <c r="C19" s="4" t="n">
        <v>2</v>
      </c>
      <c r="D19" s="4" t="n">
        <v>2</v>
      </c>
      <c r="E19" s="64" t="s">
        <v>927</v>
      </c>
      <c r="F19" s="4" t="n">
        <v>2</v>
      </c>
      <c r="G19" s="64" t="s">
        <v>926</v>
      </c>
      <c r="H19" s="4" t="n">
        <v>1</v>
      </c>
      <c r="I19" s="4" t="n">
        <v>1</v>
      </c>
      <c r="J19" s="4"/>
    </row>
    <row r="20" customFormat="false" ht="15" hidden="false" customHeight="false" outlineLevel="0" collapsed="false">
      <c r="B20" s="4" t="n">
        <v>16</v>
      </c>
      <c r="C20" s="4" t="n">
        <v>2</v>
      </c>
      <c r="D20" s="4" t="n">
        <v>2</v>
      </c>
      <c r="E20" s="64" t="s">
        <v>932</v>
      </c>
      <c r="F20" s="4" t="n">
        <v>2</v>
      </c>
      <c r="G20" s="64" t="s">
        <v>933</v>
      </c>
      <c r="H20" s="4" t="n">
        <v>2</v>
      </c>
      <c r="I20" s="4" t="n">
        <v>0</v>
      </c>
      <c r="J20" s="4"/>
    </row>
    <row r="21" customFormat="false" ht="15" hidden="false" customHeight="false" outlineLevel="0" collapsed="false">
      <c r="B21" s="4" t="n">
        <v>17</v>
      </c>
      <c r="C21" s="4" t="n">
        <v>2</v>
      </c>
      <c r="D21" s="4" t="n">
        <v>3</v>
      </c>
      <c r="E21" s="64" t="s">
        <v>921</v>
      </c>
      <c r="F21" s="4" t="n">
        <v>1</v>
      </c>
      <c r="G21" s="64" t="s">
        <v>934</v>
      </c>
      <c r="H21" s="4" t="n">
        <v>0</v>
      </c>
      <c r="I21" s="4" t="n">
        <v>1</v>
      </c>
      <c r="J21" s="4"/>
    </row>
    <row r="22" customFormat="false" ht="15" hidden="false" customHeight="false" outlineLevel="0" collapsed="false">
      <c r="B22" s="4" t="n">
        <v>18</v>
      </c>
      <c r="C22" s="4" t="n">
        <v>2</v>
      </c>
      <c r="D22" s="4" t="n">
        <v>3</v>
      </c>
      <c r="E22" s="64" t="s">
        <v>922</v>
      </c>
      <c r="F22" s="4" t="n">
        <v>1</v>
      </c>
      <c r="G22" s="64" t="s">
        <v>935</v>
      </c>
      <c r="H22" s="4" t="n">
        <v>0</v>
      </c>
      <c r="I22" s="4" t="n">
        <v>1</v>
      </c>
      <c r="J22" s="4"/>
    </row>
    <row r="23" customFormat="false" ht="15" hidden="false" customHeight="false" outlineLevel="0" collapsed="false">
      <c r="B23" s="4" t="n">
        <v>19</v>
      </c>
      <c r="C23" s="4" t="n">
        <v>2</v>
      </c>
      <c r="D23" s="4" t="n">
        <v>3</v>
      </c>
      <c r="E23" s="64" t="s">
        <v>930</v>
      </c>
      <c r="F23" s="4" t="n">
        <v>1</v>
      </c>
      <c r="G23" s="64" t="s">
        <v>936</v>
      </c>
      <c r="H23" s="4" t="n">
        <v>1</v>
      </c>
      <c r="I23" s="4" t="n">
        <v>0</v>
      </c>
      <c r="J23" s="4"/>
    </row>
    <row r="24" customFormat="false" ht="15" hidden="false" customHeight="false" outlineLevel="0" collapsed="false">
      <c r="B24" s="4" t="n">
        <v>20</v>
      </c>
      <c r="C24" s="4" t="n">
        <v>2</v>
      </c>
      <c r="D24" s="4" t="n">
        <v>3</v>
      </c>
      <c r="E24" s="64" t="s">
        <v>923</v>
      </c>
      <c r="F24" s="4" t="n">
        <v>1</v>
      </c>
      <c r="G24" s="64" t="s">
        <v>937</v>
      </c>
      <c r="H24" s="4" t="n">
        <v>1</v>
      </c>
      <c r="I24" s="4" t="n">
        <v>0</v>
      </c>
      <c r="J24" s="4"/>
    </row>
    <row r="25" customFormat="false" ht="15" hidden="false" customHeight="false" outlineLevel="0" collapsed="false">
      <c r="B25" s="4" t="n">
        <v>21</v>
      </c>
      <c r="C25" s="4" t="n">
        <v>2</v>
      </c>
      <c r="D25" s="4" t="n">
        <v>4</v>
      </c>
      <c r="E25" s="65" t="s">
        <v>920</v>
      </c>
      <c r="F25" s="4" t="n">
        <v>0</v>
      </c>
      <c r="G25" s="4" t="n">
        <v>0</v>
      </c>
      <c r="H25" s="4" t="n">
        <v>0</v>
      </c>
      <c r="I25" s="4" t="n">
        <v>0</v>
      </c>
      <c r="J25" s="4"/>
    </row>
    <row r="27" customFormat="false" ht="21" hidden="false" customHeight="false" outlineLevel="0" collapsed="false">
      <c r="B27" s="61" t="s">
        <v>938</v>
      </c>
      <c r="C27" s="4"/>
      <c r="D27" s="0"/>
    </row>
    <row r="28" customFormat="false" ht="15" hidden="false" customHeight="false" outlineLevel="0" collapsed="false">
      <c r="C28" s="4"/>
      <c r="D28" s="0"/>
    </row>
    <row r="29" s="62" customFormat="true" ht="31.15" hidden="false" customHeight="true" outlineLevel="0" collapsed="false">
      <c r="B29" s="63" t="s">
        <v>913</v>
      </c>
      <c r="C29" s="63" t="s">
        <v>881</v>
      </c>
      <c r="D29" s="63" t="s">
        <v>914</v>
      </c>
      <c r="E29" s="63" t="s">
        <v>915</v>
      </c>
      <c r="F29" s="63"/>
    </row>
    <row r="30" customFormat="false" ht="15" hidden="false" customHeight="false" outlineLevel="0" collapsed="false">
      <c r="B30" s="4" t="n">
        <v>1</v>
      </c>
      <c r="C30" s="4" t="n">
        <v>1</v>
      </c>
      <c r="D30" s="4" t="n">
        <v>0</v>
      </c>
      <c r="E30" s="4" t="n">
        <v>0</v>
      </c>
      <c r="F30" s="4"/>
    </row>
    <row r="31" customFormat="false" ht="15" hidden="false" customHeight="false" outlineLevel="0" collapsed="false">
      <c r="B31" s="4" t="n">
        <v>2</v>
      </c>
      <c r="C31" s="4" t="n">
        <v>1</v>
      </c>
      <c r="D31" s="4" t="n">
        <v>1</v>
      </c>
      <c r="E31" s="4" t="n">
        <v>1</v>
      </c>
      <c r="F31" s="4"/>
    </row>
    <row r="32" customFormat="false" ht="15" hidden="false" customHeight="false" outlineLevel="0" collapsed="false">
      <c r="B32" s="4" t="n">
        <v>3</v>
      </c>
      <c r="C32" s="4" t="n">
        <v>2</v>
      </c>
      <c r="D32" s="4" t="n">
        <v>1</v>
      </c>
      <c r="E32" s="4" t="n">
        <v>1</v>
      </c>
      <c r="F32" s="4"/>
    </row>
    <row r="33" customFormat="false" ht="15" hidden="false" customHeight="false" outlineLevel="0" collapsed="false">
      <c r="B33" s="4" t="n">
        <v>4</v>
      </c>
      <c r="C33" s="4" t="n">
        <v>2</v>
      </c>
      <c r="D33" s="4" t="n">
        <v>1</v>
      </c>
      <c r="E33" s="4" t="n">
        <v>2</v>
      </c>
      <c r="F33" s="4"/>
    </row>
    <row r="34" customFormat="false" ht="15" hidden="false" customHeight="false" outlineLevel="0" collapsed="false">
      <c r="B34" s="4" t="n">
        <v>5</v>
      </c>
      <c r="C34" s="4" t="n">
        <v>2</v>
      </c>
      <c r="D34" s="4" t="n">
        <v>2</v>
      </c>
      <c r="E34" s="4" t="n">
        <v>1.2</v>
      </c>
      <c r="F3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59765625" defaultRowHeight="15" zeroHeight="false" outlineLevelRow="0" outlineLevelCol="0"/>
  <cols>
    <col collapsed="false" customWidth="true" hidden="false" outlineLevel="0" max="9" min="9" style="0" width="15.28"/>
    <col collapsed="false" customWidth="true" hidden="false" outlineLevel="0" max="10" min="10" style="0" width="13.29"/>
    <col collapsed="false" customWidth="true" hidden="false" outlineLevel="0" max="11" min="11" style="0" width="13.71"/>
    <col collapsed="false" customWidth="true" hidden="false" outlineLevel="0" max="12" min="12" style="0" width="15.28"/>
    <col collapsed="false" customWidth="true" hidden="false" outlineLevel="0" max="13" min="13" style="0" width="13.14"/>
    <col collapsed="false" customWidth="true" hidden="false" outlineLevel="0" max="14" min="14" style="0" width="12.29"/>
  </cols>
  <sheetData>
    <row r="2" customFormat="false" ht="15" hidden="false" customHeight="false" outlineLevel="0" collapsed="false">
      <c r="B2" s="0" t="s">
        <v>939</v>
      </c>
      <c r="I2" s="0" t="s">
        <v>940</v>
      </c>
    </row>
    <row r="4" customFormat="false" ht="15" hidden="false" customHeight="false" outlineLevel="0" collapsed="false">
      <c r="J4" s="0" t="s">
        <v>941</v>
      </c>
      <c r="M4" s="0" t="s">
        <v>942</v>
      </c>
      <c r="N4" s="0" t="s">
        <v>943</v>
      </c>
    </row>
    <row r="5" customFormat="false" ht="30" hidden="false" customHeight="false" outlineLevel="0" collapsed="false">
      <c r="I5" s="66" t="s">
        <v>944</v>
      </c>
      <c r="J5" s="7" t="s">
        <v>945</v>
      </c>
      <c r="K5" s="66" t="s">
        <v>917</v>
      </c>
      <c r="L5" s="66" t="s">
        <v>946</v>
      </c>
      <c r="M5" s="0" t="s">
        <v>505</v>
      </c>
      <c r="N5" s="0" t="s">
        <v>501</v>
      </c>
    </row>
    <row r="6" customFormat="false" ht="15" hidden="false" customHeight="false" outlineLevel="0" collapsed="false">
      <c r="I6" s="1" t="n">
        <v>1</v>
      </c>
      <c r="J6" s="1" t="n">
        <v>1</v>
      </c>
      <c r="K6" s="67" t="s">
        <v>935</v>
      </c>
      <c r="L6" s="67" t="s">
        <v>922</v>
      </c>
      <c r="M6" s="4"/>
      <c r="N6" s="4"/>
    </row>
    <row r="7" customFormat="false" ht="15" hidden="false" customHeight="false" outlineLevel="0" collapsed="false">
      <c r="I7" s="1" t="n">
        <v>1</v>
      </c>
      <c r="J7" s="1" t="n">
        <v>1</v>
      </c>
      <c r="K7" s="67" t="s">
        <v>934</v>
      </c>
      <c r="L7" s="67" t="s">
        <v>921</v>
      </c>
      <c r="M7" s="4"/>
      <c r="N7" s="4"/>
    </row>
    <row r="8" customFormat="false" ht="15" hidden="false" customHeight="false" outlineLevel="0" collapsed="false">
      <c r="I8" s="1" t="n">
        <v>2</v>
      </c>
      <c r="J8" s="1" t="n">
        <v>1</v>
      </c>
      <c r="K8" s="67" t="s">
        <v>935</v>
      </c>
      <c r="L8" s="67" t="s">
        <v>922</v>
      </c>
      <c r="M8" s="4"/>
      <c r="N8" s="4"/>
    </row>
    <row r="9" customFormat="false" ht="15" hidden="false" customHeight="false" outlineLevel="0" collapsed="false">
      <c r="I9" s="1" t="n">
        <v>2</v>
      </c>
      <c r="J9" s="1" t="n">
        <v>1</v>
      </c>
      <c r="K9" s="67" t="s">
        <v>934</v>
      </c>
      <c r="L9" s="67" t="s">
        <v>921</v>
      </c>
      <c r="M9" s="4"/>
      <c r="N9" s="4"/>
    </row>
    <row r="10" customFormat="false" ht="15" hidden="false" customHeight="false" outlineLevel="0" collapsed="false">
      <c r="I10" s="1" t="n">
        <v>3</v>
      </c>
      <c r="J10" s="1" t="n">
        <v>2</v>
      </c>
      <c r="K10" s="67" t="s">
        <v>932</v>
      </c>
      <c r="L10" s="67" t="s">
        <v>933</v>
      </c>
    </row>
    <row r="11" customFormat="false" ht="15" hidden="false" customHeight="false" outlineLevel="0" collapsed="false">
      <c r="I11" s="1" t="n">
        <v>4</v>
      </c>
      <c r="J11" s="1" t="n">
        <v>2</v>
      </c>
      <c r="K11" s="67" t="s">
        <v>932</v>
      </c>
      <c r="L11" s="67" t="s">
        <v>933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859375" defaultRowHeight="11.25" zeroHeight="false" outlineLevelRow="0" outlineLevelCol="0"/>
  <cols>
    <col collapsed="false" customWidth="false" hidden="false" outlineLevel="0" max="1" min="1" style="68" width="8.86"/>
    <col collapsed="false" customWidth="true" hidden="false" outlineLevel="0" max="2" min="2" style="68" width="3.15"/>
    <col collapsed="false" customWidth="true" hidden="false" outlineLevel="0" max="3" min="3" style="68" width="15.28"/>
    <col collapsed="false" customWidth="true" hidden="false" outlineLevel="0" max="4" min="4" style="68" width="49.86"/>
    <col collapsed="false" customWidth="true" hidden="false" outlineLevel="0" max="5" min="5" style="68" width="46.57"/>
    <col collapsed="false" customWidth="false" hidden="false" outlineLevel="0" max="16384" min="6" style="68" width="8.86"/>
  </cols>
  <sheetData>
    <row r="4" customFormat="false" ht="15" hidden="false" customHeight="false" outlineLevel="0" collapsed="false">
      <c r="B4" s="69" t="s">
        <v>947</v>
      </c>
      <c r="C4" s="69" t="s">
        <v>948</v>
      </c>
      <c r="D4" s="69" t="s">
        <v>949</v>
      </c>
      <c r="E4" s="69" t="s">
        <v>950</v>
      </c>
    </row>
    <row r="5" customFormat="false" ht="15" hidden="false" customHeight="false" outlineLevel="0" collapsed="false">
      <c r="B5" s="70" t="n">
        <v>1</v>
      </c>
      <c r="C5" s="71" t="s">
        <v>951</v>
      </c>
      <c r="D5" s="71" t="s">
        <v>952</v>
      </c>
      <c r="E5" s="72" t="n">
        <v>0</v>
      </c>
    </row>
    <row r="6" customFormat="false" ht="15" hidden="false" customHeight="false" outlineLevel="0" collapsed="false">
      <c r="B6" s="73" t="n">
        <v>2</v>
      </c>
      <c r="C6" s="74" t="s">
        <v>953</v>
      </c>
      <c r="D6" s="74" t="s">
        <v>954</v>
      </c>
      <c r="E6" s="75" t="n">
        <v>0.2</v>
      </c>
    </row>
    <row r="7" customFormat="false" ht="15" hidden="false" customHeight="false" outlineLevel="0" collapsed="false">
      <c r="B7" s="70" t="n">
        <v>3</v>
      </c>
      <c r="C7" s="71" t="s">
        <v>955</v>
      </c>
      <c r="D7" s="71" t="s">
        <v>956</v>
      </c>
      <c r="E7" s="72" t="n">
        <v>0.3</v>
      </c>
    </row>
    <row r="8" customFormat="false" ht="15" hidden="false" customHeight="false" outlineLevel="0" collapsed="false">
      <c r="B8" s="73" t="n">
        <v>4</v>
      </c>
      <c r="C8" s="74" t="s">
        <v>957</v>
      </c>
      <c r="D8" s="74" t="s">
        <v>850</v>
      </c>
      <c r="E8" s="76" t="s">
        <v>958</v>
      </c>
    </row>
    <row r="9" customFormat="false" ht="15" hidden="false" customHeight="false" outlineLevel="0" collapsed="false">
      <c r="B9" s="73"/>
      <c r="C9" s="74"/>
      <c r="D9" s="74"/>
      <c r="E9" s="76" t="s">
        <v>959</v>
      </c>
    </row>
    <row r="10" customFormat="false" ht="15" hidden="false" customHeight="false" outlineLevel="0" collapsed="false">
      <c r="B10" s="70" t="n">
        <v>5</v>
      </c>
      <c r="C10" s="71" t="s">
        <v>960</v>
      </c>
      <c r="D10" s="71" t="s">
        <v>961</v>
      </c>
      <c r="E10" s="72" t="n">
        <v>0.5</v>
      </c>
    </row>
    <row r="11" customFormat="false" ht="15" hidden="false" customHeight="false" outlineLevel="0" collapsed="false">
      <c r="B11" s="73" t="n">
        <v>6</v>
      </c>
      <c r="C11" s="74" t="s">
        <v>962</v>
      </c>
      <c r="D11" s="74" t="s">
        <v>963</v>
      </c>
      <c r="E11" s="75" t="n">
        <v>0.8</v>
      </c>
    </row>
    <row r="12" customFormat="false" ht="15" hidden="false" customHeight="false" outlineLevel="0" collapsed="false">
      <c r="B12" s="70" t="n">
        <v>7</v>
      </c>
      <c r="C12" s="71" t="s">
        <v>964</v>
      </c>
      <c r="D12" s="71" t="s">
        <v>809</v>
      </c>
      <c r="E12" s="77" t="s">
        <v>965</v>
      </c>
    </row>
    <row r="13" customFormat="false" ht="15" hidden="false" customHeight="false" outlineLevel="0" collapsed="false">
      <c r="B13" s="70"/>
      <c r="C13" s="71"/>
      <c r="D13" s="71"/>
      <c r="E13" s="77" t="s">
        <v>966</v>
      </c>
    </row>
    <row r="14" customFormat="false" ht="15" hidden="false" customHeight="false" outlineLevel="0" collapsed="false">
      <c r="B14" s="73" t="n">
        <v>8</v>
      </c>
      <c r="C14" s="74" t="s">
        <v>967</v>
      </c>
      <c r="D14" s="74" t="s">
        <v>968</v>
      </c>
      <c r="E14" s="75" t="n">
        <v>0.7</v>
      </c>
    </row>
    <row r="15" customFormat="false" ht="15" hidden="false" customHeight="false" outlineLevel="0" collapsed="false">
      <c r="B15" s="70" t="n">
        <v>9</v>
      </c>
      <c r="C15" s="71" t="s">
        <v>969</v>
      </c>
      <c r="D15" s="71" t="s">
        <v>970</v>
      </c>
      <c r="E15" s="72" t="n">
        <v>1.2</v>
      </c>
    </row>
    <row r="21" customFormat="false" ht="11.25" hidden="false" customHeight="false" outlineLevel="0" collapsed="false">
      <c r="C21" s="78" t="s">
        <v>971</v>
      </c>
      <c r="D21" s="78" t="s">
        <v>972</v>
      </c>
      <c r="E21" s="78" t="s">
        <v>952</v>
      </c>
    </row>
    <row r="22" customFormat="false" ht="11.25" hidden="false" customHeight="false" outlineLevel="0" collapsed="false">
      <c r="C22" s="78" t="s">
        <v>791</v>
      </c>
      <c r="D22" s="78" t="s">
        <v>792</v>
      </c>
      <c r="E22" s="78" t="s">
        <v>788</v>
      </c>
    </row>
    <row r="23" customFormat="false" ht="11.25" hidden="false" customHeight="false" outlineLevel="0" collapsed="false">
      <c r="C23" s="78" t="s">
        <v>795</v>
      </c>
      <c r="D23" s="78" t="s">
        <v>796</v>
      </c>
      <c r="E23" s="78" t="s">
        <v>797</v>
      </c>
    </row>
    <row r="24" customFormat="false" ht="11.25" hidden="false" customHeight="false" outlineLevel="0" collapsed="false">
      <c r="C24" s="78" t="s">
        <v>973</v>
      </c>
      <c r="D24" s="78" t="s">
        <v>974</v>
      </c>
      <c r="E24" s="78" t="s">
        <v>850</v>
      </c>
    </row>
    <row r="25" customFormat="false" ht="11.25" hidden="false" customHeight="false" outlineLevel="0" collapsed="false">
      <c r="C25" s="78" t="s">
        <v>799</v>
      </c>
      <c r="D25" s="78" t="s">
        <v>800</v>
      </c>
      <c r="E25" s="78" t="s">
        <v>801</v>
      </c>
    </row>
    <row r="26" customFormat="false" ht="11.25" hidden="false" customHeight="false" outlineLevel="0" collapsed="false">
      <c r="C26" s="78" t="s">
        <v>803</v>
      </c>
      <c r="D26" s="78" t="s">
        <v>804</v>
      </c>
      <c r="E26" s="78" t="s">
        <v>805</v>
      </c>
    </row>
    <row r="27" customFormat="false" ht="11.25" hidden="false" customHeight="false" outlineLevel="0" collapsed="false">
      <c r="C27" s="78" t="s">
        <v>807</v>
      </c>
      <c r="D27" s="78" t="s">
        <v>808</v>
      </c>
      <c r="E27" s="78" t="s">
        <v>809</v>
      </c>
    </row>
    <row r="28" customFormat="false" ht="11.25" hidden="false" customHeight="false" outlineLevel="0" collapsed="false">
      <c r="C28" s="78" t="s">
        <v>811</v>
      </c>
      <c r="D28" s="78" t="s">
        <v>812</v>
      </c>
      <c r="E28" s="78" t="s">
        <v>813</v>
      </c>
    </row>
    <row r="29" customFormat="false" ht="11.25" hidden="false" customHeight="false" outlineLevel="0" collapsed="false">
      <c r="C29" s="78" t="s">
        <v>815</v>
      </c>
      <c r="D29" s="78" t="s">
        <v>816</v>
      </c>
      <c r="E29" s="78" t="s">
        <v>817</v>
      </c>
    </row>
  </sheetData>
  <mergeCells count="6">
    <mergeCell ref="B8:B9"/>
    <mergeCell ref="C8:C9"/>
    <mergeCell ref="D8:D9"/>
    <mergeCell ref="B12:B13"/>
    <mergeCell ref="C12:C13"/>
    <mergeCell ref="D12:D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2022-10-31T13:31:46Z</dcterms:created>
  <dc:creator>smiroshn</dc:creator>
  <dc:description/>
  <dc:language>en-US</dc:language>
  <cp:lastModifiedBy/>
  <dcterms:modified xsi:type="dcterms:W3CDTF">2025-04-08T13:23:29Z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