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koffi\OneDrive - Elder Services of Berkshire County, Inc\Desktop\"/>
    </mc:Choice>
  </mc:AlternateContent>
  <bookViews>
    <workbookView xWindow="0" yWindow="0" windowWidth="17895" windowHeight="7530" activeTab="1"/>
  </bookViews>
  <sheets>
    <sheet name="PRIX ET BENEFICE" sheetId="3" r:id="rId1"/>
    <sheet name="OCTOBRE 2022" sheetId="4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77" i="4" l="1"/>
  <c r="X177" i="4"/>
  <c r="X157" i="4"/>
  <c r="X159" i="4"/>
  <c r="X163" i="4"/>
  <c r="X166" i="4"/>
  <c r="X171" i="4"/>
  <c r="X173" i="4"/>
  <c r="X174" i="4"/>
  <c r="X154" i="4"/>
  <c r="W160" i="4"/>
  <c r="W161" i="4"/>
  <c r="W166" i="4"/>
  <c r="W168" i="4"/>
  <c r="W169" i="4"/>
  <c r="W170" i="4"/>
  <c r="W174" i="4"/>
  <c r="W154" i="4"/>
  <c r="V155" i="4"/>
  <c r="V156" i="4"/>
  <c r="V157" i="4"/>
  <c r="V158" i="4"/>
  <c r="V159" i="4"/>
  <c r="V160" i="4"/>
  <c r="V161" i="4"/>
  <c r="V162" i="4"/>
  <c r="V163" i="4"/>
  <c r="V164" i="4"/>
  <c r="V165" i="4"/>
  <c r="V166" i="4"/>
  <c r="V167" i="4"/>
  <c r="V168" i="4"/>
  <c r="V169" i="4"/>
  <c r="V170" i="4"/>
  <c r="V171" i="4"/>
  <c r="V172" i="4"/>
  <c r="V173" i="4"/>
  <c r="V174" i="4"/>
  <c r="V154" i="4"/>
  <c r="K154" i="4"/>
  <c r="K155" i="4"/>
  <c r="K169" i="4"/>
  <c r="K170" i="4"/>
  <c r="K171" i="4"/>
  <c r="J154" i="4"/>
  <c r="J155" i="4"/>
  <c r="J156" i="4"/>
  <c r="K156" i="4" s="1"/>
  <c r="J157" i="4"/>
  <c r="K157" i="4" s="1"/>
  <c r="J158" i="4"/>
  <c r="K158" i="4" s="1"/>
  <c r="J159" i="4"/>
  <c r="K159" i="4" s="1"/>
  <c r="J160" i="4"/>
  <c r="K160" i="4" s="1"/>
  <c r="J161" i="4"/>
  <c r="K161" i="4" s="1"/>
  <c r="J162" i="4"/>
  <c r="K162" i="4" s="1"/>
  <c r="J163" i="4"/>
  <c r="K163" i="4" s="1"/>
  <c r="J164" i="4"/>
  <c r="K164" i="4" s="1"/>
  <c r="J165" i="4"/>
  <c r="K165" i="4" s="1"/>
  <c r="J166" i="4"/>
  <c r="K166" i="4" s="1"/>
  <c r="J167" i="4"/>
  <c r="K167" i="4" s="1"/>
  <c r="J168" i="4"/>
  <c r="K168" i="4" s="1"/>
  <c r="J169" i="4"/>
  <c r="J170" i="4"/>
  <c r="J171" i="4"/>
  <c r="J172" i="4"/>
  <c r="K172" i="4" s="1"/>
  <c r="J173" i="4"/>
  <c r="K173" i="4" s="1"/>
  <c r="J174" i="4"/>
  <c r="K174" i="4" s="1"/>
  <c r="J175" i="4"/>
  <c r="D170" i="4"/>
  <c r="D171" i="4"/>
  <c r="D172" i="4"/>
  <c r="D173" i="4"/>
  <c r="D174" i="4"/>
  <c r="I157" i="4"/>
  <c r="W157" i="4" s="1"/>
  <c r="I161" i="4"/>
  <c r="X161" i="4" s="1"/>
  <c r="I162" i="4"/>
  <c r="W162" i="4" s="1"/>
  <c r="I165" i="4"/>
  <c r="X165" i="4" s="1"/>
  <c r="I169" i="4"/>
  <c r="X169" i="4" s="1"/>
  <c r="I170" i="4"/>
  <c r="X170" i="4" s="1"/>
  <c r="I171" i="4"/>
  <c r="W171" i="4" s="1"/>
  <c r="I173" i="4"/>
  <c r="W173" i="4" s="1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L175" i="4"/>
  <c r="V145" i="4"/>
  <c r="V113" i="4"/>
  <c r="V112" i="4"/>
  <c r="V115" i="4" s="1"/>
  <c r="V111" i="4"/>
  <c r="V110" i="4"/>
  <c r="V85" i="4"/>
  <c r="V55" i="4"/>
  <c r="B175" i="4"/>
  <c r="S174" i="4"/>
  <c r="I174" i="4"/>
  <c r="S173" i="4"/>
  <c r="S172" i="4"/>
  <c r="I172" i="4"/>
  <c r="X172" i="4" s="1"/>
  <c r="S171" i="4"/>
  <c r="S170" i="4"/>
  <c r="S169" i="4"/>
  <c r="D169" i="4"/>
  <c r="S168" i="4"/>
  <c r="I168" i="4"/>
  <c r="X168" i="4" s="1"/>
  <c r="D168" i="4"/>
  <c r="S167" i="4"/>
  <c r="I167" i="4"/>
  <c r="W167" i="4" s="1"/>
  <c r="D167" i="4"/>
  <c r="S166" i="4"/>
  <c r="I166" i="4"/>
  <c r="D166" i="4"/>
  <c r="S165" i="4"/>
  <c r="D165" i="4"/>
  <c r="S164" i="4"/>
  <c r="I164" i="4"/>
  <c r="X164" i="4" s="1"/>
  <c r="D164" i="4"/>
  <c r="S163" i="4"/>
  <c r="I163" i="4"/>
  <c r="W163" i="4" s="1"/>
  <c r="D163" i="4"/>
  <c r="S162" i="4"/>
  <c r="D162" i="4"/>
  <c r="S161" i="4"/>
  <c r="D161" i="4"/>
  <c r="S160" i="4"/>
  <c r="I160" i="4"/>
  <c r="X160" i="4" s="1"/>
  <c r="D160" i="4"/>
  <c r="S159" i="4"/>
  <c r="I159" i="4"/>
  <c r="W159" i="4" s="1"/>
  <c r="D159" i="4"/>
  <c r="S158" i="4"/>
  <c r="I158" i="4"/>
  <c r="X158" i="4" s="1"/>
  <c r="D158" i="4"/>
  <c r="S157" i="4"/>
  <c r="D157" i="4"/>
  <c r="S156" i="4"/>
  <c r="I156" i="4"/>
  <c r="X156" i="4" s="1"/>
  <c r="D156" i="4"/>
  <c r="S155" i="4"/>
  <c r="I155" i="4"/>
  <c r="W155" i="4" s="1"/>
  <c r="D155" i="4"/>
  <c r="S154" i="4"/>
  <c r="I154" i="4"/>
  <c r="D154" i="4"/>
  <c r="B145" i="4"/>
  <c r="S144" i="4"/>
  <c r="I144" i="4"/>
  <c r="W144" i="4" s="1"/>
  <c r="S143" i="4"/>
  <c r="I143" i="4"/>
  <c r="W143" i="4" s="1"/>
  <c r="S142" i="4"/>
  <c r="I142" i="4"/>
  <c r="W142" i="4" s="1"/>
  <c r="S141" i="4"/>
  <c r="S140" i="4"/>
  <c r="I140" i="4"/>
  <c r="W140" i="4" s="1"/>
  <c r="S139" i="4"/>
  <c r="I139" i="4"/>
  <c r="W139" i="4" s="1"/>
  <c r="D139" i="4"/>
  <c r="S138" i="4"/>
  <c r="I138" i="4"/>
  <c r="D138" i="4"/>
  <c r="S137" i="4"/>
  <c r="I137" i="4"/>
  <c r="D137" i="4"/>
  <c r="S136" i="4"/>
  <c r="I136" i="4"/>
  <c r="W136" i="4" s="1"/>
  <c r="D136" i="4"/>
  <c r="S135" i="4"/>
  <c r="I135" i="4"/>
  <c r="W135" i="4" s="1"/>
  <c r="D135" i="4"/>
  <c r="S134" i="4"/>
  <c r="I134" i="4"/>
  <c r="W134" i="4" s="1"/>
  <c r="D134" i="4"/>
  <c r="S133" i="4"/>
  <c r="I133" i="4"/>
  <c r="W133" i="4" s="1"/>
  <c r="D133" i="4"/>
  <c r="S132" i="4"/>
  <c r="I132" i="4"/>
  <c r="W132" i="4" s="1"/>
  <c r="D132" i="4"/>
  <c r="S131" i="4"/>
  <c r="I131" i="4"/>
  <c r="W131" i="4" s="1"/>
  <c r="D131" i="4"/>
  <c r="S130" i="4"/>
  <c r="I130" i="4"/>
  <c r="D130" i="4"/>
  <c r="S129" i="4"/>
  <c r="I129" i="4"/>
  <c r="D129" i="4"/>
  <c r="S128" i="4"/>
  <c r="I128" i="4"/>
  <c r="W128" i="4" s="1"/>
  <c r="D128" i="4"/>
  <c r="S127" i="4"/>
  <c r="I127" i="4"/>
  <c r="W127" i="4" s="1"/>
  <c r="D127" i="4"/>
  <c r="S126" i="4"/>
  <c r="I126" i="4"/>
  <c r="W126" i="4" s="1"/>
  <c r="D126" i="4"/>
  <c r="S125" i="4"/>
  <c r="I125" i="4"/>
  <c r="W125" i="4" s="1"/>
  <c r="D125" i="4"/>
  <c r="S124" i="4"/>
  <c r="I124" i="4"/>
  <c r="D124" i="4"/>
  <c r="B115" i="4"/>
  <c r="S114" i="4"/>
  <c r="I114" i="4"/>
  <c r="W114" i="4" s="1"/>
  <c r="S113" i="4"/>
  <c r="G113" i="4"/>
  <c r="I113" i="4" s="1"/>
  <c r="W113" i="4" s="1"/>
  <c r="S112" i="4"/>
  <c r="G112" i="4"/>
  <c r="I112" i="4" s="1"/>
  <c r="W112" i="4" s="1"/>
  <c r="S111" i="4"/>
  <c r="G111" i="4"/>
  <c r="S110" i="4"/>
  <c r="G110" i="4"/>
  <c r="I110" i="4" s="1"/>
  <c r="W110" i="4" s="1"/>
  <c r="S109" i="4"/>
  <c r="I109" i="4"/>
  <c r="D109" i="4"/>
  <c r="S108" i="4"/>
  <c r="I108" i="4"/>
  <c r="D108" i="4"/>
  <c r="S107" i="4"/>
  <c r="I107" i="4"/>
  <c r="W107" i="4" s="1"/>
  <c r="D107" i="4"/>
  <c r="S106" i="4"/>
  <c r="I106" i="4"/>
  <c r="W106" i="4" s="1"/>
  <c r="D106" i="4"/>
  <c r="S105" i="4"/>
  <c r="I105" i="4"/>
  <c r="W105" i="4" s="1"/>
  <c r="D105" i="4"/>
  <c r="S104" i="4"/>
  <c r="I104" i="4"/>
  <c r="W104" i="4" s="1"/>
  <c r="D104" i="4"/>
  <c r="S103" i="4"/>
  <c r="I103" i="4"/>
  <c r="W103" i="4" s="1"/>
  <c r="D103" i="4"/>
  <c r="S102" i="4"/>
  <c r="I102" i="4"/>
  <c r="W102" i="4" s="1"/>
  <c r="D102" i="4"/>
  <c r="S101" i="4"/>
  <c r="I101" i="4"/>
  <c r="W101" i="4" s="1"/>
  <c r="D101" i="4"/>
  <c r="S100" i="4"/>
  <c r="I100" i="4"/>
  <c r="W100" i="4" s="1"/>
  <c r="D100" i="4"/>
  <c r="S99" i="4"/>
  <c r="I99" i="4"/>
  <c r="W99" i="4" s="1"/>
  <c r="D99" i="4"/>
  <c r="S98" i="4"/>
  <c r="I98" i="4"/>
  <c r="W98" i="4" s="1"/>
  <c r="D98" i="4"/>
  <c r="S97" i="4"/>
  <c r="I97" i="4"/>
  <c r="W97" i="4" s="1"/>
  <c r="D97" i="4"/>
  <c r="S96" i="4"/>
  <c r="I96" i="4"/>
  <c r="W96" i="4" s="1"/>
  <c r="D96" i="4"/>
  <c r="S95" i="4"/>
  <c r="I95" i="4"/>
  <c r="W95" i="4" s="1"/>
  <c r="D95" i="4"/>
  <c r="S94" i="4"/>
  <c r="I94" i="4"/>
  <c r="D94" i="4"/>
  <c r="B85" i="4"/>
  <c r="S84" i="4"/>
  <c r="I84" i="4"/>
  <c r="X84" i="4" s="1"/>
  <c r="S83" i="4"/>
  <c r="I83" i="4"/>
  <c r="X83" i="4" s="1"/>
  <c r="S82" i="4"/>
  <c r="I82" i="4"/>
  <c r="X82" i="4" s="1"/>
  <c r="S81" i="4"/>
  <c r="I81" i="4"/>
  <c r="W81" i="4" s="1"/>
  <c r="S80" i="4"/>
  <c r="I80" i="4"/>
  <c r="W80" i="4" s="1"/>
  <c r="S79" i="4"/>
  <c r="I79" i="4"/>
  <c r="W79" i="4" s="1"/>
  <c r="D79" i="4"/>
  <c r="S78" i="4"/>
  <c r="I78" i="4"/>
  <c r="W78" i="4" s="1"/>
  <c r="D78" i="4"/>
  <c r="S77" i="4"/>
  <c r="I77" i="4"/>
  <c r="D77" i="4"/>
  <c r="S76" i="4"/>
  <c r="I76" i="4"/>
  <c r="W76" i="4" s="1"/>
  <c r="D76" i="4"/>
  <c r="S75" i="4"/>
  <c r="I75" i="4"/>
  <c r="X75" i="4" s="1"/>
  <c r="D75" i="4"/>
  <c r="S74" i="4"/>
  <c r="I74" i="4"/>
  <c r="D74" i="4"/>
  <c r="S73" i="4"/>
  <c r="I73" i="4"/>
  <c r="W73" i="4" s="1"/>
  <c r="D73" i="4"/>
  <c r="S72" i="4"/>
  <c r="I72" i="4"/>
  <c r="W72" i="4" s="1"/>
  <c r="D72" i="4"/>
  <c r="S71" i="4"/>
  <c r="I71" i="4"/>
  <c r="W71" i="4" s="1"/>
  <c r="D71" i="4"/>
  <c r="S70" i="4"/>
  <c r="I70" i="4"/>
  <c r="W70" i="4" s="1"/>
  <c r="D70" i="4"/>
  <c r="S69" i="4"/>
  <c r="I69" i="4"/>
  <c r="D69" i="4"/>
  <c r="S68" i="4"/>
  <c r="I68" i="4"/>
  <c r="W68" i="4" s="1"/>
  <c r="D68" i="4"/>
  <c r="S67" i="4"/>
  <c r="I67" i="4"/>
  <c r="X67" i="4" s="1"/>
  <c r="D67" i="4"/>
  <c r="S66" i="4"/>
  <c r="I66" i="4"/>
  <c r="W66" i="4" s="1"/>
  <c r="D66" i="4"/>
  <c r="S65" i="4"/>
  <c r="I65" i="4"/>
  <c r="W65" i="4" s="1"/>
  <c r="D65" i="4"/>
  <c r="S64" i="4"/>
  <c r="I64" i="4"/>
  <c r="W64" i="4" s="1"/>
  <c r="D64" i="4"/>
  <c r="B55" i="4"/>
  <c r="S54" i="4"/>
  <c r="I54" i="4"/>
  <c r="X54" i="4" s="1"/>
  <c r="S53" i="4"/>
  <c r="I53" i="4"/>
  <c r="X53" i="4" s="1"/>
  <c r="S52" i="4"/>
  <c r="I52" i="4"/>
  <c r="W52" i="4" s="1"/>
  <c r="S51" i="4"/>
  <c r="S50" i="4"/>
  <c r="I50" i="4"/>
  <c r="W50" i="4" s="1"/>
  <c r="S49" i="4"/>
  <c r="I49" i="4"/>
  <c r="W49" i="4" s="1"/>
  <c r="D49" i="4"/>
  <c r="S48" i="4"/>
  <c r="I48" i="4"/>
  <c r="W48" i="4" s="1"/>
  <c r="D48" i="4"/>
  <c r="S47" i="4"/>
  <c r="I47" i="4"/>
  <c r="W47" i="4" s="1"/>
  <c r="D47" i="4"/>
  <c r="S46" i="4"/>
  <c r="I46" i="4"/>
  <c r="D46" i="4"/>
  <c r="S45" i="4"/>
  <c r="I45" i="4"/>
  <c r="W45" i="4" s="1"/>
  <c r="D45" i="4"/>
  <c r="S44" i="4"/>
  <c r="I44" i="4"/>
  <c r="W44" i="4" s="1"/>
  <c r="D44" i="4"/>
  <c r="S43" i="4"/>
  <c r="I43" i="4"/>
  <c r="W43" i="4" s="1"/>
  <c r="D43" i="4"/>
  <c r="S42" i="4"/>
  <c r="I42" i="4"/>
  <c r="W42" i="4" s="1"/>
  <c r="D42" i="4"/>
  <c r="S41" i="4"/>
  <c r="I41" i="4"/>
  <c r="W41" i="4" s="1"/>
  <c r="D41" i="4"/>
  <c r="S40" i="4"/>
  <c r="I40" i="4"/>
  <c r="D40" i="4"/>
  <c r="S39" i="4"/>
  <c r="I39" i="4"/>
  <c r="D39" i="4"/>
  <c r="S38" i="4"/>
  <c r="I38" i="4"/>
  <c r="D38" i="4"/>
  <c r="S37" i="4"/>
  <c r="I37" i="4"/>
  <c r="D37" i="4"/>
  <c r="S36" i="4"/>
  <c r="I36" i="4"/>
  <c r="W36" i="4" s="1"/>
  <c r="D36" i="4"/>
  <c r="S35" i="4"/>
  <c r="I35" i="4"/>
  <c r="W35" i="4" s="1"/>
  <c r="D35" i="4"/>
  <c r="S34" i="4"/>
  <c r="I34" i="4"/>
  <c r="D34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4" i="4"/>
  <c r="I5" i="4"/>
  <c r="W5" i="4" s="1"/>
  <c r="I6" i="4"/>
  <c r="W6" i="4" s="1"/>
  <c r="I7" i="4"/>
  <c r="W7" i="4" s="1"/>
  <c r="I8" i="4"/>
  <c r="W8" i="4" s="1"/>
  <c r="I9" i="4"/>
  <c r="I10" i="4"/>
  <c r="I11" i="4"/>
  <c r="I12" i="4"/>
  <c r="I13" i="4"/>
  <c r="W13" i="4" s="1"/>
  <c r="I14" i="4"/>
  <c r="W14" i="4" s="1"/>
  <c r="I15" i="4"/>
  <c r="W15" i="4" s="1"/>
  <c r="I16" i="4"/>
  <c r="W16" i="4" s="1"/>
  <c r="I17" i="4"/>
  <c r="I18" i="4"/>
  <c r="I19" i="4"/>
  <c r="I24" i="4"/>
  <c r="X24" i="4" s="1"/>
  <c r="I4" i="4"/>
  <c r="B25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V20" i="4"/>
  <c r="V21" i="4"/>
  <c r="V22" i="4"/>
  <c r="G20" i="4"/>
  <c r="G21" i="4"/>
  <c r="I21" i="4" s="1"/>
  <c r="W21" i="4" s="1"/>
  <c r="G22" i="4"/>
  <c r="I22" i="4" s="1"/>
  <c r="W22" i="4" s="1"/>
  <c r="G23" i="4"/>
  <c r="I23" i="4" s="1"/>
  <c r="W23" i="4" s="1"/>
  <c r="D4" i="4"/>
  <c r="V23" i="4"/>
  <c r="W158" i="4" l="1"/>
  <c r="X155" i="4"/>
  <c r="W172" i="4"/>
  <c r="W164" i="4"/>
  <c r="W156" i="4"/>
  <c r="W175" i="4" s="1"/>
  <c r="X162" i="4"/>
  <c r="W165" i="4"/>
  <c r="X167" i="4"/>
  <c r="X175" i="4" s="1"/>
  <c r="X178" i="4" s="1"/>
  <c r="X179" i="4" s="1"/>
  <c r="K175" i="4"/>
  <c r="X36" i="4"/>
  <c r="X37" i="4"/>
  <c r="X77" i="4"/>
  <c r="X69" i="4"/>
  <c r="X38" i="4"/>
  <c r="X46" i="4"/>
  <c r="M175" i="4"/>
  <c r="M176" i="4" s="1"/>
  <c r="V175" i="4"/>
  <c r="X34" i="4"/>
  <c r="X74" i="4"/>
  <c r="X124" i="4"/>
  <c r="W67" i="4"/>
  <c r="X39" i="4"/>
  <c r="X100" i="4"/>
  <c r="X129" i="4"/>
  <c r="X137" i="4"/>
  <c r="X66" i="4"/>
  <c r="X144" i="4"/>
  <c r="X143" i="4"/>
  <c r="X64" i="4"/>
  <c r="W34" i="4"/>
  <c r="X45" i="4"/>
  <c r="W83" i="4"/>
  <c r="X114" i="4"/>
  <c r="X142" i="4"/>
  <c r="W37" i="4"/>
  <c r="X40" i="4"/>
  <c r="W84" i="4"/>
  <c r="X43" i="4"/>
  <c r="W77" i="4"/>
  <c r="X113" i="4"/>
  <c r="W124" i="4"/>
  <c r="X136" i="4"/>
  <c r="X101" i="4"/>
  <c r="X138" i="4"/>
  <c r="X44" i="4"/>
  <c r="X94" i="4"/>
  <c r="X107" i="4"/>
  <c r="W138" i="4"/>
  <c r="X135" i="4"/>
  <c r="X48" i="4"/>
  <c r="X109" i="4"/>
  <c r="X68" i="4"/>
  <c r="X76" i="4"/>
  <c r="X35" i="4"/>
  <c r="W75" i="4"/>
  <c r="X81" i="4"/>
  <c r="X106" i="4"/>
  <c r="W137" i="4"/>
  <c r="X128" i="4"/>
  <c r="X130" i="4"/>
  <c r="X52" i="4"/>
  <c r="X42" i="4"/>
  <c r="X47" i="4"/>
  <c r="X108" i="4"/>
  <c r="W40" i="4"/>
  <c r="W74" i="4"/>
  <c r="W109" i="4"/>
  <c r="X99" i="4"/>
  <c r="W130" i="4"/>
  <c r="X127" i="4"/>
  <c r="W39" i="4"/>
  <c r="W69" i="4"/>
  <c r="W108" i="4"/>
  <c r="X98" i="4"/>
  <c r="W129" i="4"/>
  <c r="W38" i="4"/>
  <c r="W53" i="4"/>
  <c r="X50" i="4"/>
  <c r="X73" i="4"/>
  <c r="X65" i="4"/>
  <c r="W94" i="4"/>
  <c r="X105" i="4"/>
  <c r="X97" i="4"/>
  <c r="X134" i="4"/>
  <c r="X126" i="4"/>
  <c r="W54" i="4"/>
  <c r="X49" i="4"/>
  <c r="X41" i="4"/>
  <c r="X80" i="4"/>
  <c r="X72" i="4"/>
  <c r="X112" i="4"/>
  <c r="X104" i="4"/>
  <c r="X96" i="4"/>
  <c r="X133" i="4"/>
  <c r="X125" i="4"/>
  <c r="W82" i="4"/>
  <c r="X79" i="4"/>
  <c r="X71" i="4"/>
  <c r="X103" i="4"/>
  <c r="X95" i="4"/>
  <c r="X140" i="4"/>
  <c r="X132" i="4"/>
  <c r="X16" i="4"/>
  <c r="X8" i="4"/>
  <c r="X78" i="4"/>
  <c r="X70" i="4"/>
  <c r="X110" i="4"/>
  <c r="X102" i="4"/>
  <c r="X139" i="4"/>
  <c r="X131" i="4"/>
  <c r="W46" i="4"/>
  <c r="X7" i="4"/>
  <c r="X18" i="4"/>
  <c r="X10" i="4"/>
  <c r="X15" i="4"/>
  <c r="X17" i="4"/>
  <c r="X9" i="4"/>
  <c r="S25" i="4"/>
  <c r="X27" i="4" s="1"/>
  <c r="S55" i="4"/>
  <c r="X4" i="4"/>
  <c r="S145" i="4"/>
  <c r="X14" i="4"/>
  <c r="X6" i="4"/>
  <c r="X12" i="4"/>
  <c r="X19" i="4"/>
  <c r="X11" i="4"/>
  <c r="S115" i="4"/>
  <c r="S175" i="4"/>
  <c r="W4" i="4"/>
  <c r="W24" i="4"/>
  <c r="W12" i="4"/>
  <c r="X13" i="4"/>
  <c r="X5" i="4"/>
  <c r="D145" i="4"/>
  <c r="W19" i="4"/>
  <c r="W11" i="4"/>
  <c r="W18" i="4"/>
  <c r="W10" i="4"/>
  <c r="W17" i="4"/>
  <c r="W9" i="4"/>
  <c r="D175" i="4"/>
  <c r="G175" i="4"/>
  <c r="I175" i="4"/>
  <c r="G145" i="4"/>
  <c r="G115" i="4"/>
  <c r="I141" i="4"/>
  <c r="D115" i="4"/>
  <c r="I111" i="4"/>
  <c r="S85" i="4"/>
  <c r="G55" i="4"/>
  <c r="D85" i="4"/>
  <c r="I85" i="4"/>
  <c r="G85" i="4"/>
  <c r="D55" i="4"/>
  <c r="V25" i="4"/>
  <c r="X23" i="4"/>
  <c r="I51" i="4"/>
  <c r="X22" i="4"/>
  <c r="X21" i="4"/>
  <c r="G25" i="4"/>
  <c r="I20" i="4"/>
  <c r="D25" i="4"/>
  <c r="X57" i="4" l="1"/>
  <c r="X87" i="4" s="1"/>
  <c r="X117" i="4" s="1"/>
  <c r="X147" i="4" s="1"/>
  <c r="W85" i="4"/>
  <c r="X85" i="4"/>
  <c r="I55" i="4"/>
  <c r="X51" i="4"/>
  <c r="X55" i="4" s="1"/>
  <c r="W51" i="4"/>
  <c r="W55" i="4" s="1"/>
  <c r="I145" i="4"/>
  <c r="W141" i="4"/>
  <c r="W145" i="4" s="1"/>
  <c r="X141" i="4"/>
  <c r="X145" i="4" s="1"/>
  <c r="W111" i="4"/>
  <c r="W115" i="4" s="1"/>
  <c r="X111" i="4"/>
  <c r="X115" i="4" s="1"/>
  <c r="X25" i="4"/>
  <c r="I115" i="4"/>
  <c r="I25" i="4"/>
  <c r="W20" i="4"/>
  <c r="W25" i="4" s="1"/>
  <c r="X20" i="4"/>
  <c r="X58" i="4" l="1"/>
  <c r="X28" i="4"/>
  <c r="X29" i="4" s="1"/>
  <c r="X88" i="4" l="1"/>
  <c r="X59" i="4"/>
  <c r="X118" i="4" l="1"/>
  <c r="X89" i="4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X119" i="4" l="1"/>
  <c r="X148" i="4"/>
  <c r="X149" i="4" s="1"/>
</calcChain>
</file>

<file path=xl/sharedStrings.xml><?xml version="1.0" encoding="utf-8"?>
<sst xmlns="http://schemas.openxmlformats.org/spreadsheetml/2006/main" count="471" uniqueCount="80">
  <si>
    <t>NOM DU PRODUIT</t>
  </si>
  <si>
    <t>LIST DES PRODUITS</t>
  </si>
  <si>
    <t>BOCK 50 (12)</t>
  </si>
  <si>
    <t>TOTAL</t>
  </si>
  <si>
    <t>BOCK 66</t>
  </si>
  <si>
    <t>BOCK 50</t>
  </si>
  <si>
    <t>BEAUFORT 50</t>
  </si>
  <si>
    <t>CHILL 50</t>
  </si>
  <si>
    <t>VIN ROUGE</t>
  </si>
  <si>
    <t>BOOSTER TEQUILA 50 (12)</t>
  </si>
  <si>
    <t>CHILL 50(12)</t>
  </si>
  <si>
    <t>VIN ROUGE 100 (12)</t>
  </si>
  <si>
    <t>DOPPEL ENERGY 33 (24)</t>
  </si>
  <si>
    <t>BEAUFORT 50 (12)</t>
  </si>
  <si>
    <t>BOCK 66 (12)</t>
  </si>
  <si>
    <t>GUINNESS 66 (12)</t>
  </si>
  <si>
    <t>CASTEL 50 (12)</t>
  </si>
  <si>
    <t>SUCRERIE 60(12)</t>
  </si>
  <si>
    <t>PRIX DE VENTE</t>
  </si>
  <si>
    <t>PRIX DACHAT</t>
  </si>
  <si>
    <t>BENEFICE BRUT</t>
  </si>
  <si>
    <t>DOPPEL MUNICH 50 (12)</t>
  </si>
  <si>
    <t>BOUSTEUR RACINE 50 (12)</t>
  </si>
  <si>
    <t>BOUSTEUR TEQUILLA 50 (12)</t>
  </si>
  <si>
    <t>BEAUFORT LAGER 33 (24)</t>
  </si>
  <si>
    <t>BENEFICE</t>
  </si>
  <si>
    <t>BEAUFORT 33</t>
  </si>
  <si>
    <t>DOPEL 50</t>
  </si>
  <si>
    <t>TEQUILA 50</t>
  </si>
  <si>
    <t>CASTELL 50</t>
  </si>
  <si>
    <t>GUINNESS 66</t>
  </si>
  <si>
    <t>DOPEL ENERGIE 33</t>
  </si>
  <si>
    <t>PRIX D'ACHAT</t>
  </si>
  <si>
    <t>TOTAL VENTE</t>
  </si>
  <si>
    <t>TOTAL ACHAT</t>
  </si>
  <si>
    <t>COMMANDE DU 08-10-2022 / FACTURE REGLE LE 10-10-2022</t>
  </si>
  <si>
    <t>VENTE DU 08-10-2022 AUX 10-10-2022</t>
  </si>
  <si>
    <t>QT</t>
  </si>
  <si>
    <t>DATE</t>
  </si>
  <si>
    <t>NOM</t>
  </si>
  <si>
    <t>DEPENSES DU 08-10-2022 AUX 10-10-2022</t>
  </si>
  <si>
    <t xml:space="preserve">RACINE 50 </t>
  </si>
  <si>
    <t xml:space="preserve">WORLD COLA 66 </t>
  </si>
  <si>
    <t>YOUZOU 66</t>
  </si>
  <si>
    <t xml:space="preserve">YOUKI COOCKTAIL 66 </t>
  </si>
  <si>
    <t>ORANGINA 60</t>
  </si>
  <si>
    <t>BENEFICE BRUTE</t>
  </si>
  <si>
    <t>CARBURENT</t>
  </si>
  <si>
    <t xml:space="preserve">CREDIT </t>
  </si>
  <si>
    <t>REVENUE DU 08-10-2022 AUX 10-10-2022</t>
  </si>
  <si>
    <t>COMMANDE DU 10-10-2022 / FACTURE REGLE LE 13-10-2022</t>
  </si>
  <si>
    <t>VENTE DU 10-10-2022 AUX 13-10-2022</t>
  </si>
  <si>
    <t>DEPENSES DU 10-10-2022 AUX 13-10-2022</t>
  </si>
  <si>
    <t>REVENUE DU 10-10-2022 AUX 13-10-2022</t>
  </si>
  <si>
    <t>COMMANDE DU 13-10-2022 / FACTURE REGLE LE 15-10-2022</t>
  </si>
  <si>
    <t>VENTE DU 13-10-2022 AUX 15-10-2022</t>
  </si>
  <si>
    <t>DEPENSES DU 13-10-2022 AUX 15-10-2022</t>
  </si>
  <si>
    <t>REVENUE DU 13-10-2022 AUX 15-10-2022</t>
  </si>
  <si>
    <t>COMMANDE DU 15-10-2022 / FACTURE REGLE LE 16-10-2022</t>
  </si>
  <si>
    <t>DEPENSES DU 15-10-2022 AUX 16-10-2022</t>
  </si>
  <si>
    <t>REVENUE DU 15-10-2022 AUX 16-10-2022</t>
  </si>
  <si>
    <t>COMMANDE DU 16-10-2022 / FACTURE REGLE LE 19-10-2022</t>
  </si>
  <si>
    <t>VENTE DU 15-10-2022 AUX 16-10-2022</t>
  </si>
  <si>
    <t>VENTE DU 16-10-2022 AUX 19-10-2022</t>
  </si>
  <si>
    <t>DEPENSES DU 16-10-2022 AUX 19-10-2022</t>
  </si>
  <si>
    <t>REVENUE DU 16-10-2022 AUX 19-10-2022</t>
  </si>
  <si>
    <t>COMMANDE DU 19-10-2022 / FACTURE REGLE LE 22-10-2022</t>
  </si>
  <si>
    <t>VENTE DU 19-10-2022 AUX 22-10-2022</t>
  </si>
  <si>
    <t>DEPENSES DU 19-10-2022 AUX 22-10-2022</t>
  </si>
  <si>
    <t>REVENUE DU 19-10-2022 AUX 22-10-2022</t>
  </si>
  <si>
    <t>DEPENSE</t>
  </si>
  <si>
    <t>REVENUE</t>
  </si>
  <si>
    <t>TOTAL BENEFICE BRUTE</t>
  </si>
  <si>
    <t>STOCK DISPONIBLE</t>
  </si>
  <si>
    <t>DOPEL MUNICH LARGER</t>
  </si>
  <si>
    <t>VALEUR DU STOCK</t>
  </si>
  <si>
    <t>REST DE CETTE CMD</t>
  </si>
  <si>
    <t>VALEUR R DE CMD</t>
  </si>
  <si>
    <t>DIFFERENCE</t>
  </si>
  <si>
    <t>REST POUR R CMD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</si>
</sst>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-* #,##0\ [$XOF]_-;\-* #,##0\ [$XOF]_-;_-* &quot;-&quot;\ [$XOF]_-;_-@_-"/>
    <numFmt numFmtId="165" formatCode="[$XOF]\ #,##0"/>
    <numFmt numFmtId="166" formatCode="_([$XFO]\ * #,##0_);_([$XFO]\ * \(#,##0\);_([$XFO]\ * &quot;-&quot;_);_(@_)"/>
    <numFmt numFmtId="167" formatCode="_([$XOF]\ * #,##0_);_([$XOF]\ * \(#,##0\);_([$XOF]\ * &quot;-&quot;_);_(@_)"/>
  </numFmts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5" tint="-0.499984740745262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4" fillId="0" borderId="0" xfId="0" applyFont="1"/>
    <xf numFmtId="0" fontId="4" fillId="0" borderId="0" xfId="0" applyNumberFormat="1" applyFont="1"/>
    <xf numFmtId="0" fontId="4" fillId="0" borderId="1" xfId="0" applyFont="1" applyBorder="1"/>
    <xf numFmtId="0" fontId="4" fillId="3" borderId="1" xfId="0" applyFont="1" applyFill="1" applyBorder="1"/>
    <xf numFmtId="0" fontId="1" fillId="2" borderId="2" xfId="0" applyFont="1" applyFill="1" applyBorder="1"/>
    <xf numFmtId="0" fontId="4" fillId="3" borderId="3" xfId="0" applyFont="1" applyFill="1" applyBorder="1"/>
    <xf numFmtId="164" fontId="4" fillId="3" borderId="2" xfId="0" applyNumberFormat="1" applyFont="1" applyFill="1" applyBorder="1"/>
    <xf numFmtId="164" fontId="4" fillId="3" borderId="1" xfId="0" applyNumberFormat="1" applyFont="1" applyFill="1" applyBorder="1"/>
    <xf numFmtId="164" fontId="4" fillId="3" borderId="3" xfId="0" applyNumberFormat="1" applyFont="1" applyFill="1" applyBorder="1"/>
    <xf numFmtId="0" fontId="5" fillId="0" borderId="0" xfId="0" applyFont="1" applyFill="1"/>
    <xf numFmtId="165" fontId="4" fillId="0" borderId="0" xfId="0" applyNumberFormat="1" applyFont="1"/>
    <xf numFmtId="166" fontId="4" fillId="0" borderId="0" xfId="0" applyNumberFormat="1" applyFont="1"/>
    <xf numFmtId="165" fontId="3" fillId="4" borderId="0" xfId="0" applyNumberFormat="1" applyFont="1" applyFill="1"/>
    <xf numFmtId="0" fontId="2" fillId="4" borderId="0" xfId="0" applyFont="1" applyFill="1"/>
    <xf numFmtId="0" fontId="6" fillId="2" borderId="4" xfId="0" applyFont="1" applyFill="1" applyBorder="1"/>
    <xf numFmtId="0" fontId="6" fillId="2" borderId="5" xfId="0" applyFont="1" applyFill="1" applyBorder="1"/>
    <xf numFmtId="0" fontId="4" fillId="0" borderId="4" xfId="0" applyFont="1" applyBorder="1"/>
    <xf numFmtId="0" fontId="4" fillId="0" borderId="5" xfId="0" applyFont="1" applyBorder="1"/>
    <xf numFmtId="166" fontId="4" fillId="0" borderId="5" xfId="0" applyNumberFormat="1" applyFont="1" applyBorder="1"/>
    <xf numFmtId="0" fontId="4" fillId="0" borderId="5" xfId="0" applyNumberFormat="1" applyFont="1" applyBorder="1"/>
    <xf numFmtId="165" fontId="3" fillId="0" borderId="0" xfId="0" applyNumberFormat="1" applyFont="1" applyFill="1"/>
    <xf numFmtId="0" fontId="7" fillId="0" borderId="0" xfId="0" applyFont="1"/>
    <xf numFmtId="0" fontId="8" fillId="0" borderId="0" xfId="0" applyFont="1" applyAlignment="1">
      <alignment horizontal="center"/>
    </xf>
    <xf numFmtId="0" fontId="0" fillId="0" borderId="0" xfId="0" applyFill="1"/>
    <xf numFmtId="166" fontId="0" fillId="0" borderId="0" xfId="0" applyNumberFormat="1" applyFill="1"/>
    <xf numFmtId="166" fontId="2" fillId="4" borderId="5" xfId="0" applyNumberFormat="1" applyFont="1" applyFill="1" applyBorder="1"/>
    <xf numFmtId="0" fontId="5" fillId="0" borderId="0" xfId="0" applyFont="1"/>
    <xf numFmtId="0" fontId="5" fillId="0" borderId="0" xfId="0" applyNumberFormat="1" applyFont="1"/>
    <xf numFmtId="166" fontId="4" fillId="0" borderId="0" xfId="0" applyNumberFormat="1" applyFont="1" applyFill="1"/>
    <xf numFmtId="0" fontId="2" fillId="0" borderId="0" xfId="0" applyFont="1" applyFill="1"/>
    <xf numFmtId="0" fontId="9" fillId="0" borderId="0" xfId="0" applyFont="1"/>
    <xf numFmtId="0" fontId="9" fillId="0" borderId="0" xfId="0" applyNumberFormat="1" applyFont="1"/>
    <xf numFmtId="165" fontId="2" fillId="7" borderId="0" xfId="0" applyNumberFormat="1" applyFont="1" applyFill="1"/>
    <xf numFmtId="165" fontId="2" fillId="4" borderId="0" xfId="0" applyNumberFormat="1" applyFont="1" applyFill="1"/>
    <xf numFmtId="165" fontId="9" fillId="13" borderId="0" xfId="0" applyNumberFormat="1" applyFont="1" applyFill="1"/>
    <xf numFmtId="0" fontId="9" fillId="13" borderId="0" xfId="0" applyFont="1" applyFill="1"/>
    <xf numFmtId="14" fontId="4" fillId="0" borderId="4" xfId="0" applyNumberFormat="1" applyFont="1" applyBorder="1"/>
    <xf numFmtId="0" fontId="8" fillId="6" borderId="0" xfId="0" applyFont="1" applyFill="1" applyAlignment="1">
      <alignment horizontal="center"/>
    </xf>
    <xf numFmtId="165" fontId="2" fillId="14" borderId="0" xfId="0" applyNumberFormat="1" applyFont="1" applyFill="1"/>
    <xf numFmtId="165" fontId="4" fillId="5" borderId="0" xfId="0" applyNumberFormat="1" applyFont="1" applyFill="1"/>
    <xf numFmtId="165" fontId="2" fillId="6" borderId="0" xfId="0" applyNumberFormat="1" applyFont="1" applyFill="1"/>
    <xf numFmtId="166" fontId="2" fillId="0" borderId="0" xfId="0" applyNumberFormat="1" applyFont="1" applyFill="1"/>
    <xf numFmtId="165" fontId="0" fillId="0" borderId="0" xfId="0" applyNumberFormat="1"/>
    <xf numFmtId="165" fontId="5" fillId="0" borderId="0" xfId="0" applyNumberFormat="1" applyFont="1"/>
    <xf numFmtId="165" fontId="2" fillId="11" borderId="0" xfId="0" applyNumberFormat="1" applyFont="1" applyFill="1"/>
    <xf numFmtId="0" fontId="8" fillId="0" borderId="0" xfId="0" applyFont="1" applyFill="1" applyAlignment="1">
      <alignment horizontal="center"/>
    </xf>
    <xf numFmtId="0" fontId="4" fillId="0" borderId="0" xfId="0" applyFont="1" applyFill="1"/>
    <xf numFmtId="165" fontId="4" fillId="0" borderId="0" xfId="0" applyNumberFormat="1" applyFont="1" applyFill="1"/>
    <xf numFmtId="0" fontId="2" fillId="8" borderId="0" xfId="0" applyNumberFormat="1" applyFont="1" applyFill="1"/>
    <xf numFmtId="0" fontId="5" fillId="12" borderId="0" xfId="0" applyNumberFormat="1" applyFont="1" applyFill="1"/>
    <xf numFmtId="167" fontId="5" fillId="12" borderId="0" xfId="0" applyNumberFormat="1" applyFont="1" applyFill="1" applyAlignment="1"/>
    <xf numFmtId="167" fontId="2" fillId="8" borderId="0" xfId="0" applyNumberFormat="1" applyFont="1" applyFill="1" applyAlignment="1"/>
    <xf numFmtId="167" fontId="4" fillId="0" borderId="0" xfId="0" applyNumberFormat="1" applyFont="1" applyFill="1" applyAlignment="1"/>
    <xf numFmtId="0" fontId="3" fillId="5" borderId="0" xfId="0" applyFont="1" applyFill="1"/>
    <xf numFmtId="167" fontId="3" fillId="8" borderId="0" xfId="0" applyNumberFormat="1" applyFont="1" applyFill="1" applyAlignment="1"/>
    <xf numFmtId="165" fontId="5" fillId="5" borderId="0" xfId="0" applyNumberFormat="1" applyFont="1" applyFill="1"/>
    <xf numFmtId="165" fontId="2" fillId="10" borderId="0" xfId="0" applyNumberFormat="1" applyFont="1" applyFill="1"/>
    <xf numFmtId="165" fontId="3" fillId="8" borderId="0" xfId="0" applyNumberFormat="1" applyFont="1" applyFill="1"/>
    <xf numFmtId="0" fontId="3" fillId="7" borderId="0" xfId="0" applyFont="1" applyFill="1" applyAlignment="1">
      <alignment horizontal="center"/>
    </xf>
    <xf numFmtId="0" fontId="3" fillId="9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8" fillId="6" borderId="0" xfId="0" applyFont="1" applyFill="1" applyAlignment="1">
      <alignment horizontal="center"/>
    </xf>
  </cellXfs>
  <cellStyles count="1">
    <cellStyle name="Normal" xfId="0" builtinId="0"/>
  </cellStyles>
  <dxfs count="121"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165" formatCode="[$XOF]\ #,##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165" formatCode="[$XOF]\ #,##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165" formatCode="[$XOF]\ #,##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165" formatCode="[$XOF]\ #,##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165" formatCode="[$XOF]\ #,##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5" formatCode="[$XOF]\ 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167" formatCode="_([$XOF]\ * #,##0_);_([$XOF]\ * \(#,##0\);_([$XOF]\ * &quot;-&quot;_);_(@_)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5" formatCode="[$XOF]\ 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165" formatCode="[$XOF]\ #,##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165" formatCode="[$XOF]\ #,##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5" formatCode="[$XOF]\ 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165" formatCode="[$XOF]\ #,##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165" formatCode="[$XOF]\ #,##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5" formatCode="[$XOF]\ 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165" formatCode="[$XOF]\ #,##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165" formatCode="[$XOF]\ #,##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5" formatCode="[$XOF]\ 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165" formatCode="[$XOF]\ #,##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165" formatCode="[$XOF]\ #,##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5" formatCode="[$XOF]\ 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165" formatCode="[$XOF]\ #,##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165" formatCode="[$XOF]\ #,##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165" formatCode="[$XOF]\ #,##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5" formatCode="[$XOF]\ 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165" formatCode="[$XOF]\ #,##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165" formatCode="[$XOF]\ #,##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_-* #,##0\ [$XOF]_-;\-* #,##0\ [$XOF]_-;_-* &quot;-&quot;\ [$XOF]_-;_-@_-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_-* #,##0\ [$XOF]_-;\-* #,##0\ [$XOF]_-;_-* &quot;-&quot;\ [$XOF]_-;_-@_-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_-* #,##0\ [$XOF]_-;\-* #,##0\ [$XOF]_-;_-* &quot;-&quot;\ [$XOF]_-;_-@_-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id="13" name="Tableau13" displayName="Tableau13" ref="B2:E16" totalsRowShown="0" headerRowDxfId="120" dataDxfId="118" headerRowBorderDxfId="119" tableBorderDxfId="117" totalsRowBorderDxfId="116">
  <autoFilter ref="B2:E16"/>
  <tableColumns count="4">
    <tableColumn id="1" name="LIST DES PRODUITS" dataDxfId="115"/>
    <tableColumn id="2" name="PRIX DACHAT" dataDxfId="114"/>
    <tableColumn id="3" name="PRIX DE VENTE" dataDxfId="113"/>
    <tableColumn id="4" name="BENEFICE BRUT" dataDxfId="112">
      <calculatedColumnFormula>Tableau13[[#This Row],[PRIX DACHAT]]-Tableau13[[#This Row],[PRIX DE VENTE]]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27" name="Table20222429411222528" displayName="Table20222429411222528" ref="A93:D115" totalsRowShown="0" headerRowDxfId="63" dataDxfId="62">
  <autoFilter ref="A93:D115"/>
  <tableColumns count="4">
    <tableColumn id="1" name="NOM DU PRODUIT" dataDxfId="61"/>
    <tableColumn id="2" name="QT" dataDxfId="60">
      <calculatedColumnFormula>#REF!+#REF!+#REF!+#REF!+#REF!+#REF!+#REF!+#REF!</calculatedColumnFormula>
    </tableColumn>
    <tableColumn id="6" name="PRIX D'ACHAT" dataDxfId="59">
      <calculatedColumnFormula>#REF!+#REF!+#REF!+#REF!+#REF!+#REF!+#REF!+#REF!</calculatedColumnFormula>
    </tableColumn>
    <tableColumn id="7" name="TOTAL ACHAT" dataDxfId="58">
      <calculatedColumnFormula>Table20222429411222528[[#This Row],[QT]]*Table20222429411222528[[#This Row],[PRIX D''ACHAT]]</calculatedColumnFormula>
    </tableColumn>
  </tableColumns>
  <tableStyleInfo name="TableStyleLight9" showFirstColumn="0" showLastColumn="0" showRowStripes="1" showColumnStripes="0"/>
</table>
</file>

<file path=xl/tables/table11.xml><?xml version="1.0" encoding="utf-8"?>
<table xmlns="http://schemas.openxmlformats.org/spreadsheetml/2006/main" id="29" name="Table20222429420242730" displayName="Table20222429420242730" ref="F123:I145" totalsRowShown="0" headerRowDxfId="57" dataDxfId="56">
  <autoFilter ref="F123:I145"/>
  <tableColumns count="4">
    <tableColumn id="1" name="NOM DU PRODUIT" dataDxfId="55"/>
    <tableColumn id="2" name="QT" dataDxfId="54">
      <calculatedColumnFormula>#REF!+B170+B175+B177+B213+B216+B224+B230</calculatedColumnFormula>
    </tableColumn>
    <tableColumn id="3" name="PRIX DE VENTE" dataDxfId="53"/>
    <tableColumn id="4" name="TOTAL VENTE" dataDxfId="52"/>
  </tableColumns>
  <tableStyleInfo name="TableStyleLight9" showFirstColumn="0" showLastColumn="0" showRowStripes="1" showColumnStripes="0"/>
</table>
</file>

<file path=xl/tables/table12.xml><?xml version="1.0" encoding="utf-8"?>
<table xmlns="http://schemas.openxmlformats.org/spreadsheetml/2006/main" id="30" name="Table2022242941122252831" displayName="Table2022242941122252831" ref="A123:D145" totalsRowShown="0" headerRowDxfId="51" dataDxfId="50">
  <autoFilter ref="A123:D145"/>
  <tableColumns count="4">
    <tableColumn id="1" name="NOM DU PRODUIT" dataDxfId="49"/>
    <tableColumn id="2" name="QT" dataDxfId="48">
      <calculatedColumnFormula>#REF!+#REF!+#REF!+#REF!+#REF!+#REF!+#REF!+#REF!</calculatedColumnFormula>
    </tableColumn>
    <tableColumn id="6" name="PRIX D'ACHAT" dataDxfId="47">
      <calculatedColumnFormula>#REF!+#REF!+#REF!+#REF!+#REF!+#REF!+#REF!+#REF!</calculatedColumnFormula>
    </tableColumn>
    <tableColumn id="7" name="TOTAL ACHAT" dataDxfId="46">
      <calculatedColumnFormula>Table2022242941122252831[[#This Row],[QT]]*Table2022242941122252831[[#This Row],[PRIX D''ACHAT]]</calculatedColumnFormula>
    </tableColumn>
  </tableColumns>
  <tableStyleInfo name="TableStyleLight9" showFirstColumn="0" showLastColumn="0" showRowStripes="1" showColumnStripes="0"/>
</table>
</file>

<file path=xl/tables/table13.xml><?xml version="1.0" encoding="utf-8"?>
<table xmlns="http://schemas.openxmlformats.org/spreadsheetml/2006/main" id="35" name="Table2022242942024273036" displayName="Table2022242942024273036" ref="F153:M177" totalsRowShown="0" headerRowDxfId="45" dataDxfId="44">
  <autoFilter ref="F153:M177"/>
  <tableColumns count="8">
    <tableColumn id="1" name="NOM DU PRODUIT" dataDxfId="43"/>
    <tableColumn id="2" name="QT" dataDxfId="42">
      <calculatedColumnFormula>#REF!+B200+B205+B207+B243+B246+B254+B260</calculatedColumnFormula>
    </tableColumn>
    <tableColumn id="3" name="PRIX DE VENTE" dataDxfId="41"/>
    <tableColumn id="4" name="TOTAL VENTE" dataDxfId="40"/>
    <tableColumn id="8" name="REST DE CETTE CMD" dataDxfId="39">
      <calculatedColumnFormula>Table202224294112225283137[[#This Row],[QT]]-Table2022242942024273036[[#This Row],[QT]]</calculatedColumnFormula>
    </tableColumn>
    <tableColumn id="9" name="VALEUR R DE CMD" dataDxfId="38">
      <calculatedColumnFormula>Table2022242942024273036[[#This Row],[PRIX DE VENTE]]*Table2022242942024273036[[#This Row],[REST DE CETTE CMD]]</calculatedColumnFormula>
    </tableColumn>
    <tableColumn id="5" name="STOCK DISPONIBLE" dataDxfId="37"/>
    <tableColumn id="6" name="VALEUR DU STOCK" dataDxfId="36">
      <calculatedColumnFormula>Table2022242942024273036[[#This Row],[PRIX DE VENTE]]*Table2022242942024273036[[#This Row],[STOCK DISPONIBLE]]</calculatedColumnFormula>
    </tableColumn>
  </tableColumns>
  <tableStyleInfo name="TableStyleLight9" showFirstColumn="0" showLastColumn="0" showRowStripes="1" showColumnStripes="0"/>
</table>
</file>

<file path=xl/tables/table14.xml><?xml version="1.0" encoding="utf-8"?>
<table xmlns="http://schemas.openxmlformats.org/spreadsheetml/2006/main" id="36" name="Table202224294112225283137" displayName="Table202224294112225283137" ref="A153:D175" totalsRowShown="0" headerRowDxfId="35" dataDxfId="34">
  <autoFilter ref="A153:D175"/>
  <tableColumns count="4">
    <tableColumn id="1" name="NOM DU PRODUIT" dataDxfId="33"/>
    <tableColumn id="2" name="QT" dataDxfId="32">
      <calculatedColumnFormula>#REF!+#REF!+#REF!+#REF!+#REF!+#REF!+#REF!+#REF!</calculatedColumnFormula>
    </tableColumn>
    <tableColumn id="6" name="PRIX D'ACHAT" dataDxfId="31">
      <calculatedColumnFormula>#REF!+#REF!+#REF!+#REF!+#REF!+#REF!+#REF!+#REF!</calculatedColumnFormula>
    </tableColumn>
    <tableColumn id="7" name="TOTAL ACHAT" dataDxfId="30">
      <calculatedColumnFormula>Table202224294112225283137[[#This Row],[QT]]*Table202224294112225283137[[#This Row],[PRIX D''ACHAT]]</calculatedColumnFormula>
    </tableColumn>
  </tableColumns>
  <tableStyleInfo name="TableStyleLight9" showFirstColumn="0" showLastColumn="0" showRowStripes="1" showColumnStripes="0"/>
</table>
</file>

<file path=xl/tables/table15.xml><?xml version="1.0" encoding="utf-8"?>
<table xmlns="http://schemas.openxmlformats.org/spreadsheetml/2006/main" id="38" name="Table2022242941239" displayName="Table2022242941239" ref="U33:X59" totalsRowShown="0" headerRowDxfId="29" dataDxfId="28">
  <autoFilter ref="U33:X59"/>
  <tableColumns count="4">
    <tableColumn id="1" name="NOM DU PRODUIT" dataDxfId="27"/>
    <tableColumn id="2" name="QT" dataDxfId="26">
      <calculatedColumnFormula>#REF!+Q80+Q85+Q87+Q123+Q126+Q134+Q140</calculatedColumnFormula>
    </tableColumn>
    <tableColumn id="4" name="TOTAL VENTE" dataDxfId="25"/>
    <tableColumn id="7" name="BENEFICE" dataDxfId="24"/>
  </tableColumns>
  <tableStyleInfo name="TableStyleLight9" showFirstColumn="0" showLastColumn="0" showRowStripes="1" showColumnStripes="0"/>
</table>
</file>

<file path=xl/tables/table16.xml><?xml version="1.0" encoding="utf-8"?>
<table xmlns="http://schemas.openxmlformats.org/spreadsheetml/2006/main" id="40" name="Table20222429412394041" displayName="Table20222429412394041" ref="U93:X119" totalsRowShown="0" headerRowDxfId="23" dataDxfId="22">
  <autoFilter ref="U93:X119"/>
  <tableColumns count="4">
    <tableColumn id="1" name="NOM DU PRODUIT" dataDxfId="21"/>
    <tableColumn id="2" name="QT" dataDxfId="20">
      <calculatedColumnFormula>#REF!+Q140+Q145+Q147+Q183+Q186+Q194+Q200</calculatedColumnFormula>
    </tableColumn>
    <tableColumn id="4" name="TOTAL VENTE" dataDxfId="19"/>
    <tableColumn id="7" name="BENEFICE" dataDxfId="18"/>
  </tableColumns>
  <tableStyleInfo name="TableStyleLight9" showFirstColumn="0" showLastColumn="0" showRowStripes="1" showColumnStripes="0"/>
</table>
</file>

<file path=xl/tables/table17.xml><?xml version="1.0" encoding="utf-8"?>
<table xmlns="http://schemas.openxmlformats.org/spreadsheetml/2006/main" id="41" name="Table20222429412394042" displayName="Table20222429412394042" ref="U123:X149" totalsRowShown="0" headerRowDxfId="17" dataDxfId="16">
  <autoFilter ref="U123:X149"/>
  <tableColumns count="4">
    <tableColumn id="1" name="NOM DU PRODUIT" dataDxfId="15"/>
    <tableColumn id="2" name="QT" dataDxfId="14">
      <calculatedColumnFormula>#REF!+Q170+Q175+Q177+Q213+Q216+Q224+Q230</calculatedColumnFormula>
    </tableColumn>
    <tableColumn id="4" name="TOTAL VENTE" dataDxfId="13"/>
    <tableColumn id="7" name="BENEFICE" dataDxfId="12"/>
  </tableColumns>
  <tableStyleInfo name="TableStyleLight9" showFirstColumn="0" showLastColumn="0" showRowStripes="1" showColumnStripes="0"/>
</table>
</file>

<file path=xl/tables/table18.xml><?xml version="1.0" encoding="utf-8"?>
<table xmlns="http://schemas.openxmlformats.org/spreadsheetml/2006/main" id="42" name="Table20222429412394043" displayName="Table20222429412394043" ref="U153:X179" totalsRowShown="0" headerRowDxfId="11" dataDxfId="10">
  <autoFilter ref="U153:X179"/>
  <tableColumns count="4">
    <tableColumn id="1" name="NOM DU PRODUIT" dataDxfId="9"/>
    <tableColumn id="2" name="QT" dataDxfId="8">
      <calculatedColumnFormula>#REF!+Q200+Q205+Q207+Q243+Q246+Q254+Q260</calculatedColumnFormula>
    </tableColumn>
    <tableColumn id="4" name="TOTAL VENTE" dataDxfId="7"/>
    <tableColumn id="7" name="BENEFICE" dataDxfId="6"/>
  </tableColumns>
  <tableStyleInfo name="TableStyleLight9" showFirstColumn="0" showLastColumn="0" showRowStripes="1" showColumnStripes="0"/>
</table>
</file>

<file path=xl/tables/table19.xml><?xml version="1.0" encoding="utf-8"?>
<table xmlns="http://schemas.openxmlformats.org/spreadsheetml/2006/main" id="43" name="Table202224294123944" displayName="Table202224294123944" ref="U63:X89" totalsRowShown="0" headerRowDxfId="5" dataDxfId="4">
  <autoFilter ref="U63:X89"/>
  <tableColumns count="4">
    <tableColumn id="1" name="NOM DU PRODUIT" dataDxfId="3"/>
    <tableColumn id="2" name="QT" dataDxfId="2">
      <calculatedColumnFormula>#REF!+Q110+Q115+Q117+Q153+Q156+Q164+Q170</calculatedColumnFormula>
    </tableColumn>
    <tableColumn id="4" name="TOTAL VENTE" dataDxfId="1"/>
    <tableColumn id="7" name="BENEFICE" dataDxfId="0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le202224294" displayName="Table202224294" ref="F3:I25" totalsRowShown="0" headerRowDxfId="111" dataDxfId="110">
  <autoFilter ref="F3:I25"/>
  <tableColumns count="4">
    <tableColumn id="1" name="NOM DU PRODUIT" dataDxfId="109"/>
    <tableColumn id="2" name="QT" dataDxfId="108">
      <calculatedColumnFormula>#REF!+B50+B55+B57+B93+B96+B104+B110</calculatedColumnFormula>
    </tableColumn>
    <tableColumn id="3" name="PRIX DE VENTE" dataDxfId="107"/>
    <tableColumn id="4" name="TOTAL VENTE" dataDxfId="106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10" name="Table20222429411" displayName="Table20222429411" ref="A3:D25" totalsRowShown="0" headerRowDxfId="105" dataDxfId="104">
  <autoFilter ref="A3:D25"/>
  <tableColumns count="4">
    <tableColumn id="1" name="NOM DU PRODUIT" dataDxfId="103"/>
    <tableColumn id="2" name="QT" dataDxfId="102">
      <calculatedColumnFormula>#REF!+#REF!+#REF!+#REF!+#REF!+#REF!+#REF!+#REF!</calculatedColumnFormula>
    </tableColumn>
    <tableColumn id="6" name="PRIX D'ACHAT" dataDxfId="101">
      <calculatedColumnFormula>#REF!+#REF!+#REF!+#REF!+#REF!+#REF!+#REF!+#REF!</calculatedColumnFormula>
    </tableColumn>
    <tableColumn id="7" name="TOTAL ACHAT" dataDxfId="100">
      <calculatedColumnFormula>Table20222429411[[#This Row],[QT]]*Table20222429411[[#This Row],[PRIX D''ACHAT]]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11" name="Table20222429412" displayName="Table20222429412" ref="U3:X29" totalsRowShown="0" headerRowDxfId="99" dataDxfId="98">
  <autoFilter ref="U3:X29"/>
  <tableColumns count="4">
    <tableColumn id="1" name="NOM DU PRODUIT" dataDxfId="97"/>
    <tableColumn id="2" name="QT" dataDxfId="96">
      <calculatedColumnFormula>#REF!+Q50+Q55+Q57+Q93+Q96+Q104+Q110</calculatedColumnFormula>
    </tableColumn>
    <tableColumn id="4" name="TOTAL VENTE" dataDxfId="95"/>
    <tableColumn id="7" name="BENEFICE" dataDxfId="94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id="19" name="Table20222429420" displayName="Table20222429420" ref="F33:I55" totalsRowShown="0" headerRowDxfId="93" dataDxfId="92">
  <autoFilter ref="F33:I55"/>
  <tableColumns count="4">
    <tableColumn id="1" name="NOM DU PRODUIT" dataDxfId="91"/>
    <tableColumn id="2" name="QT" dataDxfId="90">
      <calculatedColumnFormula>#REF!+B80+B85+B87+B123+B126+B134+B140</calculatedColumnFormula>
    </tableColumn>
    <tableColumn id="3" name="PRIX DE VENTE" dataDxfId="89"/>
    <tableColumn id="4" name="TOTAL VENTE" dataDxfId="88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id="21" name="Table2022242941122" displayName="Table2022242941122" ref="A33:D55" totalsRowShown="0" headerRowDxfId="87" dataDxfId="86">
  <autoFilter ref="A33:D55"/>
  <tableColumns count="4">
    <tableColumn id="1" name="NOM DU PRODUIT" dataDxfId="85"/>
    <tableColumn id="2" name="QT" dataDxfId="84">
      <calculatedColumnFormula>#REF!+#REF!+#REF!+#REF!+#REF!+#REF!+#REF!+#REF!</calculatedColumnFormula>
    </tableColumn>
    <tableColumn id="6" name="PRIX D'ACHAT" dataDxfId="83">
      <calculatedColumnFormula>#REF!+#REF!+#REF!+#REF!+#REF!+#REF!+#REF!+#REF!</calculatedColumnFormula>
    </tableColumn>
    <tableColumn id="7" name="TOTAL ACHAT" dataDxfId="82">
      <calculatedColumnFormula>Table2022242941122[[#This Row],[QT]]*Table2022242941122[[#This Row],[PRIX D''ACHAT]]</calculatedColumnFormula>
    </tableColumn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id="23" name="Table2022242942024" displayName="Table2022242942024" ref="F63:I85" totalsRowShown="0" headerRowDxfId="81" dataDxfId="80">
  <autoFilter ref="F63:I85"/>
  <tableColumns count="4">
    <tableColumn id="1" name="NOM DU PRODUIT" dataDxfId="79"/>
    <tableColumn id="2" name="QT" dataDxfId="78">
      <calculatedColumnFormula>#REF!+B110+B115+B117+B153+B156+B164+B170</calculatedColumnFormula>
    </tableColumn>
    <tableColumn id="3" name="PRIX DE VENTE" dataDxfId="77"/>
    <tableColumn id="4" name="TOTAL VENTE" dataDxfId="76"/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id="24" name="Table202224294112225" displayName="Table202224294112225" ref="A63:D85" totalsRowShown="0" headerRowDxfId="75" dataDxfId="74">
  <autoFilter ref="A63:D85"/>
  <tableColumns count="4">
    <tableColumn id="1" name="NOM DU PRODUIT" dataDxfId="73"/>
    <tableColumn id="2" name="QT" dataDxfId="72">
      <calculatedColumnFormula>#REF!+#REF!+#REF!+#REF!+#REF!+#REF!+#REF!+#REF!</calculatedColumnFormula>
    </tableColumn>
    <tableColumn id="6" name="PRIX D'ACHAT" dataDxfId="71">
      <calculatedColumnFormula>#REF!+#REF!+#REF!+#REF!+#REF!+#REF!+#REF!+#REF!</calculatedColumnFormula>
    </tableColumn>
    <tableColumn id="7" name="TOTAL ACHAT" dataDxfId="70">
      <calculatedColumnFormula>Table202224294112225[[#This Row],[QT]]*Table202224294112225[[#This Row],[PRIX D''ACHAT]]</calculatedColumnFormula>
    </tableColumn>
  </tableColumns>
  <tableStyleInfo name="TableStyleLight9" showFirstColumn="0" showLastColumn="0" showRowStripes="1" showColumnStripes="0"/>
</table>
</file>

<file path=xl/tables/table9.xml><?xml version="1.0" encoding="utf-8"?>
<table xmlns="http://schemas.openxmlformats.org/spreadsheetml/2006/main" id="26" name="Table202224294202427" displayName="Table202224294202427" ref="F93:I115" totalsRowShown="0" headerRowDxfId="69" dataDxfId="68">
  <autoFilter ref="F93:I115"/>
  <tableColumns count="4">
    <tableColumn id="1" name="NOM DU PRODUIT" dataDxfId="67"/>
    <tableColumn id="2" name="QT" dataDxfId="66">
      <calculatedColumnFormula>#REF!+B140+B145+B147+B183+B186+B194+B200</calculatedColumnFormula>
    </tableColumn>
    <tableColumn id="3" name="PRIX DE VENTE" dataDxfId="65"/>
    <tableColumn id="4" name="TOTAL VENTE" dataDxfId="64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13" Type="http://schemas.openxmlformats.org/officeDocument/2006/relationships/table" Target="../tables/table13.xml"/><Relationship Id="rId18" Type="http://schemas.openxmlformats.org/officeDocument/2006/relationships/table" Target="../tables/table18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12" Type="http://schemas.openxmlformats.org/officeDocument/2006/relationships/table" Target="../tables/table12.xml"/><Relationship Id="rId17" Type="http://schemas.openxmlformats.org/officeDocument/2006/relationships/table" Target="../tables/table17.xml"/><Relationship Id="rId2" Type="http://schemas.openxmlformats.org/officeDocument/2006/relationships/table" Target="../tables/table2.xml"/><Relationship Id="rId16" Type="http://schemas.openxmlformats.org/officeDocument/2006/relationships/table" Target="../tables/table16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6.xml"/><Relationship Id="rId11" Type="http://schemas.openxmlformats.org/officeDocument/2006/relationships/table" Target="../tables/table11.xml"/><Relationship Id="rId5" Type="http://schemas.openxmlformats.org/officeDocument/2006/relationships/table" Target="../tables/table5.xml"/><Relationship Id="rId15" Type="http://schemas.openxmlformats.org/officeDocument/2006/relationships/table" Target="../tables/table15.xml"/><Relationship Id="rId10" Type="http://schemas.openxmlformats.org/officeDocument/2006/relationships/table" Target="../tables/table10.xml"/><Relationship Id="rId19" Type="http://schemas.openxmlformats.org/officeDocument/2006/relationships/table" Target="../tables/table19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Relationship Id="rId14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6"/>
  <sheetViews>
    <sheetView workbookViewId="0">
      <selection activeCell="B2" sqref="B2:E16"/>
    </sheetView>
  </sheetViews>
  <sheetFormatPr defaultColWidth="11.42578125" defaultRowHeight="15" x14ac:dyDescent="0.25"/>
  <cols>
    <col min="1" max="1" width="7.5703125" customWidth="1"/>
    <col min="2" max="2" width="28.5703125" bestFit="1" customWidth="1"/>
    <col min="3" max="3" width="15" bestFit="1" customWidth="1"/>
    <col min="4" max="4" width="16.140625" bestFit="1" customWidth="1"/>
    <col min="5" max="5" width="16.7109375" bestFit="1" customWidth="1"/>
  </cols>
  <sheetData>
    <row r="2" spans="2:5" x14ac:dyDescent="0.25">
      <c r="B2" s="5" t="s">
        <v>1</v>
      </c>
      <c r="C2" s="5" t="s">
        <v>19</v>
      </c>
      <c r="D2" s="5" t="s">
        <v>18</v>
      </c>
      <c r="E2" s="5" t="s">
        <v>20</v>
      </c>
    </row>
    <row r="3" spans="2:5" ht="15.75" x14ac:dyDescent="0.25">
      <c r="B3" s="4" t="s">
        <v>14</v>
      </c>
      <c r="C3" s="7">
        <v>5200</v>
      </c>
      <c r="D3" s="7">
        <v>5300</v>
      </c>
      <c r="E3" s="7">
        <f>Tableau13[[#This Row],[PRIX DACHAT]]-Tableau13[[#This Row],[PRIX DE VENTE]]</f>
        <v>-100</v>
      </c>
    </row>
    <row r="4" spans="2:5" ht="15.75" x14ac:dyDescent="0.25">
      <c r="B4" s="3" t="s">
        <v>2</v>
      </c>
      <c r="C4" s="8">
        <v>4500</v>
      </c>
      <c r="D4" s="8">
        <v>4800</v>
      </c>
      <c r="E4" s="8">
        <f>Tableau13[[#This Row],[PRIX DACHAT]]-Tableau13[[#This Row],[PRIX DE VENTE]]</f>
        <v>-300</v>
      </c>
    </row>
    <row r="5" spans="2:5" ht="15.75" x14ac:dyDescent="0.25">
      <c r="B5" s="4" t="s">
        <v>9</v>
      </c>
      <c r="C5" s="8">
        <v>4700</v>
      </c>
      <c r="D5" s="8">
        <v>5000</v>
      </c>
      <c r="E5" s="8">
        <f>Tableau13[[#This Row],[PRIX DACHAT]]-Tableau13[[#This Row],[PRIX DE VENTE]]</f>
        <v>-300</v>
      </c>
    </row>
    <row r="6" spans="2:5" ht="15.75" x14ac:dyDescent="0.25">
      <c r="B6" s="3" t="s">
        <v>21</v>
      </c>
      <c r="C6" s="8">
        <v>4500</v>
      </c>
      <c r="D6" s="8">
        <v>4700</v>
      </c>
      <c r="E6" s="8">
        <f>Tableau13[[#This Row],[PRIX DACHAT]]-Tableau13[[#This Row],[PRIX DE VENTE]]</f>
        <v>-200</v>
      </c>
    </row>
    <row r="7" spans="2:5" ht="15.75" x14ac:dyDescent="0.25">
      <c r="B7" s="4" t="s">
        <v>22</v>
      </c>
      <c r="C7" s="8">
        <v>4500</v>
      </c>
      <c r="D7" s="8">
        <v>4800</v>
      </c>
      <c r="E7" s="8">
        <f>Tableau13[[#This Row],[PRIX DACHAT]]-Tableau13[[#This Row],[PRIX DE VENTE]]</f>
        <v>-300</v>
      </c>
    </row>
    <row r="8" spans="2:5" ht="15.75" x14ac:dyDescent="0.25">
      <c r="B8" s="3" t="s">
        <v>23</v>
      </c>
      <c r="C8" s="8">
        <v>4700</v>
      </c>
      <c r="D8" s="8">
        <v>5000</v>
      </c>
      <c r="E8" s="8">
        <f>Tableau13[[#This Row],[PRIX DACHAT]]-Tableau13[[#This Row],[PRIX DE VENTE]]</f>
        <v>-300</v>
      </c>
    </row>
    <row r="9" spans="2:5" ht="15.75" x14ac:dyDescent="0.25">
      <c r="B9" s="3" t="s">
        <v>24</v>
      </c>
      <c r="C9" s="8">
        <v>9500</v>
      </c>
      <c r="D9" s="8">
        <v>10000</v>
      </c>
      <c r="E9" s="8">
        <f>Tableau13[[#This Row],[PRIX DACHAT]]-Tableau13[[#This Row],[PRIX DE VENTE]]</f>
        <v>-500</v>
      </c>
    </row>
    <row r="10" spans="2:5" ht="15.75" x14ac:dyDescent="0.25">
      <c r="B10" s="4" t="s">
        <v>17</v>
      </c>
      <c r="C10" s="8">
        <v>3550</v>
      </c>
      <c r="D10" s="8">
        <v>4000</v>
      </c>
      <c r="E10" s="8">
        <f>Tableau13[[#This Row],[PRIX DACHAT]]-Tableau13[[#This Row],[PRIX DE VENTE]]</f>
        <v>-450</v>
      </c>
    </row>
    <row r="11" spans="2:5" ht="15.75" x14ac:dyDescent="0.25">
      <c r="B11" s="3" t="s">
        <v>16</v>
      </c>
      <c r="C11" s="8">
        <v>3900</v>
      </c>
      <c r="D11" s="8">
        <v>4500</v>
      </c>
      <c r="E11" s="8">
        <f>Tableau13[[#This Row],[PRIX DACHAT]]-Tableau13[[#This Row],[PRIX DE VENTE]]</f>
        <v>-600</v>
      </c>
    </row>
    <row r="12" spans="2:5" ht="15.75" x14ac:dyDescent="0.25">
      <c r="B12" s="4" t="s">
        <v>10</v>
      </c>
      <c r="C12" s="8">
        <v>4100</v>
      </c>
      <c r="D12" s="8">
        <v>4500</v>
      </c>
      <c r="E12" s="8">
        <f>Tableau13[[#This Row],[PRIX DACHAT]]-Tableau13[[#This Row],[PRIX DE VENTE]]</f>
        <v>-400</v>
      </c>
    </row>
    <row r="13" spans="2:5" ht="15.75" x14ac:dyDescent="0.25">
      <c r="B13" s="3" t="s">
        <v>11</v>
      </c>
      <c r="C13" s="8">
        <v>18200</v>
      </c>
      <c r="D13" s="8">
        <v>19000</v>
      </c>
      <c r="E13" s="8">
        <f>Tableau13[[#This Row],[PRIX DACHAT]]-Tableau13[[#This Row],[PRIX DE VENTE]]</f>
        <v>-800</v>
      </c>
    </row>
    <row r="14" spans="2:5" ht="15.75" x14ac:dyDescent="0.25">
      <c r="B14" s="4" t="s">
        <v>12</v>
      </c>
      <c r="C14" s="8">
        <v>6500</v>
      </c>
      <c r="D14" s="8">
        <v>7000</v>
      </c>
      <c r="E14" s="8">
        <f>Tableau13[[#This Row],[PRIX DACHAT]]-Tableau13[[#This Row],[PRIX DE VENTE]]</f>
        <v>-500</v>
      </c>
    </row>
    <row r="15" spans="2:5" ht="15.75" x14ac:dyDescent="0.25">
      <c r="B15" s="3" t="s">
        <v>13</v>
      </c>
      <c r="C15" s="8">
        <v>5300</v>
      </c>
      <c r="D15" s="8">
        <v>5500</v>
      </c>
      <c r="E15" s="8">
        <f>Tableau13[[#This Row],[PRIX DACHAT]]-Tableau13[[#This Row],[PRIX DE VENTE]]</f>
        <v>-200</v>
      </c>
    </row>
    <row r="16" spans="2:5" ht="15.75" x14ac:dyDescent="0.25">
      <c r="B16" s="6" t="s">
        <v>15</v>
      </c>
      <c r="C16" s="9">
        <v>10650</v>
      </c>
      <c r="D16" s="9">
        <v>11500</v>
      </c>
      <c r="E16" s="9">
        <f>Tableau13[[#This Row],[PRIX DACHAT]]-Tableau13[[#This Row],[PRIX DE VENTE]]</f>
        <v>-850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79"/>
  <sheetViews>
    <sheetView tabSelected="1" topLeftCell="A145" zoomScale="80" zoomScaleNormal="80" workbookViewId="0">
      <selection activeCell="I179" sqref="I179"/>
    </sheetView>
  </sheetViews>
  <sheetFormatPr defaultRowHeight="15" x14ac:dyDescent="0.25"/>
  <cols>
    <col min="1" max="1" width="28.7109375" bestFit="1" customWidth="1"/>
    <col min="2" max="2" width="6.28515625" bestFit="1" customWidth="1"/>
    <col min="3" max="3" width="17" bestFit="1" customWidth="1"/>
    <col min="4" max="4" width="19.85546875" bestFit="1" customWidth="1"/>
    <col min="6" max="6" width="28.7109375" bestFit="1" customWidth="1"/>
    <col min="7" max="7" width="6.7109375" bestFit="1" customWidth="1"/>
    <col min="8" max="8" width="22.5703125" bestFit="1" customWidth="1"/>
    <col min="9" max="9" width="19.85546875" bestFit="1" customWidth="1"/>
    <col min="10" max="10" width="23.140625" bestFit="1" customWidth="1"/>
    <col min="11" max="11" width="22.140625" bestFit="1" customWidth="1"/>
    <col min="12" max="12" width="22.7109375" style="24" bestFit="1" customWidth="1"/>
    <col min="13" max="13" width="22.7109375" style="24" customWidth="1"/>
    <col min="14" max="14" width="7.85546875" customWidth="1"/>
    <col min="15" max="15" width="13" bestFit="1" customWidth="1"/>
    <col min="16" max="16" width="13.140625" bestFit="1" customWidth="1"/>
    <col min="17" max="17" width="5" bestFit="1" customWidth="1"/>
    <col min="18" max="18" width="14.85546875" bestFit="1" customWidth="1"/>
    <col min="19" max="19" width="16.28515625" bestFit="1" customWidth="1"/>
    <col min="21" max="21" width="21.42578125" bestFit="1" customWidth="1"/>
    <col min="22" max="22" width="6.7109375" bestFit="1" customWidth="1"/>
    <col min="23" max="23" width="27.7109375" bestFit="1" customWidth="1"/>
    <col min="24" max="24" width="15.28515625" bestFit="1" customWidth="1"/>
  </cols>
  <sheetData>
    <row r="1" spans="1:24" ht="26.25" x14ac:dyDescent="0.4">
      <c r="A1" s="61" t="s">
        <v>35</v>
      </c>
      <c r="B1" s="61"/>
      <c r="C1" s="61"/>
      <c r="D1" s="61"/>
      <c r="E1" s="22"/>
      <c r="F1" s="62" t="s">
        <v>36</v>
      </c>
      <c r="G1" s="62"/>
      <c r="H1" s="62"/>
      <c r="I1" s="62"/>
      <c r="J1" s="46"/>
      <c r="K1" s="46"/>
      <c r="L1" s="46"/>
      <c r="M1" s="46"/>
      <c r="N1" s="23"/>
      <c r="O1" s="59" t="s">
        <v>40</v>
      </c>
      <c r="P1" s="59"/>
      <c r="Q1" s="59"/>
      <c r="R1" s="59"/>
      <c r="S1" s="59"/>
      <c r="U1" s="60" t="s">
        <v>49</v>
      </c>
      <c r="V1" s="60"/>
      <c r="W1" s="60"/>
      <c r="X1" s="60"/>
    </row>
    <row r="2" spans="1:24" x14ac:dyDescent="0.25">
      <c r="J2" s="24"/>
      <c r="K2" s="24"/>
    </row>
    <row r="3" spans="1:24" ht="15.75" x14ac:dyDescent="0.25">
      <c r="A3" s="1" t="s">
        <v>0</v>
      </c>
      <c r="B3" s="1" t="s">
        <v>37</v>
      </c>
      <c r="C3" s="1" t="s">
        <v>32</v>
      </c>
      <c r="D3" s="1" t="s">
        <v>34</v>
      </c>
      <c r="F3" s="1" t="s">
        <v>0</v>
      </c>
      <c r="G3" s="1" t="s">
        <v>37</v>
      </c>
      <c r="H3" s="1" t="s">
        <v>18</v>
      </c>
      <c r="I3" s="1" t="s">
        <v>33</v>
      </c>
      <c r="J3" s="47"/>
      <c r="K3" s="47"/>
      <c r="L3" s="47"/>
      <c r="M3" s="47"/>
      <c r="N3" s="1"/>
      <c r="O3" s="15" t="s">
        <v>38</v>
      </c>
      <c r="P3" s="15" t="s">
        <v>39</v>
      </c>
      <c r="Q3" s="16" t="s">
        <v>37</v>
      </c>
      <c r="R3" s="16" t="s">
        <v>32</v>
      </c>
      <c r="S3" s="16" t="s">
        <v>3</v>
      </c>
      <c r="U3" s="1" t="s">
        <v>0</v>
      </c>
      <c r="V3" s="1" t="s">
        <v>37</v>
      </c>
      <c r="W3" s="1" t="s">
        <v>33</v>
      </c>
      <c r="X3" s="1" t="s">
        <v>25</v>
      </c>
    </row>
    <row r="4" spans="1:24" ht="15.75" x14ac:dyDescent="0.25">
      <c r="A4" s="1" t="s">
        <v>4</v>
      </c>
      <c r="B4" s="27">
        <v>35</v>
      </c>
      <c r="C4" s="12">
        <v>5200</v>
      </c>
      <c r="D4" s="11">
        <f>Table20222429411[[#This Row],[QT]]*Table20222429411[[#This Row],[PRIX D''ACHAT]]</f>
        <v>182000</v>
      </c>
      <c r="F4" s="1" t="s">
        <v>4</v>
      </c>
      <c r="G4" s="27">
        <v>35</v>
      </c>
      <c r="H4" s="11">
        <v>5300</v>
      </c>
      <c r="I4" s="11">
        <f>Table202224294[[#This Row],[QT]]*Table202224294[[#This Row],[PRIX DE VENTE]]</f>
        <v>185500</v>
      </c>
      <c r="J4" s="48"/>
      <c r="K4" s="48"/>
      <c r="L4" s="48"/>
      <c r="M4" s="48"/>
      <c r="N4" s="11"/>
      <c r="O4" s="37">
        <v>44844</v>
      </c>
      <c r="P4" s="17" t="s">
        <v>47</v>
      </c>
      <c r="Q4" s="18">
        <v>1</v>
      </c>
      <c r="R4" s="19">
        <v>5000</v>
      </c>
      <c r="S4" s="19">
        <f>Q4*R4</f>
        <v>5000</v>
      </c>
      <c r="U4" s="1" t="s">
        <v>4</v>
      </c>
      <c r="V4" s="27">
        <v>35</v>
      </c>
      <c r="W4" s="11">
        <f>Table202224294[[#This Row],[TOTAL VENTE]]</f>
        <v>185500</v>
      </c>
      <c r="X4" s="11">
        <f>Table202224294[[#This Row],[TOTAL VENTE]]-Table20222429411[[#This Row],[TOTAL ACHAT]]</f>
        <v>3500</v>
      </c>
    </row>
    <row r="5" spans="1:24" ht="15.75" x14ac:dyDescent="0.25">
      <c r="A5" s="1" t="s">
        <v>5</v>
      </c>
      <c r="B5" s="27">
        <v>8</v>
      </c>
      <c r="C5" s="12">
        <v>4500</v>
      </c>
      <c r="D5" s="11">
        <f>Table20222429411[[#This Row],[QT]]*Table20222429411[[#This Row],[PRIX D''ACHAT]]</f>
        <v>36000</v>
      </c>
      <c r="F5" s="1" t="s">
        <v>5</v>
      </c>
      <c r="G5" s="27">
        <v>8</v>
      </c>
      <c r="H5" s="11">
        <v>4800</v>
      </c>
      <c r="I5" s="11">
        <f>Table202224294[[#This Row],[QT]]*Table202224294[[#This Row],[PRIX DE VENTE]]</f>
        <v>38400</v>
      </c>
      <c r="J5" s="48"/>
      <c r="K5" s="48"/>
      <c r="L5" s="48"/>
      <c r="M5" s="48"/>
      <c r="N5" s="11"/>
      <c r="O5" s="37">
        <v>44875</v>
      </c>
      <c r="P5" s="17" t="s">
        <v>48</v>
      </c>
      <c r="Q5" s="18">
        <v>1</v>
      </c>
      <c r="R5" s="19">
        <v>500</v>
      </c>
      <c r="S5" s="19">
        <f t="shared" ref="S5:S24" si="0">Q5*R5</f>
        <v>500</v>
      </c>
      <c r="U5" s="1" t="s">
        <v>5</v>
      </c>
      <c r="V5" s="27">
        <v>8</v>
      </c>
      <c r="W5" s="11">
        <f>Table202224294[[#This Row],[TOTAL VENTE]]</f>
        <v>38400</v>
      </c>
      <c r="X5" s="11">
        <f>Table202224294[[#This Row],[TOTAL VENTE]]-Table20222429411[[#This Row],[TOTAL ACHAT]]</f>
        <v>2400</v>
      </c>
    </row>
    <row r="6" spans="1:24" ht="15.75" x14ac:dyDescent="0.25">
      <c r="A6" s="1" t="s">
        <v>28</v>
      </c>
      <c r="B6" s="27">
        <v>5</v>
      </c>
      <c r="C6" s="12">
        <v>4700</v>
      </c>
      <c r="D6" s="11">
        <f>Table20222429411[[#This Row],[QT]]*Table20222429411[[#This Row],[PRIX D''ACHAT]]</f>
        <v>23500</v>
      </c>
      <c r="F6" s="1" t="s">
        <v>28</v>
      </c>
      <c r="G6" s="27">
        <v>5</v>
      </c>
      <c r="H6" s="11">
        <v>5000</v>
      </c>
      <c r="I6" s="11">
        <f>Table202224294[[#This Row],[QT]]*Table202224294[[#This Row],[PRIX DE VENTE]]</f>
        <v>25000</v>
      </c>
      <c r="J6" s="48"/>
      <c r="K6" s="48"/>
      <c r="L6" s="48"/>
      <c r="M6" s="48"/>
      <c r="N6" s="11"/>
      <c r="O6" s="17"/>
      <c r="P6" s="17"/>
      <c r="Q6" s="18"/>
      <c r="R6" s="19"/>
      <c r="S6" s="19">
        <f t="shared" si="0"/>
        <v>0</v>
      </c>
      <c r="U6" s="1" t="s">
        <v>28</v>
      </c>
      <c r="V6" s="27">
        <v>5</v>
      </c>
      <c r="W6" s="11">
        <f>Table202224294[[#This Row],[TOTAL VENTE]]</f>
        <v>25000</v>
      </c>
      <c r="X6" s="11">
        <f>Table202224294[[#This Row],[TOTAL VENTE]]-Table20222429411[[#This Row],[TOTAL ACHAT]]</f>
        <v>1500</v>
      </c>
    </row>
    <row r="7" spans="1:24" ht="15.75" x14ac:dyDescent="0.25">
      <c r="A7" s="1" t="s">
        <v>27</v>
      </c>
      <c r="B7" s="27">
        <v>0</v>
      </c>
      <c r="C7" s="12">
        <v>4500</v>
      </c>
      <c r="D7" s="11">
        <f>Table20222429411[[#This Row],[QT]]*Table20222429411[[#This Row],[PRIX D''ACHAT]]</f>
        <v>0</v>
      </c>
      <c r="F7" s="1" t="s">
        <v>27</v>
      </c>
      <c r="G7" s="27">
        <v>0</v>
      </c>
      <c r="H7" s="11">
        <v>4700</v>
      </c>
      <c r="I7" s="11">
        <f>Table202224294[[#This Row],[QT]]*Table202224294[[#This Row],[PRIX DE VENTE]]</f>
        <v>0</v>
      </c>
      <c r="J7" s="48"/>
      <c r="K7" s="48"/>
      <c r="L7" s="48"/>
      <c r="M7" s="48"/>
      <c r="N7" s="11"/>
      <c r="O7" s="17"/>
      <c r="P7" s="17"/>
      <c r="Q7" s="18"/>
      <c r="R7" s="19"/>
      <c r="S7" s="19">
        <f t="shared" si="0"/>
        <v>0</v>
      </c>
      <c r="U7" s="1" t="s">
        <v>27</v>
      </c>
      <c r="V7" s="27">
        <v>0</v>
      </c>
      <c r="W7" s="11">
        <f>Table202224294[[#This Row],[TOTAL VENTE]]</f>
        <v>0</v>
      </c>
      <c r="X7" s="11">
        <f>Table202224294[[#This Row],[TOTAL VENTE]]-Table20222429411[[#This Row],[TOTAL ACHAT]]</f>
        <v>0</v>
      </c>
    </row>
    <row r="8" spans="1:24" ht="15.75" x14ac:dyDescent="0.25">
      <c r="A8" s="1" t="s">
        <v>31</v>
      </c>
      <c r="B8" s="27">
        <v>0</v>
      </c>
      <c r="C8" s="29">
        <v>6500</v>
      </c>
      <c r="D8" s="11">
        <f>Table20222429411[[#This Row],[QT]]*Table20222429411[[#This Row],[PRIX D''ACHAT]]</f>
        <v>0</v>
      </c>
      <c r="F8" s="1" t="s">
        <v>31</v>
      </c>
      <c r="G8" s="27">
        <v>0</v>
      </c>
      <c r="H8" s="11">
        <v>7000</v>
      </c>
      <c r="I8" s="11">
        <f>Table202224294[[#This Row],[QT]]*Table202224294[[#This Row],[PRIX DE VENTE]]</f>
        <v>0</v>
      </c>
      <c r="J8" s="48"/>
      <c r="K8" s="48"/>
      <c r="L8" s="48"/>
      <c r="M8" s="48"/>
      <c r="N8" s="11"/>
      <c r="O8" s="17"/>
      <c r="P8" s="17"/>
      <c r="Q8" s="18"/>
      <c r="R8" s="19"/>
      <c r="S8" s="19">
        <f t="shared" si="0"/>
        <v>0</v>
      </c>
      <c r="U8" s="1" t="s">
        <v>31</v>
      </c>
      <c r="V8" s="27">
        <v>0</v>
      </c>
      <c r="W8" s="11">
        <f>Table202224294[[#This Row],[TOTAL VENTE]]</f>
        <v>0</v>
      </c>
      <c r="X8" s="11">
        <f>Table202224294[[#This Row],[TOTAL VENTE]]-Table20222429411[[#This Row],[TOTAL ACHAT]]</f>
        <v>0</v>
      </c>
    </row>
    <row r="9" spans="1:24" ht="15.75" x14ac:dyDescent="0.25">
      <c r="A9" s="1" t="s">
        <v>6</v>
      </c>
      <c r="B9" s="27">
        <v>6</v>
      </c>
      <c r="C9" s="12">
        <v>5300</v>
      </c>
      <c r="D9" s="11">
        <f>Table20222429411[[#This Row],[QT]]*Table20222429411[[#This Row],[PRIX D''ACHAT]]</f>
        <v>31800</v>
      </c>
      <c r="F9" s="1" t="s">
        <v>6</v>
      </c>
      <c r="G9" s="27">
        <v>6</v>
      </c>
      <c r="H9" s="11">
        <v>5500</v>
      </c>
      <c r="I9" s="11">
        <f>Table202224294[[#This Row],[QT]]*Table202224294[[#This Row],[PRIX DE VENTE]]</f>
        <v>33000</v>
      </c>
      <c r="J9" s="48"/>
      <c r="K9" s="48"/>
      <c r="L9" s="48"/>
      <c r="M9" s="48"/>
      <c r="N9" s="11"/>
      <c r="O9" s="17"/>
      <c r="P9" s="17"/>
      <c r="Q9" s="18"/>
      <c r="R9" s="19"/>
      <c r="S9" s="19">
        <f t="shared" si="0"/>
        <v>0</v>
      </c>
      <c r="U9" s="1" t="s">
        <v>6</v>
      </c>
      <c r="V9" s="27">
        <v>6</v>
      </c>
      <c r="W9" s="11">
        <f>Table202224294[[#This Row],[TOTAL VENTE]]</f>
        <v>33000</v>
      </c>
      <c r="X9" s="11">
        <f>Table202224294[[#This Row],[TOTAL VENTE]]-Table20222429411[[#This Row],[TOTAL ACHAT]]</f>
        <v>1200</v>
      </c>
    </row>
    <row r="10" spans="1:24" ht="15.75" x14ac:dyDescent="0.25">
      <c r="A10" s="1" t="s">
        <v>7</v>
      </c>
      <c r="B10" s="27">
        <v>0</v>
      </c>
      <c r="C10" s="12">
        <v>4100</v>
      </c>
      <c r="D10" s="11">
        <f>Table20222429411[[#This Row],[QT]]*Table20222429411[[#This Row],[PRIX D''ACHAT]]</f>
        <v>0</v>
      </c>
      <c r="F10" s="1" t="s">
        <v>7</v>
      </c>
      <c r="G10" s="27">
        <v>0</v>
      </c>
      <c r="H10" s="11">
        <v>4500</v>
      </c>
      <c r="I10" s="11">
        <f>Table202224294[[#This Row],[QT]]*Table202224294[[#This Row],[PRIX DE VENTE]]</f>
        <v>0</v>
      </c>
      <c r="J10" s="48"/>
      <c r="K10" s="48"/>
      <c r="L10" s="48"/>
      <c r="M10" s="48"/>
      <c r="N10" s="11"/>
      <c r="O10" s="17"/>
      <c r="P10" s="17"/>
      <c r="Q10" s="18"/>
      <c r="R10" s="19"/>
      <c r="S10" s="19">
        <f t="shared" si="0"/>
        <v>0</v>
      </c>
      <c r="U10" s="1" t="s">
        <v>7</v>
      </c>
      <c r="V10" s="27">
        <v>0</v>
      </c>
      <c r="W10" s="11">
        <f>Table202224294[[#This Row],[TOTAL VENTE]]</f>
        <v>0</v>
      </c>
      <c r="X10" s="11">
        <f>Table202224294[[#This Row],[TOTAL VENTE]]-Table20222429411[[#This Row],[TOTAL ACHAT]]</f>
        <v>0</v>
      </c>
    </row>
    <row r="11" spans="1:24" ht="15.75" x14ac:dyDescent="0.25">
      <c r="A11" s="1" t="s">
        <v>8</v>
      </c>
      <c r="B11" s="27">
        <v>1</v>
      </c>
      <c r="C11" s="12">
        <v>18200</v>
      </c>
      <c r="D11" s="11">
        <f>Table20222429411[[#This Row],[QT]]*Table20222429411[[#This Row],[PRIX D''ACHAT]]</f>
        <v>18200</v>
      </c>
      <c r="F11" s="1" t="s">
        <v>8</v>
      </c>
      <c r="G11" s="27">
        <v>1</v>
      </c>
      <c r="H11" s="11">
        <v>19000</v>
      </c>
      <c r="I11" s="11">
        <f>Table202224294[[#This Row],[QT]]*Table202224294[[#This Row],[PRIX DE VENTE]]</f>
        <v>19000</v>
      </c>
      <c r="J11" s="48"/>
      <c r="K11" s="48"/>
      <c r="L11" s="48"/>
      <c r="M11" s="48"/>
      <c r="N11" s="11"/>
      <c r="O11" s="17"/>
      <c r="P11" s="17"/>
      <c r="Q11" s="18"/>
      <c r="R11" s="19"/>
      <c r="S11" s="19">
        <f t="shared" si="0"/>
        <v>0</v>
      </c>
      <c r="U11" s="1" t="s">
        <v>8</v>
      </c>
      <c r="V11" s="27">
        <v>1</v>
      </c>
      <c r="W11" s="11">
        <f>Table202224294[[#This Row],[TOTAL VENTE]]</f>
        <v>19000</v>
      </c>
      <c r="X11" s="11">
        <f>Table202224294[[#This Row],[TOTAL VENTE]]-Table20222429411[[#This Row],[TOTAL ACHAT]]</f>
        <v>800</v>
      </c>
    </row>
    <row r="12" spans="1:24" ht="15.75" x14ac:dyDescent="0.25">
      <c r="A12" s="1" t="s">
        <v>41</v>
      </c>
      <c r="B12" s="27">
        <v>10</v>
      </c>
      <c r="C12" s="12">
        <v>4500</v>
      </c>
      <c r="D12" s="11">
        <f>Table20222429411[[#This Row],[QT]]*Table20222429411[[#This Row],[PRIX D''ACHAT]]</f>
        <v>45000</v>
      </c>
      <c r="F12" s="1" t="s">
        <v>41</v>
      </c>
      <c r="G12" s="27">
        <v>10</v>
      </c>
      <c r="H12" s="11">
        <v>4800</v>
      </c>
      <c r="I12" s="11">
        <f>Table202224294[[#This Row],[QT]]*Table202224294[[#This Row],[PRIX DE VENTE]]</f>
        <v>48000</v>
      </c>
      <c r="J12" s="48"/>
      <c r="K12" s="48"/>
      <c r="L12" s="48"/>
      <c r="M12" s="48"/>
      <c r="N12" s="11"/>
      <c r="O12" s="17"/>
      <c r="P12" s="17"/>
      <c r="Q12" s="18"/>
      <c r="R12" s="19"/>
      <c r="S12" s="19">
        <f t="shared" si="0"/>
        <v>0</v>
      </c>
      <c r="U12" s="1" t="s">
        <v>41</v>
      </c>
      <c r="V12" s="27">
        <v>10</v>
      </c>
      <c r="W12" s="11">
        <f>Table202224294[[#This Row],[TOTAL VENTE]]</f>
        <v>48000</v>
      </c>
      <c r="X12" s="11">
        <f>Table202224294[[#This Row],[TOTAL VENTE]]-Table20222429411[[#This Row],[TOTAL ACHAT]]</f>
        <v>3000</v>
      </c>
    </row>
    <row r="13" spans="1:24" ht="15.75" x14ac:dyDescent="0.25">
      <c r="A13" s="1" t="s">
        <v>30</v>
      </c>
      <c r="B13" s="27">
        <v>0</v>
      </c>
      <c r="C13" s="12">
        <v>10650</v>
      </c>
      <c r="D13" s="11">
        <f>Table20222429411[[#This Row],[QT]]*Table20222429411[[#This Row],[PRIX D''ACHAT]]</f>
        <v>0</v>
      </c>
      <c r="F13" s="1" t="s">
        <v>30</v>
      </c>
      <c r="G13" s="27">
        <v>0</v>
      </c>
      <c r="H13" s="11">
        <v>11100</v>
      </c>
      <c r="I13" s="11">
        <f>Table202224294[[#This Row],[QT]]*Table202224294[[#This Row],[PRIX DE VENTE]]</f>
        <v>0</v>
      </c>
      <c r="J13" s="48"/>
      <c r="K13" s="48"/>
      <c r="L13" s="48"/>
      <c r="M13" s="48"/>
      <c r="N13" s="11"/>
      <c r="O13" s="17"/>
      <c r="P13" s="17"/>
      <c r="Q13" s="18"/>
      <c r="R13" s="19"/>
      <c r="S13" s="19">
        <f t="shared" si="0"/>
        <v>0</v>
      </c>
      <c r="U13" s="1" t="s">
        <v>30</v>
      </c>
      <c r="V13" s="27">
        <v>0</v>
      </c>
      <c r="W13" s="11">
        <f>Table202224294[[#This Row],[TOTAL VENTE]]</f>
        <v>0</v>
      </c>
      <c r="X13" s="11">
        <f>Table202224294[[#This Row],[TOTAL VENTE]]-Table20222429411[[#This Row],[TOTAL ACHAT]]</f>
        <v>0</v>
      </c>
    </row>
    <row r="14" spans="1:24" ht="15.75" x14ac:dyDescent="0.25">
      <c r="A14" s="1" t="s">
        <v>29</v>
      </c>
      <c r="B14" s="27">
        <v>3</v>
      </c>
      <c r="C14" s="12">
        <v>3900</v>
      </c>
      <c r="D14" s="11">
        <f>Table20222429411[[#This Row],[QT]]*Table20222429411[[#This Row],[PRIX D''ACHAT]]</f>
        <v>11700</v>
      </c>
      <c r="F14" s="1" t="s">
        <v>29</v>
      </c>
      <c r="G14" s="27">
        <v>3</v>
      </c>
      <c r="H14" s="11">
        <v>4500</v>
      </c>
      <c r="I14" s="11">
        <f>Table202224294[[#This Row],[QT]]*Table202224294[[#This Row],[PRIX DE VENTE]]</f>
        <v>13500</v>
      </c>
      <c r="J14" s="48"/>
      <c r="K14" s="48"/>
      <c r="L14" s="48"/>
      <c r="M14" s="48"/>
      <c r="N14" s="11"/>
      <c r="O14" s="17"/>
      <c r="P14" s="17"/>
      <c r="Q14" s="18"/>
      <c r="R14" s="19"/>
      <c r="S14" s="19">
        <f t="shared" si="0"/>
        <v>0</v>
      </c>
      <c r="U14" s="1" t="s">
        <v>29</v>
      </c>
      <c r="V14" s="27">
        <v>3</v>
      </c>
      <c r="W14" s="11">
        <f>Table202224294[[#This Row],[TOTAL VENTE]]</f>
        <v>13500</v>
      </c>
      <c r="X14" s="11">
        <f>Table202224294[[#This Row],[TOTAL VENTE]]-Table20222429411[[#This Row],[TOTAL ACHAT]]</f>
        <v>1800</v>
      </c>
    </row>
    <row r="15" spans="1:24" ht="15.75" x14ac:dyDescent="0.25">
      <c r="A15" s="1" t="s">
        <v>26</v>
      </c>
      <c r="B15" s="27">
        <v>0</v>
      </c>
      <c r="C15" s="12">
        <v>9500</v>
      </c>
      <c r="D15" s="11">
        <f>Table20222429411[[#This Row],[QT]]*Table20222429411[[#This Row],[PRIX D''ACHAT]]</f>
        <v>0</v>
      </c>
      <c r="F15" s="1" t="s">
        <v>26</v>
      </c>
      <c r="G15" s="27">
        <v>0</v>
      </c>
      <c r="H15" s="11">
        <v>10000</v>
      </c>
      <c r="I15" s="11">
        <f>Table202224294[[#This Row],[QT]]*Table202224294[[#This Row],[PRIX DE VENTE]]</f>
        <v>0</v>
      </c>
      <c r="J15" s="48"/>
      <c r="K15" s="48"/>
      <c r="L15" s="48"/>
      <c r="M15" s="48"/>
      <c r="N15" s="11"/>
      <c r="O15" s="17"/>
      <c r="P15" s="17"/>
      <c r="Q15" s="18"/>
      <c r="R15" s="19"/>
      <c r="S15" s="19">
        <f t="shared" si="0"/>
        <v>0</v>
      </c>
      <c r="U15" s="1" t="s">
        <v>26</v>
      </c>
      <c r="V15" s="27">
        <v>0</v>
      </c>
      <c r="W15" s="11">
        <f>Table202224294[[#This Row],[TOTAL VENTE]]</f>
        <v>0</v>
      </c>
      <c r="X15" s="11">
        <f>Table202224294[[#This Row],[TOTAL VENTE]]-Table20222429411[[#This Row],[TOTAL ACHAT]]</f>
        <v>0</v>
      </c>
    </row>
    <row r="16" spans="1:24" ht="16.5" customHeight="1" x14ac:dyDescent="0.25">
      <c r="A16" s="1" t="s">
        <v>42</v>
      </c>
      <c r="B16" s="27">
        <v>2</v>
      </c>
      <c r="C16" s="12">
        <v>3550</v>
      </c>
      <c r="D16" s="11">
        <f>Table20222429411[[#This Row],[QT]]*Table20222429411[[#This Row],[PRIX D''ACHAT]]</f>
        <v>7100</v>
      </c>
      <c r="F16" s="1" t="s">
        <v>42</v>
      </c>
      <c r="G16" s="27">
        <v>2</v>
      </c>
      <c r="H16" s="11">
        <v>4000</v>
      </c>
      <c r="I16" s="11">
        <f>Table202224294[[#This Row],[QT]]*Table202224294[[#This Row],[PRIX DE VENTE]]</f>
        <v>8000</v>
      </c>
      <c r="J16" s="48"/>
      <c r="K16" s="48"/>
      <c r="L16" s="48"/>
      <c r="M16" s="48"/>
      <c r="N16" s="11"/>
      <c r="O16" s="17"/>
      <c r="P16" s="17"/>
      <c r="Q16" s="18"/>
      <c r="R16" s="19"/>
      <c r="S16" s="19">
        <f t="shared" si="0"/>
        <v>0</v>
      </c>
      <c r="U16" s="1" t="s">
        <v>42</v>
      </c>
      <c r="V16" s="27">
        <v>2</v>
      </c>
      <c r="W16" s="11">
        <f>Table202224294[[#This Row],[TOTAL VENTE]]</f>
        <v>8000</v>
      </c>
      <c r="X16" s="11">
        <f>Table202224294[[#This Row],[TOTAL VENTE]]-Table20222429411[[#This Row],[TOTAL ACHAT]]</f>
        <v>900</v>
      </c>
    </row>
    <row r="17" spans="1:24" ht="15.75" customHeight="1" x14ac:dyDescent="0.35">
      <c r="A17" s="1" t="s">
        <v>43</v>
      </c>
      <c r="B17" s="27">
        <v>0</v>
      </c>
      <c r="C17" s="12">
        <v>3550</v>
      </c>
      <c r="D17" s="11">
        <f>Table20222429411[[#This Row],[QT]]*Table20222429411[[#This Row],[PRIX D''ACHAT]]</f>
        <v>0</v>
      </c>
      <c r="F17" s="1" t="s">
        <v>43</v>
      </c>
      <c r="G17" s="27">
        <v>0</v>
      </c>
      <c r="H17" s="11">
        <v>4000</v>
      </c>
      <c r="I17" s="11">
        <f>Table202224294[[#This Row],[QT]]*Table202224294[[#This Row],[PRIX DE VENTE]]</f>
        <v>0</v>
      </c>
      <c r="J17" s="48"/>
      <c r="K17" s="48"/>
      <c r="L17" s="48"/>
      <c r="M17" s="48"/>
      <c r="N17" s="21"/>
      <c r="O17" s="17"/>
      <c r="P17" s="17"/>
      <c r="Q17" s="18"/>
      <c r="R17" s="19"/>
      <c r="S17" s="19">
        <f t="shared" si="0"/>
        <v>0</v>
      </c>
      <c r="U17" s="1" t="s">
        <v>43</v>
      </c>
      <c r="V17" s="27">
        <v>0</v>
      </c>
      <c r="W17" s="11">
        <f>Table202224294[[#This Row],[TOTAL VENTE]]</f>
        <v>0</v>
      </c>
      <c r="X17" s="11">
        <f>Table202224294[[#This Row],[TOTAL VENTE]]-Table20222429411[[#This Row],[TOTAL ACHAT]]</f>
        <v>0</v>
      </c>
    </row>
    <row r="18" spans="1:24" ht="15.75" x14ac:dyDescent="0.25">
      <c r="A18" s="1" t="s">
        <v>44</v>
      </c>
      <c r="B18" s="27">
        <v>1</v>
      </c>
      <c r="C18" s="12">
        <v>3550</v>
      </c>
      <c r="D18" s="11">
        <f>Table20222429411[[#This Row],[QT]]*Table20222429411[[#This Row],[PRIX D''ACHAT]]</f>
        <v>3550</v>
      </c>
      <c r="F18" s="1" t="s">
        <v>44</v>
      </c>
      <c r="G18" s="27">
        <v>1</v>
      </c>
      <c r="H18" s="11">
        <v>4000</v>
      </c>
      <c r="I18" s="11">
        <f>Table202224294[[#This Row],[QT]]*Table202224294[[#This Row],[PRIX DE VENTE]]</f>
        <v>4000</v>
      </c>
      <c r="J18" s="48"/>
      <c r="K18" s="48"/>
      <c r="L18" s="48"/>
      <c r="M18" s="48"/>
      <c r="O18" s="17"/>
      <c r="P18" s="17"/>
      <c r="Q18" s="18"/>
      <c r="R18" s="19"/>
      <c r="S18" s="19">
        <f t="shared" si="0"/>
        <v>0</v>
      </c>
      <c r="U18" s="1" t="s">
        <v>44</v>
      </c>
      <c r="V18" s="27">
        <v>1</v>
      </c>
      <c r="W18" s="11">
        <f>Table202224294[[#This Row],[TOTAL VENTE]]</f>
        <v>4000</v>
      </c>
      <c r="X18" s="11">
        <f>Table202224294[[#This Row],[TOTAL VENTE]]-Table20222429411[[#This Row],[TOTAL ACHAT]]</f>
        <v>450</v>
      </c>
    </row>
    <row r="19" spans="1:24" ht="15.75" x14ac:dyDescent="0.25">
      <c r="A19" s="1" t="s">
        <v>45</v>
      </c>
      <c r="B19" s="28">
        <v>2</v>
      </c>
      <c r="C19" s="12">
        <v>5000</v>
      </c>
      <c r="D19" s="11">
        <f>Table20222429411[[#This Row],[QT]]*Table20222429411[[#This Row],[PRIX D''ACHAT]]</f>
        <v>10000</v>
      </c>
      <c r="F19" s="1" t="s">
        <v>45</v>
      </c>
      <c r="G19" s="28">
        <v>2</v>
      </c>
      <c r="H19" s="11">
        <v>5500</v>
      </c>
      <c r="I19" s="11">
        <f>Table202224294[[#This Row],[QT]]*Table202224294[[#This Row],[PRIX DE VENTE]]</f>
        <v>11000</v>
      </c>
      <c r="J19" s="48"/>
      <c r="K19" s="48"/>
      <c r="L19" s="48"/>
      <c r="M19" s="48"/>
      <c r="O19" s="17"/>
      <c r="P19" s="17"/>
      <c r="Q19" s="18"/>
      <c r="R19" s="19"/>
      <c r="S19" s="19">
        <f t="shared" si="0"/>
        <v>0</v>
      </c>
      <c r="U19" s="1" t="s">
        <v>45</v>
      </c>
      <c r="V19" s="28">
        <v>2</v>
      </c>
      <c r="W19" s="11">
        <f>Table202224294[[#This Row],[TOTAL VENTE]]</f>
        <v>11000</v>
      </c>
      <c r="X19" s="11">
        <f>Table202224294[[#This Row],[TOTAL VENTE]]-Table20222429411[[#This Row],[TOTAL ACHAT]]</f>
        <v>1000</v>
      </c>
    </row>
    <row r="20" spans="1:24" ht="15.75" x14ac:dyDescent="0.25">
      <c r="A20" s="1"/>
      <c r="B20" s="2">
        <v>0</v>
      </c>
      <c r="C20" s="12">
        <v>0</v>
      </c>
      <c r="D20" s="11">
        <v>0</v>
      </c>
      <c r="F20" s="1"/>
      <c r="G20" s="2">
        <f>B48+B66+B71+B73+B109+B112+B120+B126</f>
        <v>9</v>
      </c>
      <c r="H20" s="11">
        <v>0</v>
      </c>
      <c r="I20" s="11">
        <f>Table202224294[[#This Row],[QT]]*Table202224294[[#This Row],[PRIX DE VENTE]]</f>
        <v>0</v>
      </c>
      <c r="J20" s="48"/>
      <c r="K20" s="48"/>
      <c r="L20" s="48"/>
      <c r="M20" s="48"/>
      <c r="O20" s="17"/>
      <c r="P20" s="17"/>
      <c r="Q20" s="18"/>
      <c r="R20" s="19"/>
      <c r="S20" s="19">
        <f t="shared" si="0"/>
        <v>0</v>
      </c>
      <c r="U20" s="1"/>
      <c r="V20" s="2">
        <f>Q47+Q65+Q70+Q72+Q108+Q111+Q119+Q125</f>
        <v>2</v>
      </c>
      <c r="W20" s="11">
        <f>Table202224294[[#This Row],[TOTAL VENTE]]</f>
        <v>0</v>
      </c>
      <c r="X20" s="11">
        <f>Table202224294[[#This Row],[TOTAL VENTE]]-Table20222429411[[#This Row],[TOTAL ACHAT]]</f>
        <v>0</v>
      </c>
    </row>
    <row r="21" spans="1:24" ht="15.75" customHeight="1" x14ac:dyDescent="0.25">
      <c r="A21" s="1"/>
      <c r="B21" s="2">
        <v>0</v>
      </c>
      <c r="C21" s="12">
        <v>0</v>
      </c>
      <c r="D21" s="11">
        <v>0</v>
      </c>
      <c r="F21" s="1"/>
      <c r="G21" s="2">
        <f>B48+B66+B71+B73+B109+B112+B120+B126</f>
        <v>9</v>
      </c>
      <c r="H21" s="11">
        <v>0</v>
      </c>
      <c r="I21" s="11">
        <f>Table202224294[[#This Row],[QT]]*Table202224294[[#This Row],[PRIX DE VENTE]]</f>
        <v>0</v>
      </c>
      <c r="J21" s="48"/>
      <c r="K21" s="48"/>
      <c r="L21" s="48"/>
      <c r="M21" s="48"/>
      <c r="O21" s="17"/>
      <c r="P21" s="17"/>
      <c r="Q21" s="18"/>
      <c r="R21" s="19"/>
      <c r="S21" s="19">
        <f t="shared" si="0"/>
        <v>0</v>
      </c>
      <c r="U21" s="1"/>
      <c r="V21" s="2">
        <f>Q47+Q65+Q70+Q72+Q108+Q111+Q119+Q125</f>
        <v>2</v>
      </c>
      <c r="W21" s="11">
        <f>Table202224294[[#This Row],[TOTAL VENTE]]</f>
        <v>0</v>
      </c>
      <c r="X21" s="11">
        <f>Table202224294[[#This Row],[TOTAL VENTE]]-Table20222429411[[#This Row],[TOTAL ACHAT]]</f>
        <v>0</v>
      </c>
    </row>
    <row r="22" spans="1:24" ht="15.75" x14ac:dyDescent="0.25">
      <c r="A22" s="1"/>
      <c r="B22" s="2"/>
      <c r="C22" s="12">
        <v>0</v>
      </c>
      <c r="D22" s="11">
        <v>0</v>
      </c>
      <c r="F22" s="1"/>
      <c r="G22" s="2">
        <f>B48+B66+B71+B73+B109+B112+B120+B126</f>
        <v>9</v>
      </c>
      <c r="H22" s="11">
        <v>0</v>
      </c>
      <c r="I22" s="11">
        <f>Table202224294[[#This Row],[QT]]*Table202224294[[#This Row],[PRIX DE VENTE]]</f>
        <v>0</v>
      </c>
      <c r="J22" s="48"/>
      <c r="K22" s="48"/>
      <c r="L22" s="48"/>
      <c r="M22" s="48"/>
      <c r="O22" s="17"/>
      <c r="P22" s="17"/>
      <c r="Q22" s="18"/>
      <c r="R22" s="19"/>
      <c r="S22" s="19">
        <f t="shared" si="0"/>
        <v>0</v>
      </c>
      <c r="U22" s="1"/>
      <c r="V22" s="2">
        <f>Q47+Q65+Q70+Q72+Q108+Q111+Q119+Q125</f>
        <v>2</v>
      </c>
      <c r="W22" s="11">
        <f>Table202224294[[#This Row],[TOTAL VENTE]]</f>
        <v>0</v>
      </c>
      <c r="X22" s="11">
        <f>Table202224294[[#This Row],[TOTAL VENTE]]-Table20222429411[[#This Row],[TOTAL ACHAT]]</f>
        <v>0</v>
      </c>
    </row>
    <row r="23" spans="1:24" ht="15.75" x14ac:dyDescent="0.25">
      <c r="A23" s="1"/>
      <c r="B23" s="2">
        <v>0</v>
      </c>
      <c r="C23" s="12">
        <v>0</v>
      </c>
      <c r="D23" s="11">
        <v>0</v>
      </c>
      <c r="F23" s="1"/>
      <c r="G23" s="2">
        <f>B48+B66+B71+B73+B109+B112+B120+B126</f>
        <v>9</v>
      </c>
      <c r="H23" s="11">
        <v>0</v>
      </c>
      <c r="I23" s="11">
        <f>Table202224294[[#This Row],[QT]]*Table202224294[[#This Row],[PRIX DE VENTE]]</f>
        <v>0</v>
      </c>
      <c r="J23" s="48"/>
      <c r="K23" s="48"/>
      <c r="L23" s="48"/>
      <c r="M23" s="48"/>
      <c r="O23" s="17"/>
      <c r="P23" s="17"/>
      <c r="Q23" s="18"/>
      <c r="R23" s="19"/>
      <c r="S23" s="19">
        <f t="shared" si="0"/>
        <v>0</v>
      </c>
      <c r="U23" s="1"/>
      <c r="V23" s="2">
        <f>Q46+Q64+Q69+Q71+Q107+Q110+Q118+Q124</f>
        <v>2</v>
      </c>
      <c r="W23" s="11">
        <f>Table202224294[[#This Row],[TOTAL VENTE]]</f>
        <v>0</v>
      </c>
      <c r="X23" s="11">
        <f>Table202224294[[#This Row],[TOTAL VENTE]]-Table20222429411[[#This Row],[TOTAL ACHAT]]</f>
        <v>0</v>
      </c>
    </row>
    <row r="24" spans="1:24" ht="15.75" x14ac:dyDescent="0.25">
      <c r="A24" s="1"/>
      <c r="B24" s="2">
        <v>0</v>
      </c>
      <c r="C24" s="12">
        <v>0</v>
      </c>
      <c r="D24" s="11">
        <v>0</v>
      </c>
      <c r="F24" s="1"/>
      <c r="G24" s="2">
        <v>0</v>
      </c>
      <c r="H24" s="11">
        <v>0</v>
      </c>
      <c r="I24" s="11">
        <f>Table202224294[[#This Row],[QT]]*Table202224294[[#This Row],[PRIX DE VENTE]]</f>
        <v>0</v>
      </c>
      <c r="J24" s="48"/>
      <c r="K24" s="48"/>
      <c r="L24" s="48"/>
      <c r="M24" s="48"/>
      <c r="O24" s="17"/>
      <c r="P24" s="17"/>
      <c r="Q24" s="18"/>
      <c r="R24" s="19"/>
      <c r="S24" s="19">
        <f t="shared" si="0"/>
        <v>0</v>
      </c>
      <c r="U24" s="1"/>
      <c r="V24" s="2">
        <v>0</v>
      </c>
      <c r="W24" s="11">
        <f>Table202224294[[#This Row],[TOTAL VENTE]]</f>
        <v>0</v>
      </c>
      <c r="X24" s="11">
        <f>Table202224294[[#This Row],[TOTAL VENTE]]-Table20222429411[[#This Row],[TOTAL ACHAT]]</f>
        <v>0</v>
      </c>
    </row>
    <row r="25" spans="1:24" ht="21" x14ac:dyDescent="0.35">
      <c r="A25" s="1"/>
      <c r="B25" s="14">
        <f>SUM(B4:B24)</f>
        <v>73</v>
      </c>
      <c r="C25" s="10"/>
      <c r="D25" s="13">
        <f>SUM(D4:D24)</f>
        <v>368850</v>
      </c>
      <c r="F25" s="1"/>
      <c r="G25" s="14">
        <f>SUM(G4:G24)</f>
        <v>109</v>
      </c>
      <c r="H25" s="11"/>
      <c r="I25" s="13">
        <f>SUM(I4:I24)</f>
        <v>385400</v>
      </c>
      <c r="J25" s="21"/>
      <c r="K25" s="21"/>
      <c r="L25" s="21"/>
      <c r="M25" s="21"/>
      <c r="O25" s="17"/>
      <c r="P25" s="17"/>
      <c r="Q25" s="18"/>
      <c r="R25" s="19"/>
      <c r="S25" s="26">
        <f>SUM(S4:S24)</f>
        <v>5500</v>
      </c>
      <c r="U25" s="1"/>
      <c r="V25" s="30">
        <f>SUM(V4:V24)</f>
        <v>81</v>
      </c>
      <c r="W25" s="34">
        <f>SUM(W4:W24)</f>
        <v>385400</v>
      </c>
      <c r="X25" s="44">
        <f>SUM(X4:X16)</f>
        <v>15100</v>
      </c>
    </row>
    <row r="26" spans="1:24" ht="18.75" x14ac:dyDescent="0.3">
      <c r="J26" s="24"/>
      <c r="K26" s="24"/>
      <c r="R26" s="24"/>
      <c r="S26" s="42"/>
      <c r="U26" s="31"/>
      <c r="V26" s="32"/>
      <c r="W26" s="35"/>
      <c r="X26" s="36"/>
    </row>
    <row r="27" spans="1:24" ht="18.75" x14ac:dyDescent="0.3">
      <c r="J27" s="24"/>
      <c r="K27" s="24"/>
      <c r="O27" s="24"/>
      <c r="P27" s="24"/>
      <c r="Q27" s="24"/>
      <c r="R27" s="24"/>
      <c r="S27" s="25"/>
      <c r="U27" s="31"/>
      <c r="V27" s="32"/>
      <c r="W27" s="33" t="s">
        <v>70</v>
      </c>
      <c r="X27" s="45">
        <f>S25</f>
        <v>5500</v>
      </c>
    </row>
    <row r="28" spans="1:24" ht="18.75" x14ac:dyDescent="0.3">
      <c r="J28" s="24"/>
      <c r="K28" s="24"/>
      <c r="U28" s="1"/>
      <c r="V28" s="2"/>
      <c r="W28" s="41" t="s">
        <v>46</v>
      </c>
      <c r="X28" s="41">
        <f>X25</f>
        <v>15100</v>
      </c>
    </row>
    <row r="29" spans="1:24" ht="18.75" x14ac:dyDescent="0.3">
      <c r="J29" s="24"/>
      <c r="K29" s="24"/>
      <c r="U29" s="1"/>
      <c r="V29" s="2"/>
      <c r="W29" s="39" t="s">
        <v>71</v>
      </c>
      <c r="X29" s="39">
        <f>X28-X27</f>
        <v>9600</v>
      </c>
    </row>
    <row r="30" spans="1:24" x14ac:dyDescent="0.25">
      <c r="J30" s="24"/>
      <c r="K30" s="24"/>
    </row>
    <row r="31" spans="1:24" ht="26.25" x14ac:dyDescent="0.4">
      <c r="A31" s="61" t="s">
        <v>50</v>
      </c>
      <c r="B31" s="61"/>
      <c r="C31" s="61"/>
      <c r="D31" s="61"/>
      <c r="E31" s="22"/>
      <c r="F31" s="62" t="s">
        <v>51</v>
      </c>
      <c r="G31" s="62"/>
      <c r="H31" s="62"/>
      <c r="I31" s="62"/>
      <c r="J31" s="46"/>
      <c r="K31" s="46"/>
      <c r="L31" s="46"/>
      <c r="M31" s="46"/>
      <c r="N31" s="23"/>
      <c r="O31" s="59" t="s">
        <v>52</v>
      </c>
      <c r="P31" s="59"/>
      <c r="Q31" s="59"/>
      <c r="R31" s="59"/>
      <c r="S31" s="59"/>
      <c r="U31" s="60" t="s">
        <v>53</v>
      </c>
      <c r="V31" s="60"/>
      <c r="W31" s="60"/>
      <c r="X31" s="60"/>
    </row>
    <row r="32" spans="1:24" x14ac:dyDescent="0.25">
      <c r="J32" s="24"/>
      <c r="K32" s="24"/>
    </row>
    <row r="33" spans="1:24" ht="15.75" x14ac:dyDescent="0.25">
      <c r="A33" s="1" t="s">
        <v>0</v>
      </c>
      <c r="B33" s="1" t="s">
        <v>37</v>
      </c>
      <c r="C33" s="1" t="s">
        <v>32</v>
      </c>
      <c r="D33" s="1" t="s">
        <v>34</v>
      </c>
      <c r="F33" s="1" t="s">
        <v>0</v>
      </c>
      <c r="G33" s="1" t="s">
        <v>37</v>
      </c>
      <c r="H33" s="1" t="s">
        <v>18</v>
      </c>
      <c r="I33" s="1" t="s">
        <v>33</v>
      </c>
      <c r="J33" s="47"/>
      <c r="K33" s="47"/>
      <c r="L33" s="47"/>
      <c r="M33" s="47"/>
      <c r="N33" s="1"/>
      <c r="O33" s="15" t="s">
        <v>38</v>
      </c>
      <c r="P33" s="15" t="s">
        <v>39</v>
      </c>
      <c r="Q33" s="16" t="s">
        <v>37</v>
      </c>
      <c r="R33" s="16" t="s">
        <v>32</v>
      </c>
      <c r="S33" s="16" t="s">
        <v>3</v>
      </c>
      <c r="U33" s="1" t="s">
        <v>0</v>
      </c>
      <c r="V33" s="1" t="s">
        <v>37</v>
      </c>
      <c r="W33" s="1" t="s">
        <v>33</v>
      </c>
      <c r="X33" s="1" t="s">
        <v>25</v>
      </c>
    </row>
    <row r="34" spans="1:24" ht="15.75" x14ac:dyDescent="0.25">
      <c r="A34" s="1" t="s">
        <v>4</v>
      </c>
      <c r="B34" s="27">
        <v>35</v>
      </c>
      <c r="C34" s="12">
        <v>5200</v>
      </c>
      <c r="D34" s="11">
        <f>Table2022242941122[[#This Row],[QT]]*Table2022242941122[[#This Row],[PRIX D''ACHAT]]</f>
        <v>182000</v>
      </c>
      <c r="F34" s="1" t="s">
        <v>4</v>
      </c>
      <c r="G34" s="27">
        <v>35</v>
      </c>
      <c r="H34" s="11">
        <v>5300</v>
      </c>
      <c r="I34" s="11">
        <f>Table20222429420[[#This Row],[QT]]*Table20222429420[[#This Row],[PRIX DE VENTE]]</f>
        <v>185500</v>
      </c>
      <c r="J34" s="48"/>
      <c r="K34" s="48"/>
      <c r="L34" s="48"/>
      <c r="M34" s="48"/>
      <c r="N34" s="11"/>
      <c r="O34" s="37">
        <v>44844</v>
      </c>
      <c r="P34" s="17" t="s">
        <v>47</v>
      </c>
      <c r="Q34" s="18">
        <v>1</v>
      </c>
      <c r="R34" s="19">
        <v>5000</v>
      </c>
      <c r="S34" s="19">
        <f t="shared" ref="S34:S54" si="1">Q34*R34</f>
        <v>5000</v>
      </c>
      <c r="U34" s="1" t="s">
        <v>4</v>
      </c>
      <c r="V34" s="27">
        <v>35</v>
      </c>
      <c r="W34" s="11">
        <f>Table20222429420[[#This Row],[TOTAL VENTE]]</f>
        <v>185500</v>
      </c>
      <c r="X34" s="11">
        <f>Table20222429420[[#This Row],[TOTAL VENTE]]-Table2022242941122[[#This Row],[TOTAL ACHAT]]</f>
        <v>3500</v>
      </c>
    </row>
    <row r="35" spans="1:24" ht="15.75" x14ac:dyDescent="0.25">
      <c r="A35" s="1" t="s">
        <v>5</v>
      </c>
      <c r="B35" s="27">
        <v>6</v>
      </c>
      <c r="C35" s="12">
        <v>4500</v>
      </c>
      <c r="D35" s="11">
        <f>Table2022242941122[[#This Row],[QT]]*Table2022242941122[[#This Row],[PRIX D''ACHAT]]</f>
        <v>27000</v>
      </c>
      <c r="F35" s="1" t="s">
        <v>5</v>
      </c>
      <c r="G35" s="27">
        <v>6</v>
      </c>
      <c r="H35" s="11">
        <v>4800</v>
      </c>
      <c r="I35" s="11">
        <f>Table20222429420[[#This Row],[QT]]*Table20222429420[[#This Row],[PRIX DE VENTE]]</f>
        <v>28800</v>
      </c>
      <c r="J35" s="48"/>
      <c r="K35" s="48"/>
      <c r="L35" s="48"/>
      <c r="M35" s="48"/>
      <c r="N35" s="11"/>
      <c r="O35" s="37">
        <v>44875</v>
      </c>
      <c r="P35" s="17" t="s">
        <v>48</v>
      </c>
      <c r="Q35" s="18">
        <v>1</v>
      </c>
      <c r="R35" s="19">
        <v>500</v>
      </c>
      <c r="S35" s="19">
        <f t="shared" si="1"/>
        <v>500</v>
      </c>
      <c r="U35" s="1" t="s">
        <v>5</v>
      </c>
      <c r="V35" s="27">
        <v>6</v>
      </c>
      <c r="W35" s="11">
        <f>Table20222429420[[#This Row],[TOTAL VENTE]]</f>
        <v>28800</v>
      </c>
      <c r="X35" s="11">
        <f>Table20222429420[[#This Row],[TOTAL VENTE]]-Table2022242941122[[#This Row],[TOTAL ACHAT]]</f>
        <v>1800</v>
      </c>
    </row>
    <row r="36" spans="1:24" ht="15.75" x14ac:dyDescent="0.25">
      <c r="A36" s="1" t="s">
        <v>28</v>
      </c>
      <c r="B36" s="27">
        <v>6</v>
      </c>
      <c r="C36" s="12">
        <v>4700</v>
      </c>
      <c r="D36" s="11">
        <f>Table2022242941122[[#This Row],[QT]]*Table2022242941122[[#This Row],[PRIX D''ACHAT]]</f>
        <v>28200</v>
      </c>
      <c r="F36" s="1" t="s">
        <v>28</v>
      </c>
      <c r="G36" s="27">
        <v>6</v>
      </c>
      <c r="H36" s="11">
        <v>5000</v>
      </c>
      <c r="I36" s="11">
        <f>Table20222429420[[#This Row],[QT]]*Table20222429420[[#This Row],[PRIX DE VENTE]]</f>
        <v>30000</v>
      </c>
      <c r="J36" s="48"/>
      <c r="K36" s="48"/>
      <c r="L36" s="48"/>
      <c r="M36" s="48"/>
      <c r="N36" s="11"/>
      <c r="O36" s="17"/>
      <c r="P36" s="17"/>
      <c r="Q36" s="18"/>
      <c r="R36" s="19"/>
      <c r="S36" s="19">
        <f t="shared" si="1"/>
        <v>0</v>
      </c>
      <c r="U36" s="1" t="s">
        <v>28</v>
      </c>
      <c r="V36" s="27">
        <v>6</v>
      </c>
      <c r="W36" s="11">
        <f>Table20222429420[[#This Row],[TOTAL VENTE]]</f>
        <v>30000</v>
      </c>
      <c r="X36" s="11">
        <f>Table20222429420[[#This Row],[TOTAL VENTE]]-Table2022242941122[[#This Row],[TOTAL ACHAT]]</f>
        <v>1800</v>
      </c>
    </row>
    <row r="37" spans="1:24" ht="15.75" x14ac:dyDescent="0.25">
      <c r="A37" s="1" t="s">
        <v>27</v>
      </c>
      <c r="B37" s="27">
        <v>6</v>
      </c>
      <c r="C37" s="12">
        <v>4500</v>
      </c>
      <c r="D37" s="11">
        <f>Table2022242941122[[#This Row],[QT]]*Table2022242941122[[#This Row],[PRIX D''ACHAT]]</f>
        <v>27000</v>
      </c>
      <c r="F37" s="1" t="s">
        <v>27</v>
      </c>
      <c r="G37" s="27">
        <v>6</v>
      </c>
      <c r="H37" s="11">
        <v>4700</v>
      </c>
      <c r="I37" s="11">
        <f>Table20222429420[[#This Row],[QT]]*Table20222429420[[#This Row],[PRIX DE VENTE]]</f>
        <v>28200</v>
      </c>
      <c r="J37" s="48"/>
      <c r="K37" s="48"/>
      <c r="L37" s="48"/>
      <c r="M37" s="48"/>
      <c r="N37" s="11"/>
      <c r="O37" s="17"/>
      <c r="P37" s="17"/>
      <c r="Q37" s="18"/>
      <c r="R37" s="19"/>
      <c r="S37" s="19">
        <f t="shared" si="1"/>
        <v>0</v>
      </c>
      <c r="U37" s="1" t="s">
        <v>27</v>
      </c>
      <c r="V37" s="27">
        <v>6</v>
      </c>
      <c r="W37" s="11">
        <f>Table20222429420[[#This Row],[TOTAL VENTE]]</f>
        <v>28200</v>
      </c>
      <c r="X37" s="11">
        <f>Table20222429420[[#This Row],[TOTAL VENTE]]-Table2022242941122[[#This Row],[TOTAL ACHAT]]</f>
        <v>1200</v>
      </c>
    </row>
    <row r="38" spans="1:24" ht="15.75" x14ac:dyDescent="0.25">
      <c r="A38" s="1" t="s">
        <v>31</v>
      </c>
      <c r="B38" s="27">
        <v>2</v>
      </c>
      <c r="C38" s="29">
        <v>6500</v>
      </c>
      <c r="D38" s="11">
        <f>Table2022242941122[[#This Row],[QT]]*Table2022242941122[[#This Row],[PRIX D''ACHAT]]</f>
        <v>13000</v>
      </c>
      <c r="F38" s="1" t="s">
        <v>31</v>
      </c>
      <c r="G38" s="27">
        <v>2</v>
      </c>
      <c r="H38" s="11">
        <v>7000</v>
      </c>
      <c r="I38" s="11">
        <f>Table20222429420[[#This Row],[QT]]*Table20222429420[[#This Row],[PRIX DE VENTE]]</f>
        <v>14000</v>
      </c>
      <c r="J38" s="48"/>
      <c r="K38" s="48"/>
      <c r="L38" s="48"/>
      <c r="M38" s="48"/>
      <c r="N38" s="11"/>
      <c r="O38" s="17"/>
      <c r="P38" s="17"/>
      <c r="Q38" s="18"/>
      <c r="R38" s="19"/>
      <c r="S38" s="19">
        <f t="shared" si="1"/>
        <v>0</v>
      </c>
      <c r="U38" s="1" t="s">
        <v>31</v>
      </c>
      <c r="V38" s="27">
        <v>2</v>
      </c>
      <c r="W38" s="11">
        <f>Table20222429420[[#This Row],[TOTAL VENTE]]</f>
        <v>14000</v>
      </c>
      <c r="X38" s="11">
        <f>Table20222429420[[#This Row],[TOTAL VENTE]]-Table2022242941122[[#This Row],[TOTAL ACHAT]]</f>
        <v>1000</v>
      </c>
    </row>
    <row r="39" spans="1:24" ht="15.75" x14ac:dyDescent="0.25">
      <c r="A39" s="1" t="s">
        <v>6</v>
      </c>
      <c r="B39" s="27">
        <v>10</v>
      </c>
      <c r="C39" s="12">
        <v>5300</v>
      </c>
      <c r="D39" s="11">
        <f>Table2022242941122[[#This Row],[QT]]*Table2022242941122[[#This Row],[PRIX D''ACHAT]]</f>
        <v>53000</v>
      </c>
      <c r="F39" s="1" t="s">
        <v>6</v>
      </c>
      <c r="G39" s="27">
        <v>10</v>
      </c>
      <c r="H39" s="11">
        <v>5500</v>
      </c>
      <c r="I39" s="11">
        <f>Table20222429420[[#This Row],[QT]]*Table20222429420[[#This Row],[PRIX DE VENTE]]</f>
        <v>55000</v>
      </c>
      <c r="J39" s="48"/>
      <c r="K39" s="48"/>
      <c r="L39" s="48"/>
      <c r="M39" s="48"/>
      <c r="N39" s="11"/>
      <c r="O39" s="17"/>
      <c r="P39" s="17"/>
      <c r="Q39" s="18"/>
      <c r="R39" s="19"/>
      <c r="S39" s="19">
        <f t="shared" si="1"/>
        <v>0</v>
      </c>
      <c r="U39" s="1" t="s">
        <v>6</v>
      </c>
      <c r="V39" s="27">
        <v>10</v>
      </c>
      <c r="W39" s="11">
        <f>Table20222429420[[#This Row],[TOTAL VENTE]]</f>
        <v>55000</v>
      </c>
      <c r="X39" s="11">
        <f>Table20222429420[[#This Row],[TOTAL VENTE]]-Table2022242941122[[#This Row],[TOTAL ACHAT]]</f>
        <v>2000</v>
      </c>
    </row>
    <row r="40" spans="1:24" ht="15.75" x14ac:dyDescent="0.25">
      <c r="A40" s="1" t="s">
        <v>7</v>
      </c>
      <c r="B40" s="27">
        <v>0</v>
      </c>
      <c r="C40" s="12">
        <v>4100</v>
      </c>
      <c r="D40" s="11">
        <f>Table2022242941122[[#This Row],[QT]]*Table2022242941122[[#This Row],[PRIX D''ACHAT]]</f>
        <v>0</v>
      </c>
      <c r="F40" s="1" t="s">
        <v>7</v>
      </c>
      <c r="G40" s="27">
        <v>0</v>
      </c>
      <c r="H40" s="11">
        <v>4500</v>
      </c>
      <c r="I40" s="11">
        <f>Table20222429420[[#This Row],[QT]]*Table20222429420[[#This Row],[PRIX DE VENTE]]</f>
        <v>0</v>
      </c>
      <c r="J40" s="48"/>
      <c r="K40" s="48"/>
      <c r="L40" s="48"/>
      <c r="M40" s="48"/>
      <c r="N40" s="11"/>
      <c r="O40" s="17"/>
      <c r="P40" s="17"/>
      <c r="Q40" s="18"/>
      <c r="R40" s="19"/>
      <c r="S40" s="19">
        <f t="shared" si="1"/>
        <v>0</v>
      </c>
      <c r="U40" s="1" t="s">
        <v>7</v>
      </c>
      <c r="V40" s="27">
        <v>0</v>
      </c>
      <c r="W40" s="11">
        <f>Table20222429420[[#This Row],[TOTAL VENTE]]</f>
        <v>0</v>
      </c>
      <c r="X40" s="11">
        <f>Table20222429420[[#This Row],[TOTAL VENTE]]-Table2022242941122[[#This Row],[TOTAL ACHAT]]</f>
        <v>0</v>
      </c>
    </row>
    <row r="41" spans="1:24" ht="15.75" x14ac:dyDescent="0.25">
      <c r="A41" s="1" t="s">
        <v>8</v>
      </c>
      <c r="B41" s="27">
        <v>0</v>
      </c>
      <c r="C41" s="12">
        <v>18200</v>
      </c>
      <c r="D41" s="11">
        <f>Table2022242941122[[#This Row],[QT]]*Table2022242941122[[#This Row],[PRIX D''ACHAT]]</f>
        <v>0</v>
      </c>
      <c r="F41" s="1" t="s">
        <v>8</v>
      </c>
      <c r="G41" s="27">
        <v>0</v>
      </c>
      <c r="H41" s="11">
        <v>19000</v>
      </c>
      <c r="I41" s="11">
        <f>Table20222429420[[#This Row],[QT]]*Table20222429420[[#This Row],[PRIX DE VENTE]]</f>
        <v>0</v>
      </c>
      <c r="J41" s="48"/>
      <c r="K41" s="48"/>
      <c r="L41" s="48"/>
      <c r="M41" s="48"/>
      <c r="N41" s="11"/>
      <c r="O41" s="17"/>
      <c r="P41" s="17"/>
      <c r="Q41" s="18"/>
      <c r="R41" s="19"/>
      <c r="S41" s="19">
        <f t="shared" si="1"/>
        <v>0</v>
      </c>
      <c r="U41" s="1" t="s">
        <v>8</v>
      </c>
      <c r="V41" s="27">
        <v>0</v>
      </c>
      <c r="W41" s="11">
        <f>Table20222429420[[#This Row],[TOTAL VENTE]]</f>
        <v>0</v>
      </c>
      <c r="X41" s="11">
        <f>Table20222429420[[#This Row],[TOTAL VENTE]]-Table2022242941122[[#This Row],[TOTAL ACHAT]]</f>
        <v>0</v>
      </c>
    </row>
    <row r="42" spans="1:24" ht="15.75" x14ac:dyDescent="0.25">
      <c r="A42" s="1" t="s">
        <v>41</v>
      </c>
      <c r="B42" s="27">
        <v>10</v>
      </c>
      <c r="C42" s="12">
        <v>4500</v>
      </c>
      <c r="D42" s="11">
        <f>Table2022242941122[[#This Row],[QT]]*Table2022242941122[[#This Row],[PRIX D''ACHAT]]</f>
        <v>45000</v>
      </c>
      <c r="F42" s="1" t="s">
        <v>41</v>
      </c>
      <c r="G42" s="27">
        <v>10</v>
      </c>
      <c r="H42" s="11">
        <v>4800</v>
      </c>
      <c r="I42" s="11">
        <f>Table20222429420[[#This Row],[QT]]*Table20222429420[[#This Row],[PRIX DE VENTE]]</f>
        <v>48000</v>
      </c>
      <c r="J42" s="48"/>
      <c r="K42" s="48"/>
      <c r="L42" s="48"/>
      <c r="M42" s="48"/>
      <c r="N42" s="11"/>
      <c r="O42" s="17"/>
      <c r="P42" s="17"/>
      <c r="Q42" s="18"/>
      <c r="R42" s="19"/>
      <c r="S42" s="19">
        <f t="shared" si="1"/>
        <v>0</v>
      </c>
      <c r="U42" s="1" t="s">
        <v>41</v>
      </c>
      <c r="V42" s="27">
        <v>10</v>
      </c>
      <c r="W42" s="11">
        <f>Table20222429420[[#This Row],[TOTAL VENTE]]</f>
        <v>48000</v>
      </c>
      <c r="X42" s="11">
        <f>Table20222429420[[#This Row],[TOTAL VENTE]]-Table2022242941122[[#This Row],[TOTAL ACHAT]]</f>
        <v>3000</v>
      </c>
    </row>
    <row r="43" spans="1:24" ht="15.75" x14ac:dyDescent="0.25">
      <c r="A43" s="1" t="s">
        <v>30</v>
      </c>
      <c r="B43" s="27">
        <v>0</v>
      </c>
      <c r="C43" s="12">
        <v>10650</v>
      </c>
      <c r="D43" s="11">
        <f>Table2022242941122[[#This Row],[QT]]*Table2022242941122[[#This Row],[PRIX D''ACHAT]]</f>
        <v>0</v>
      </c>
      <c r="F43" s="1" t="s">
        <v>30</v>
      </c>
      <c r="G43" s="27">
        <v>0</v>
      </c>
      <c r="H43" s="11">
        <v>11100</v>
      </c>
      <c r="I43" s="11">
        <f>Table20222429420[[#This Row],[QT]]*Table20222429420[[#This Row],[PRIX DE VENTE]]</f>
        <v>0</v>
      </c>
      <c r="J43" s="48"/>
      <c r="K43" s="48"/>
      <c r="L43" s="48"/>
      <c r="M43" s="48"/>
      <c r="N43" s="11"/>
      <c r="O43" s="17"/>
      <c r="P43" s="17"/>
      <c r="Q43" s="18"/>
      <c r="R43" s="19"/>
      <c r="S43" s="19">
        <f t="shared" si="1"/>
        <v>0</v>
      </c>
      <c r="U43" s="1" t="s">
        <v>30</v>
      </c>
      <c r="V43" s="27">
        <v>0</v>
      </c>
      <c r="W43" s="11">
        <f>Table20222429420[[#This Row],[TOTAL VENTE]]</f>
        <v>0</v>
      </c>
      <c r="X43" s="11">
        <f>Table20222429420[[#This Row],[TOTAL VENTE]]-Table2022242941122[[#This Row],[TOTAL ACHAT]]</f>
        <v>0</v>
      </c>
    </row>
    <row r="44" spans="1:24" ht="15.75" x14ac:dyDescent="0.25">
      <c r="A44" s="1" t="s">
        <v>29</v>
      </c>
      <c r="B44" s="27">
        <v>3</v>
      </c>
      <c r="C44" s="12">
        <v>3900</v>
      </c>
      <c r="D44" s="11">
        <f>Table2022242941122[[#This Row],[QT]]*Table2022242941122[[#This Row],[PRIX D''ACHAT]]</f>
        <v>11700</v>
      </c>
      <c r="F44" s="1" t="s">
        <v>29</v>
      </c>
      <c r="G44" s="27">
        <v>3</v>
      </c>
      <c r="H44" s="11">
        <v>4500</v>
      </c>
      <c r="I44" s="11">
        <f>Table20222429420[[#This Row],[QT]]*Table20222429420[[#This Row],[PRIX DE VENTE]]</f>
        <v>13500</v>
      </c>
      <c r="J44" s="48"/>
      <c r="K44" s="48"/>
      <c r="L44" s="48"/>
      <c r="M44" s="48"/>
      <c r="N44" s="11"/>
      <c r="O44" s="17"/>
      <c r="P44" s="17"/>
      <c r="Q44" s="18"/>
      <c r="R44" s="19"/>
      <c r="S44" s="19">
        <f t="shared" si="1"/>
        <v>0</v>
      </c>
      <c r="U44" s="1" t="s">
        <v>29</v>
      </c>
      <c r="V44" s="27">
        <v>3</v>
      </c>
      <c r="W44" s="11">
        <f>Table20222429420[[#This Row],[TOTAL VENTE]]</f>
        <v>13500</v>
      </c>
      <c r="X44" s="11">
        <f>Table20222429420[[#This Row],[TOTAL VENTE]]-Table2022242941122[[#This Row],[TOTAL ACHAT]]</f>
        <v>1800</v>
      </c>
    </row>
    <row r="45" spans="1:24" ht="15.75" x14ac:dyDescent="0.25">
      <c r="A45" s="1" t="s">
        <v>26</v>
      </c>
      <c r="B45" s="27">
        <v>0</v>
      </c>
      <c r="C45" s="12">
        <v>9500</v>
      </c>
      <c r="D45" s="11">
        <f>Table2022242941122[[#This Row],[QT]]*Table2022242941122[[#This Row],[PRIX D''ACHAT]]</f>
        <v>0</v>
      </c>
      <c r="F45" s="1" t="s">
        <v>26</v>
      </c>
      <c r="G45" s="27">
        <v>0</v>
      </c>
      <c r="H45" s="11">
        <v>10000</v>
      </c>
      <c r="I45" s="11">
        <f>Table20222429420[[#This Row],[QT]]*Table20222429420[[#This Row],[PRIX DE VENTE]]</f>
        <v>0</v>
      </c>
      <c r="J45" s="48"/>
      <c r="K45" s="48"/>
      <c r="L45" s="48"/>
      <c r="M45" s="48"/>
      <c r="N45" s="11"/>
      <c r="O45" s="17"/>
      <c r="P45" s="17"/>
      <c r="Q45" s="18"/>
      <c r="R45" s="19"/>
      <c r="S45" s="19">
        <f t="shared" si="1"/>
        <v>0</v>
      </c>
      <c r="U45" s="1" t="s">
        <v>26</v>
      </c>
      <c r="V45" s="27">
        <v>0</v>
      </c>
      <c r="W45" s="11">
        <f>Table20222429420[[#This Row],[TOTAL VENTE]]</f>
        <v>0</v>
      </c>
      <c r="X45" s="11">
        <f>Table20222429420[[#This Row],[TOTAL VENTE]]-Table2022242941122[[#This Row],[TOTAL ACHAT]]</f>
        <v>0</v>
      </c>
    </row>
    <row r="46" spans="1:24" ht="15.75" x14ac:dyDescent="0.25">
      <c r="A46" s="1" t="s">
        <v>42</v>
      </c>
      <c r="B46" s="27">
        <v>2</v>
      </c>
      <c r="C46" s="12">
        <v>3550</v>
      </c>
      <c r="D46" s="11">
        <f>Table2022242941122[[#This Row],[QT]]*Table2022242941122[[#This Row],[PRIX D''ACHAT]]</f>
        <v>7100</v>
      </c>
      <c r="F46" s="1" t="s">
        <v>42</v>
      </c>
      <c r="G46" s="27">
        <v>2</v>
      </c>
      <c r="H46" s="11">
        <v>4000</v>
      </c>
      <c r="I46" s="11">
        <f>Table20222429420[[#This Row],[QT]]*Table20222429420[[#This Row],[PRIX DE VENTE]]</f>
        <v>8000</v>
      </c>
      <c r="J46" s="48"/>
      <c r="K46" s="48"/>
      <c r="L46" s="48"/>
      <c r="M46" s="48"/>
      <c r="N46" s="11"/>
      <c r="O46" s="17"/>
      <c r="P46" s="17"/>
      <c r="Q46" s="18"/>
      <c r="R46" s="19"/>
      <c r="S46" s="19">
        <f t="shared" si="1"/>
        <v>0</v>
      </c>
      <c r="U46" s="1" t="s">
        <v>42</v>
      </c>
      <c r="V46" s="27">
        <v>2</v>
      </c>
      <c r="W46" s="11">
        <f>Table20222429420[[#This Row],[TOTAL VENTE]]</f>
        <v>8000</v>
      </c>
      <c r="X46" s="11">
        <f>Table20222429420[[#This Row],[TOTAL VENTE]]-Table2022242941122[[#This Row],[TOTAL ACHAT]]</f>
        <v>900</v>
      </c>
    </row>
    <row r="47" spans="1:24" ht="21" x14ac:dyDescent="0.35">
      <c r="A47" s="1" t="s">
        <v>43</v>
      </c>
      <c r="B47" s="27">
        <v>0</v>
      </c>
      <c r="C47" s="12">
        <v>3550</v>
      </c>
      <c r="D47" s="11">
        <f>Table2022242941122[[#This Row],[QT]]*Table2022242941122[[#This Row],[PRIX D''ACHAT]]</f>
        <v>0</v>
      </c>
      <c r="F47" s="1" t="s">
        <v>43</v>
      </c>
      <c r="G47" s="27">
        <v>0</v>
      </c>
      <c r="H47" s="11">
        <v>4000</v>
      </c>
      <c r="I47" s="11">
        <f>Table20222429420[[#This Row],[QT]]*Table20222429420[[#This Row],[PRIX DE VENTE]]</f>
        <v>0</v>
      </c>
      <c r="J47" s="48"/>
      <c r="K47" s="48"/>
      <c r="L47" s="48"/>
      <c r="M47" s="48"/>
      <c r="N47" s="21"/>
      <c r="O47" s="17"/>
      <c r="P47" s="17"/>
      <c r="Q47" s="18"/>
      <c r="R47" s="19"/>
      <c r="S47" s="19">
        <f t="shared" si="1"/>
        <v>0</v>
      </c>
      <c r="U47" s="1" t="s">
        <v>43</v>
      </c>
      <c r="V47" s="27">
        <v>0</v>
      </c>
      <c r="W47" s="11">
        <f>Table20222429420[[#This Row],[TOTAL VENTE]]</f>
        <v>0</v>
      </c>
      <c r="X47" s="11">
        <f>Table20222429420[[#This Row],[TOTAL VENTE]]-Table2022242941122[[#This Row],[TOTAL ACHAT]]</f>
        <v>0</v>
      </c>
    </row>
    <row r="48" spans="1:24" ht="15.75" x14ac:dyDescent="0.25">
      <c r="A48" s="1" t="s">
        <v>44</v>
      </c>
      <c r="B48" s="27">
        <v>2</v>
      </c>
      <c r="C48" s="12">
        <v>3550</v>
      </c>
      <c r="D48" s="11">
        <f>Table2022242941122[[#This Row],[QT]]*Table2022242941122[[#This Row],[PRIX D''ACHAT]]</f>
        <v>7100</v>
      </c>
      <c r="F48" s="1" t="s">
        <v>44</v>
      </c>
      <c r="G48" s="27">
        <v>2</v>
      </c>
      <c r="H48" s="11">
        <v>4000</v>
      </c>
      <c r="I48" s="11">
        <f>Table20222429420[[#This Row],[QT]]*Table20222429420[[#This Row],[PRIX DE VENTE]]</f>
        <v>8000</v>
      </c>
      <c r="J48" s="48"/>
      <c r="K48" s="48"/>
      <c r="L48" s="48"/>
      <c r="M48" s="48"/>
      <c r="O48" s="17"/>
      <c r="P48" s="17"/>
      <c r="Q48" s="18"/>
      <c r="R48" s="19"/>
      <c r="S48" s="19">
        <f t="shared" si="1"/>
        <v>0</v>
      </c>
      <c r="U48" s="1" t="s">
        <v>44</v>
      </c>
      <c r="V48" s="27">
        <v>2</v>
      </c>
      <c r="W48" s="11">
        <f>Table20222429420[[#This Row],[TOTAL VENTE]]</f>
        <v>8000</v>
      </c>
      <c r="X48" s="11">
        <f>Table20222429420[[#This Row],[TOTAL VENTE]]-Table2022242941122[[#This Row],[TOTAL ACHAT]]</f>
        <v>900</v>
      </c>
    </row>
    <row r="49" spans="1:24" ht="15.75" x14ac:dyDescent="0.25">
      <c r="A49" s="1" t="s">
        <v>45</v>
      </c>
      <c r="B49" s="28">
        <v>2</v>
      </c>
      <c r="C49" s="12">
        <v>5000</v>
      </c>
      <c r="D49" s="11">
        <f>Table2022242941122[[#This Row],[QT]]*Table2022242941122[[#This Row],[PRIX D''ACHAT]]</f>
        <v>10000</v>
      </c>
      <c r="F49" s="1" t="s">
        <v>45</v>
      </c>
      <c r="G49" s="28">
        <v>2</v>
      </c>
      <c r="H49" s="11">
        <v>5500</v>
      </c>
      <c r="I49" s="11">
        <f>Table20222429420[[#This Row],[QT]]*Table20222429420[[#This Row],[PRIX DE VENTE]]</f>
        <v>11000</v>
      </c>
      <c r="J49" s="48"/>
      <c r="K49" s="48"/>
      <c r="L49" s="48"/>
      <c r="M49" s="48"/>
      <c r="O49" s="17"/>
      <c r="P49" s="17"/>
      <c r="Q49" s="18"/>
      <c r="R49" s="19"/>
      <c r="S49" s="19">
        <f t="shared" si="1"/>
        <v>0</v>
      </c>
      <c r="U49" s="1" t="s">
        <v>45</v>
      </c>
      <c r="V49" s="28">
        <v>2</v>
      </c>
      <c r="W49" s="11">
        <f>Table20222429420[[#This Row],[TOTAL VENTE]]</f>
        <v>11000</v>
      </c>
      <c r="X49" s="11">
        <f>Table20222429420[[#This Row],[TOTAL VENTE]]-Table2022242941122[[#This Row],[TOTAL ACHAT]]</f>
        <v>1000</v>
      </c>
    </row>
    <row r="50" spans="1:24" ht="15.75" x14ac:dyDescent="0.25">
      <c r="A50" s="1"/>
      <c r="B50" s="2">
        <v>0</v>
      </c>
      <c r="C50" s="12">
        <v>0</v>
      </c>
      <c r="D50" s="11">
        <v>0</v>
      </c>
      <c r="F50" s="1"/>
      <c r="G50" s="2">
        <v>0</v>
      </c>
      <c r="H50" s="11">
        <v>0</v>
      </c>
      <c r="I50" s="11">
        <f>Table20222429420[[#This Row],[QT]]*Table20222429420[[#This Row],[PRIX DE VENTE]]</f>
        <v>0</v>
      </c>
      <c r="J50" s="48"/>
      <c r="K50" s="48"/>
      <c r="L50" s="48"/>
      <c r="M50" s="48"/>
      <c r="O50" s="17"/>
      <c r="P50" s="17"/>
      <c r="Q50" s="18"/>
      <c r="R50" s="19"/>
      <c r="S50" s="19">
        <f t="shared" si="1"/>
        <v>0</v>
      </c>
      <c r="U50" s="1"/>
      <c r="V50" s="2">
        <v>0</v>
      </c>
      <c r="W50" s="11">
        <f>Table20222429420[[#This Row],[TOTAL VENTE]]</f>
        <v>0</v>
      </c>
      <c r="X50" s="11">
        <f>Table20222429420[[#This Row],[TOTAL VENTE]]-Table2022242941122[[#This Row],[TOTAL ACHAT]]</f>
        <v>0</v>
      </c>
    </row>
    <row r="51" spans="1:24" ht="15.75" x14ac:dyDescent="0.25">
      <c r="A51" s="1"/>
      <c r="B51" s="2">
        <v>0</v>
      </c>
      <c r="C51" s="12">
        <v>0</v>
      </c>
      <c r="D51" s="11">
        <v>0</v>
      </c>
      <c r="F51" s="1"/>
      <c r="G51" s="2">
        <v>0</v>
      </c>
      <c r="H51" s="11">
        <v>0</v>
      </c>
      <c r="I51" s="11">
        <f>Table20222429420[[#This Row],[QT]]*Table20222429420[[#This Row],[PRIX DE VENTE]]</f>
        <v>0</v>
      </c>
      <c r="J51" s="48"/>
      <c r="K51" s="48"/>
      <c r="L51" s="48"/>
      <c r="M51" s="48"/>
      <c r="O51" s="17"/>
      <c r="P51" s="17"/>
      <c r="Q51" s="18"/>
      <c r="R51" s="19"/>
      <c r="S51" s="19">
        <f t="shared" si="1"/>
        <v>0</v>
      </c>
      <c r="U51" s="1"/>
      <c r="V51" s="2">
        <v>0</v>
      </c>
      <c r="W51" s="11">
        <f>Table20222429420[[#This Row],[TOTAL VENTE]]</f>
        <v>0</v>
      </c>
      <c r="X51" s="11">
        <f>Table20222429420[[#This Row],[TOTAL VENTE]]-Table2022242941122[[#This Row],[TOTAL ACHAT]]</f>
        <v>0</v>
      </c>
    </row>
    <row r="52" spans="1:24" ht="15.75" x14ac:dyDescent="0.25">
      <c r="A52" s="1"/>
      <c r="B52" s="2"/>
      <c r="C52" s="12">
        <v>0</v>
      </c>
      <c r="D52" s="11">
        <v>0</v>
      </c>
      <c r="F52" s="1"/>
      <c r="G52" s="2">
        <v>0</v>
      </c>
      <c r="H52" s="11">
        <v>0</v>
      </c>
      <c r="I52" s="11">
        <f>Table20222429420[[#This Row],[QT]]*Table20222429420[[#This Row],[PRIX DE VENTE]]</f>
        <v>0</v>
      </c>
      <c r="J52" s="48"/>
      <c r="K52" s="48"/>
      <c r="L52" s="48"/>
      <c r="M52" s="48"/>
      <c r="O52" s="17"/>
      <c r="P52" s="17"/>
      <c r="Q52" s="18"/>
      <c r="R52" s="19"/>
      <c r="S52" s="19">
        <f t="shared" si="1"/>
        <v>0</v>
      </c>
      <c r="U52" s="1"/>
      <c r="V52" s="2">
        <v>0</v>
      </c>
      <c r="W52" s="11">
        <f>Table20222429420[[#This Row],[TOTAL VENTE]]</f>
        <v>0</v>
      </c>
      <c r="X52" s="11">
        <f>Table20222429420[[#This Row],[TOTAL VENTE]]-Table2022242941122[[#This Row],[TOTAL ACHAT]]</f>
        <v>0</v>
      </c>
    </row>
    <row r="53" spans="1:24" ht="15.75" x14ac:dyDescent="0.25">
      <c r="A53" s="1"/>
      <c r="B53" s="2">
        <v>0</v>
      </c>
      <c r="C53" s="12">
        <v>0</v>
      </c>
      <c r="D53" s="11">
        <v>0</v>
      </c>
      <c r="F53" s="1"/>
      <c r="G53" s="2">
        <v>0</v>
      </c>
      <c r="H53" s="11">
        <v>0</v>
      </c>
      <c r="I53" s="11">
        <f>Table20222429420[[#This Row],[QT]]*Table20222429420[[#This Row],[PRIX DE VENTE]]</f>
        <v>0</v>
      </c>
      <c r="J53" s="48"/>
      <c r="K53" s="48"/>
      <c r="L53" s="48"/>
      <c r="M53" s="48"/>
      <c r="O53" s="17"/>
      <c r="P53" s="17"/>
      <c r="Q53" s="18"/>
      <c r="R53" s="19"/>
      <c r="S53" s="19">
        <f t="shared" si="1"/>
        <v>0</v>
      </c>
      <c r="U53" s="1"/>
      <c r="V53" s="2">
        <v>0</v>
      </c>
      <c r="W53" s="11">
        <f>Table20222429420[[#This Row],[TOTAL VENTE]]</f>
        <v>0</v>
      </c>
      <c r="X53" s="11">
        <f>Table20222429420[[#This Row],[TOTAL VENTE]]-Table2022242941122[[#This Row],[TOTAL ACHAT]]</f>
        <v>0</v>
      </c>
    </row>
    <row r="54" spans="1:24" ht="15.75" x14ac:dyDescent="0.25">
      <c r="A54" s="1"/>
      <c r="B54" s="2">
        <v>0</v>
      </c>
      <c r="C54" s="12">
        <v>0</v>
      </c>
      <c r="D54" s="11">
        <v>0</v>
      </c>
      <c r="F54" s="1"/>
      <c r="G54" s="2">
        <v>0</v>
      </c>
      <c r="H54" s="11">
        <v>0</v>
      </c>
      <c r="I54" s="11">
        <f>Table20222429420[[#This Row],[QT]]*Table20222429420[[#This Row],[PRIX DE VENTE]]</f>
        <v>0</v>
      </c>
      <c r="J54" s="48"/>
      <c r="K54" s="48"/>
      <c r="L54" s="48"/>
      <c r="M54" s="48"/>
      <c r="O54" s="17"/>
      <c r="P54" s="17"/>
      <c r="Q54" s="18"/>
      <c r="R54" s="19"/>
      <c r="S54" s="19">
        <f t="shared" si="1"/>
        <v>0</v>
      </c>
      <c r="U54" s="1"/>
      <c r="V54" s="2">
        <v>0</v>
      </c>
      <c r="W54" s="11">
        <f>Table20222429420[[#This Row],[TOTAL VENTE]]</f>
        <v>0</v>
      </c>
      <c r="X54" s="11">
        <f>Table20222429420[[#This Row],[TOTAL VENTE]]-Table2022242941122[[#This Row],[TOTAL ACHAT]]</f>
        <v>0</v>
      </c>
    </row>
    <row r="55" spans="1:24" ht="21" x14ac:dyDescent="0.35">
      <c r="A55" s="1"/>
      <c r="B55" s="14">
        <f>SUM(B34:B54)</f>
        <v>84</v>
      </c>
      <c r="C55" s="10"/>
      <c r="D55" s="13">
        <f>SUM(D34:D54)</f>
        <v>411100</v>
      </c>
      <c r="F55" s="1"/>
      <c r="G55" s="14">
        <f>SUM(G34:G54)</f>
        <v>84</v>
      </c>
      <c r="H55" s="11"/>
      <c r="I55" s="13">
        <f>SUM(I34:I54)</f>
        <v>430000</v>
      </c>
      <c r="J55" s="21"/>
      <c r="K55" s="21"/>
      <c r="L55" s="21"/>
      <c r="M55" s="21"/>
      <c r="O55" s="17"/>
      <c r="P55" s="17"/>
      <c r="Q55" s="18"/>
      <c r="R55" s="19"/>
      <c r="S55" s="26">
        <f>SUM(S34:S54)</f>
        <v>5500</v>
      </c>
      <c r="U55" s="1"/>
      <c r="V55" s="30">
        <f>SUM(V34:V54)</f>
        <v>84</v>
      </c>
      <c r="W55" s="34">
        <f>SUM(W34:W54)</f>
        <v>430000</v>
      </c>
      <c r="X55" s="44">
        <f>SUM(X34:X54)</f>
        <v>18900</v>
      </c>
    </row>
    <row r="56" spans="1:24" ht="18.75" x14ac:dyDescent="0.3">
      <c r="J56" s="24"/>
      <c r="K56" s="24"/>
      <c r="O56" s="17"/>
      <c r="P56" s="17"/>
      <c r="Q56" s="20"/>
      <c r="R56" s="20"/>
      <c r="S56" s="20"/>
      <c r="U56" s="31"/>
      <c r="V56" s="32"/>
      <c r="W56" s="35"/>
      <c r="X56" s="36"/>
    </row>
    <row r="57" spans="1:24" ht="18.75" x14ac:dyDescent="0.3">
      <c r="J57" s="24"/>
      <c r="K57" s="24"/>
      <c r="U57" s="31"/>
      <c r="V57" s="32"/>
      <c r="W57" s="33" t="s">
        <v>70</v>
      </c>
      <c r="X57" s="45">
        <f>X27+S55</f>
        <v>11000</v>
      </c>
    </row>
    <row r="58" spans="1:24" ht="18.75" x14ac:dyDescent="0.3">
      <c r="J58" s="24"/>
      <c r="K58" s="24"/>
      <c r="O58" s="24"/>
      <c r="P58" s="24"/>
      <c r="Q58" s="24"/>
      <c r="R58" s="24"/>
      <c r="S58" s="25"/>
      <c r="U58" s="1"/>
      <c r="V58" s="2"/>
      <c r="W58" s="41" t="s">
        <v>46</v>
      </c>
      <c r="X58" s="41">
        <f>X25+X55</f>
        <v>34000</v>
      </c>
    </row>
    <row r="59" spans="1:24" ht="18.75" x14ac:dyDescent="0.3">
      <c r="J59" s="24"/>
      <c r="K59" s="24"/>
      <c r="U59" s="1"/>
      <c r="V59" s="2"/>
      <c r="W59" s="39" t="s">
        <v>71</v>
      </c>
      <c r="X59" s="39">
        <f>X58-X57</f>
        <v>23000</v>
      </c>
    </row>
    <row r="60" spans="1:24" x14ac:dyDescent="0.25">
      <c r="J60" s="24"/>
      <c r="K60" s="24"/>
    </row>
    <row r="61" spans="1:24" ht="26.25" x14ac:dyDescent="0.4">
      <c r="A61" s="61" t="s">
        <v>54</v>
      </c>
      <c r="B61" s="61"/>
      <c r="C61" s="61"/>
      <c r="D61" s="61"/>
      <c r="E61" s="22"/>
      <c r="F61" s="62" t="s">
        <v>55</v>
      </c>
      <c r="G61" s="62"/>
      <c r="H61" s="62"/>
      <c r="I61" s="62"/>
      <c r="J61" s="46"/>
      <c r="K61" s="46"/>
      <c r="L61" s="46"/>
      <c r="M61" s="46"/>
      <c r="N61" s="23"/>
      <c r="O61" s="59" t="s">
        <v>56</v>
      </c>
      <c r="P61" s="59"/>
      <c r="Q61" s="59"/>
      <c r="R61" s="59"/>
      <c r="S61" s="59"/>
      <c r="U61" s="60" t="s">
        <v>57</v>
      </c>
      <c r="V61" s="60"/>
      <c r="W61" s="60"/>
      <c r="X61" s="60"/>
    </row>
    <row r="62" spans="1:24" x14ac:dyDescent="0.25">
      <c r="J62" s="24"/>
      <c r="K62" s="24"/>
    </row>
    <row r="63" spans="1:24" ht="15.75" x14ac:dyDescent="0.25">
      <c r="A63" s="1" t="s">
        <v>0</v>
      </c>
      <c r="B63" s="1" t="s">
        <v>37</v>
      </c>
      <c r="C63" s="1" t="s">
        <v>32</v>
      </c>
      <c r="D63" s="1" t="s">
        <v>34</v>
      </c>
      <c r="F63" s="1" t="s">
        <v>0</v>
      </c>
      <c r="G63" s="1" t="s">
        <v>37</v>
      </c>
      <c r="H63" s="1" t="s">
        <v>18</v>
      </c>
      <c r="I63" s="1" t="s">
        <v>33</v>
      </c>
      <c r="J63" s="47"/>
      <c r="K63" s="47"/>
      <c r="L63" s="47"/>
      <c r="M63" s="47"/>
      <c r="N63" s="1"/>
      <c r="O63" s="15" t="s">
        <v>38</v>
      </c>
      <c r="P63" s="15" t="s">
        <v>39</v>
      </c>
      <c r="Q63" s="16" t="s">
        <v>37</v>
      </c>
      <c r="R63" s="16" t="s">
        <v>32</v>
      </c>
      <c r="S63" s="16" t="s">
        <v>3</v>
      </c>
      <c r="U63" s="1" t="s">
        <v>0</v>
      </c>
      <c r="V63" s="1" t="s">
        <v>37</v>
      </c>
      <c r="W63" s="1" t="s">
        <v>33</v>
      </c>
      <c r="X63" s="1" t="s">
        <v>25</v>
      </c>
    </row>
    <row r="64" spans="1:24" ht="15.75" x14ac:dyDescent="0.25">
      <c r="A64" s="1" t="s">
        <v>4</v>
      </c>
      <c r="B64" s="27">
        <v>20</v>
      </c>
      <c r="C64" s="12">
        <v>5200</v>
      </c>
      <c r="D64" s="11">
        <f>Table202224294112225[[#This Row],[QT]]*Table202224294112225[[#This Row],[PRIX D''ACHAT]]</f>
        <v>104000</v>
      </c>
      <c r="F64" s="1" t="s">
        <v>4</v>
      </c>
      <c r="G64" s="27">
        <v>20</v>
      </c>
      <c r="H64" s="11">
        <v>5300</v>
      </c>
      <c r="I64" s="11">
        <f>Table2022242942024[[#This Row],[QT]]*Table2022242942024[[#This Row],[PRIX DE VENTE]]</f>
        <v>106000</v>
      </c>
      <c r="J64" s="48"/>
      <c r="K64" s="48"/>
      <c r="L64" s="48"/>
      <c r="M64" s="48"/>
      <c r="N64" s="11"/>
      <c r="O64" s="37">
        <v>44844</v>
      </c>
      <c r="P64" s="17" t="s">
        <v>47</v>
      </c>
      <c r="Q64" s="18">
        <v>1</v>
      </c>
      <c r="R64" s="19">
        <v>0</v>
      </c>
      <c r="S64" s="19">
        <f t="shared" ref="S64:S84" si="2">Q64*R64</f>
        <v>0</v>
      </c>
      <c r="U64" s="1" t="s">
        <v>4</v>
      </c>
      <c r="V64" s="27">
        <v>20</v>
      </c>
      <c r="W64" s="11">
        <f>Table2022242942024[[#This Row],[TOTAL VENTE]]</f>
        <v>106000</v>
      </c>
      <c r="X64" s="11">
        <f>Table2022242942024[[#This Row],[TOTAL VENTE]]-Table202224294112225[[#This Row],[TOTAL ACHAT]]</f>
        <v>2000</v>
      </c>
    </row>
    <row r="65" spans="1:24" ht="15.75" x14ac:dyDescent="0.25">
      <c r="A65" s="1" t="s">
        <v>5</v>
      </c>
      <c r="B65" s="27">
        <v>1</v>
      </c>
      <c r="C65" s="12">
        <v>4500</v>
      </c>
      <c r="D65" s="11">
        <f>Table202224294112225[[#This Row],[QT]]*Table202224294112225[[#This Row],[PRIX D''ACHAT]]</f>
        <v>4500</v>
      </c>
      <c r="F65" s="1" t="s">
        <v>5</v>
      </c>
      <c r="G65" s="27">
        <v>1</v>
      </c>
      <c r="H65" s="11">
        <v>4800</v>
      </c>
      <c r="I65" s="11">
        <f>Table2022242942024[[#This Row],[QT]]*Table2022242942024[[#This Row],[PRIX DE VENTE]]</f>
        <v>4800</v>
      </c>
      <c r="J65" s="48"/>
      <c r="K65" s="48"/>
      <c r="L65" s="48"/>
      <c r="M65" s="48"/>
      <c r="N65" s="11"/>
      <c r="O65" s="37">
        <v>44875</v>
      </c>
      <c r="P65" s="17" t="s">
        <v>48</v>
      </c>
      <c r="Q65" s="18">
        <v>1</v>
      </c>
      <c r="R65" s="19">
        <v>500</v>
      </c>
      <c r="S65" s="19">
        <f t="shared" si="2"/>
        <v>500</v>
      </c>
      <c r="U65" s="1" t="s">
        <v>5</v>
      </c>
      <c r="V65" s="27">
        <v>1</v>
      </c>
      <c r="W65" s="11">
        <f>Table2022242942024[[#This Row],[TOTAL VENTE]]</f>
        <v>4800</v>
      </c>
      <c r="X65" s="11">
        <f>Table2022242942024[[#This Row],[TOTAL VENTE]]-Table202224294112225[[#This Row],[TOTAL ACHAT]]</f>
        <v>300</v>
      </c>
    </row>
    <row r="66" spans="1:24" ht="15.75" x14ac:dyDescent="0.25">
      <c r="A66" s="1" t="s">
        <v>28</v>
      </c>
      <c r="B66" s="27">
        <v>0</v>
      </c>
      <c r="C66" s="12">
        <v>4700</v>
      </c>
      <c r="D66" s="11">
        <f>Table202224294112225[[#This Row],[QT]]*Table202224294112225[[#This Row],[PRIX D''ACHAT]]</f>
        <v>0</v>
      </c>
      <c r="F66" s="1" t="s">
        <v>28</v>
      </c>
      <c r="G66" s="27">
        <v>0</v>
      </c>
      <c r="H66" s="11">
        <v>5000</v>
      </c>
      <c r="I66" s="11">
        <f>Table2022242942024[[#This Row],[QT]]*Table2022242942024[[#This Row],[PRIX DE VENTE]]</f>
        <v>0</v>
      </c>
      <c r="J66" s="48"/>
      <c r="K66" s="48"/>
      <c r="L66" s="48"/>
      <c r="M66" s="48"/>
      <c r="N66" s="11"/>
      <c r="O66" s="17"/>
      <c r="P66" s="17"/>
      <c r="Q66" s="18"/>
      <c r="R66" s="19"/>
      <c r="S66" s="19">
        <f t="shared" si="2"/>
        <v>0</v>
      </c>
      <c r="U66" s="1" t="s">
        <v>28</v>
      </c>
      <c r="V66" s="27">
        <v>0</v>
      </c>
      <c r="W66" s="11">
        <f>Table2022242942024[[#This Row],[TOTAL VENTE]]</f>
        <v>0</v>
      </c>
      <c r="X66" s="11">
        <f>Table2022242942024[[#This Row],[TOTAL VENTE]]-Table202224294112225[[#This Row],[TOTAL ACHAT]]</f>
        <v>0</v>
      </c>
    </row>
    <row r="67" spans="1:24" ht="15.75" x14ac:dyDescent="0.25">
      <c r="A67" s="1" t="s">
        <v>27</v>
      </c>
      <c r="B67" s="27">
        <v>1</v>
      </c>
      <c r="C67" s="12">
        <v>4500</v>
      </c>
      <c r="D67" s="11">
        <f>Table202224294112225[[#This Row],[QT]]*Table202224294112225[[#This Row],[PRIX D''ACHAT]]</f>
        <v>4500</v>
      </c>
      <c r="F67" s="1" t="s">
        <v>27</v>
      </c>
      <c r="G67" s="27">
        <v>1</v>
      </c>
      <c r="H67" s="11">
        <v>4700</v>
      </c>
      <c r="I67" s="11">
        <f>Table2022242942024[[#This Row],[QT]]*Table2022242942024[[#This Row],[PRIX DE VENTE]]</f>
        <v>4700</v>
      </c>
      <c r="J67" s="48"/>
      <c r="K67" s="48"/>
      <c r="L67" s="48"/>
      <c r="M67" s="48"/>
      <c r="N67" s="11"/>
      <c r="O67" s="17"/>
      <c r="P67" s="17"/>
      <c r="Q67" s="18"/>
      <c r="R67" s="19"/>
      <c r="S67" s="19">
        <f t="shared" si="2"/>
        <v>0</v>
      </c>
      <c r="U67" s="1" t="s">
        <v>27</v>
      </c>
      <c r="V67" s="27">
        <v>1</v>
      </c>
      <c r="W67" s="11">
        <f>Table2022242942024[[#This Row],[TOTAL VENTE]]</f>
        <v>4700</v>
      </c>
      <c r="X67" s="11">
        <f>Table2022242942024[[#This Row],[TOTAL VENTE]]-Table202224294112225[[#This Row],[TOTAL ACHAT]]</f>
        <v>200</v>
      </c>
    </row>
    <row r="68" spans="1:24" ht="15.75" x14ac:dyDescent="0.25">
      <c r="A68" s="1" t="s">
        <v>31</v>
      </c>
      <c r="B68" s="27">
        <v>0</v>
      </c>
      <c r="C68" s="29">
        <v>6500</v>
      </c>
      <c r="D68" s="11">
        <f>Table202224294112225[[#This Row],[QT]]*Table202224294112225[[#This Row],[PRIX D''ACHAT]]</f>
        <v>0</v>
      </c>
      <c r="F68" s="1" t="s">
        <v>31</v>
      </c>
      <c r="G68" s="27">
        <v>0</v>
      </c>
      <c r="H68" s="11">
        <v>7000</v>
      </c>
      <c r="I68" s="11">
        <f>Table2022242942024[[#This Row],[QT]]*Table2022242942024[[#This Row],[PRIX DE VENTE]]</f>
        <v>0</v>
      </c>
      <c r="J68" s="48"/>
      <c r="K68" s="48"/>
      <c r="L68" s="48"/>
      <c r="M68" s="48"/>
      <c r="N68" s="11"/>
      <c r="O68" s="17"/>
      <c r="P68" s="17"/>
      <c r="Q68" s="18"/>
      <c r="R68" s="19"/>
      <c r="S68" s="19">
        <f t="shared" si="2"/>
        <v>0</v>
      </c>
      <c r="U68" s="1" t="s">
        <v>31</v>
      </c>
      <c r="V68" s="27">
        <v>0</v>
      </c>
      <c r="W68" s="11">
        <f>Table2022242942024[[#This Row],[TOTAL VENTE]]</f>
        <v>0</v>
      </c>
      <c r="X68" s="11">
        <f>Table2022242942024[[#This Row],[TOTAL VENTE]]-Table202224294112225[[#This Row],[TOTAL ACHAT]]</f>
        <v>0</v>
      </c>
    </row>
    <row r="69" spans="1:24" ht="15.75" x14ac:dyDescent="0.25">
      <c r="A69" s="1" t="s">
        <v>6</v>
      </c>
      <c r="B69" s="27">
        <v>0</v>
      </c>
      <c r="C69" s="12">
        <v>5300</v>
      </c>
      <c r="D69" s="11">
        <f>Table202224294112225[[#This Row],[QT]]*Table202224294112225[[#This Row],[PRIX D''ACHAT]]</f>
        <v>0</v>
      </c>
      <c r="F69" s="1" t="s">
        <v>6</v>
      </c>
      <c r="G69" s="27">
        <v>0</v>
      </c>
      <c r="H69" s="11">
        <v>5500</v>
      </c>
      <c r="I69" s="11">
        <f>Table2022242942024[[#This Row],[QT]]*Table2022242942024[[#This Row],[PRIX DE VENTE]]</f>
        <v>0</v>
      </c>
      <c r="J69" s="48"/>
      <c r="K69" s="48"/>
      <c r="L69" s="48"/>
      <c r="M69" s="48"/>
      <c r="N69" s="11"/>
      <c r="O69" s="17"/>
      <c r="P69" s="17"/>
      <c r="Q69" s="18"/>
      <c r="R69" s="19"/>
      <c r="S69" s="19">
        <f t="shared" si="2"/>
        <v>0</v>
      </c>
      <c r="U69" s="1" t="s">
        <v>6</v>
      </c>
      <c r="V69" s="27">
        <v>0</v>
      </c>
      <c r="W69" s="11">
        <f>Table2022242942024[[#This Row],[TOTAL VENTE]]</f>
        <v>0</v>
      </c>
      <c r="X69" s="11">
        <f>Table2022242942024[[#This Row],[TOTAL VENTE]]-Table202224294112225[[#This Row],[TOTAL ACHAT]]</f>
        <v>0</v>
      </c>
    </row>
    <row r="70" spans="1:24" ht="15.75" x14ac:dyDescent="0.25">
      <c r="A70" s="1" t="s">
        <v>7</v>
      </c>
      <c r="B70" s="27">
        <v>0</v>
      </c>
      <c r="C70" s="12">
        <v>4100</v>
      </c>
      <c r="D70" s="11">
        <f>Table202224294112225[[#This Row],[QT]]*Table202224294112225[[#This Row],[PRIX D''ACHAT]]</f>
        <v>0</v>
      </c>
      <c r="F70" s="1" t="s">
        <v>7</v>
      </c>
      <c r="G70" s="27">
        <v>0</v>
      </c>
      <c r="H70" s="11">
        <v>4500</v>
      </c>
      <c r="I70" s="11">
        <f>Table2022242942024[[#This Row],[QT]]*Table2022242942024[[#This Row],[PRIX DE VENTE]]</f>
        <v>0</v>
      </c>
      <c r="J70" s="48"/>
      <c r="K70" s="48"/>
      <c r="L70" s="48"/>
      <c r="M70" s="48"/>
      <c r="N70" s="11"/>
      <c r="O70" s="17"/>
      <c r="P70" s="17"/>
      <c r="Q70" s="18"/>
      <c r="R70" s="19"/>
      <c r="S70" s="19">
        <f t="shared" si="2"/>
        <v>0</v>
      </c>
      <c r="U70" s="1" t="s">
        <v>7</v>
      </c>
      <c r="V70" s="27">
        <v>0</v>
      </c>
      <c r="W70" s="11">
        <f>Table2022242942024[[#This Row],[TOTAL VENTE]]</f>
        <v>0</v>
      </c>
      <c r="X70" s="11">
        <f>Table2022242942024[[#This Row],[TOTAL VENTE]]-Table202224294112225[[#This Row],[TOTAL ACHAT]]</f>
        <v>0</v>
      </c>
    </row>
    <row r="71" spans="1:24" ht="15.75" x14ac:dyDescent="0.25">
      <c r="A71" s="1" t="s">
        <v>8</v>
      </c>
      <c r="B71" s="27">
        <v>0</v>
      </c>
      <c r="C71" s="12">
        <v>18200</v>
      </c>
      <c r="D71" s="11">
        <f>Table202224294112225[[#This Row],[QT]]*Table202224294112225[[#This Row],[PRIX D''ACHAT]]</f>
        <v>0</v>
      </c>
      <c r="F71" s="1" t="s">
        <v>8</v>
      </c>
      <c r="G71" s="27">
        <v>0</v>
      </c>
      <c r="H71" s="11">
        <v>19000</v>
      </c>
      <c r="I71" s="11">
        <f>Table2022242942024[[#This Row],[QT]]*Table2022242942024[[#This Row],[PRIX DE VENTE]]</f>
        <v>0</v>
      </c>
      <c r="J71" s="48"/>
      <c r="K71" s="48"/>
      <c r="L71" s="48"/>
      <c r="M71" s="48"/>
      <c r="N71" s="11"/>
      <c r="O71" s="17"/>
      <c r="P71" s="17"/>
      <c r="Q71" s="18"/>
      <c r="R71" s="19"/>
      <c r="S71" s="19">
        <f t="shared" si="2"/>
        <v>0</v>
      </c>
      <c r="U71" s="1" t="s">
        <v>8</v>
      </c>
      <c r="V71" s="27">
        <v>0</v>
      </c>
      <c r="W71" s="11">
        <f>Table2022242942024[[#This Row],[TOTAL VENTE]]</f>
        <v>0</v>
      </c>
      <c r="X71" s="11">
        <f>Table2022242942024[[#This Row],[TOTAL VENTE]]-Table202224294112225[[#This Row],[TOTAL ACHAT]]</f>
        <v>0</v>
      </c>
    </row>
    <row r="72" spans="1:24" ht="15.75" x14ac:dyDescent="0.25">
      <c r="A72" s="1" t="s">
        <v>41</v>
      </c>
      <c r="B72" s="27">
        <v>10</v>
      </c>
      <c r="C72" s="12">
        <v>4500</v>
      </c>
      <c r="D72" s="11">
        <f>Table202224294112225[[#This Row],[QT]]*Table202224294112225[[#This Row],[PRIX D''ACHAT]]</f>
        <v>45000</v>
      </c>
      <c r="F72" s="1" t="s">
        <v>41</v>
      </c>
      <c r="G72" s="27">
        <v>10</v>
      </c>
      <c r="H72" s="11">
        <v>4800</v>
      </c>
      <c r="I72" s="11">
        <f>Table2022242942024[[#This Row],[QT]]*Table2022242942024[[#This Row],[PRIX DE VENTE]]</f>
        <v>48000</v>
      </c>
      <c r="J72" s="48"/>
      <c r="K72" s="48"/>
      <c r="L72" s="48"/>
      <c r="M72" s="48"/>
      <c r="N72" s="11"/>
      <c r="O72" s="17"/>
      <c r="P72" s="17"/>
      <c r="Q72" s="18"/>
      <c r="R72" s="19"/>
      <c r="S72" s="19">
        <f t="shared" si="2"/>
        <v>0</v>
      </c>
      <c r="U72" s="1" t="s">
        <v>41</v>
      </c>
      <c r="V72" s="27">
        <v>10</v>
      </c>
      <c r="W72" s="11">
        <f>Table2022242942024[[#This Row],[TOTAL VENTE]]</f>
        <v>48000</v>
      </c>
      <c r="X72" s="11">
        <f>Table2022242942024[[#This Row],[TOTAL VENTE]]-Table202224294112225[[#This Row],[TOTAL ACHAT]]</f>
        <v>3000</v>
      </c>
    </row>
    <row r="73" spans="1:24" ht="15.75" x14ac:dyDescent="0.25">
      <c r="A73" s="1" t="s">
        <v>30</v>
      </c>
      <c r="B73" s="27">
        <v>0</v>
      </c>
      <c r="C73" s="12">
        <v>10650</v>
      </c>
      <c r="D73" s="11">
        <f>Table202224294112225[[#This Row],[QT]]*Table202224294112225[[#This Row],[PRIX D''ACHAT]]</f>
        <v>0</v>
      </c>
      <c r="F73" s="1" t="s">
        <v>30</v>
      </c>
      <c r="G73" s="27">
        <v>0</v>
      </c>
      <c r="H73" s="11">
        <v>11100</v>
      </c>
      <c r="I73" s="11">
        <f>Table2022242942024[[#This Row],[QT]]*Table2022242942024[[#This Row],[PRIX DE VENTE]]</f>
        <v>0</v>
      </c>
      <c r="J73" s="48"/>
      <c r="K73" s="48"/>
      <c r="L73" s="48"/>
      <c r="M73" s="48"/>
      <c r="N73" s="11"/>
      <c r="O73" s="17"/>
      <c r="P73" s="17"/>
      <c r="Q73" s="18"/>
      <c r="R73" s="19"/>
      <c r="S73" s="19">
        <f t="shared" si="2"/>
        <v>0</v>
      </c>
      <c r="U73" s="1" t="s">
        <v>30</v>
      </c>
      <c r="V73" s="27">
        <v>0</v>
      </c>
      <c r="W73" s="11">
        <f>Table2022242942024[[#This Row],[TOTAL VENTE]]</f>
        <v>0</v>
      </c>
      <c r="X73" s="11">
        <f>Table2022242942024[[#This Row],[TOTAL VENTE]]-Table202224294112225[[#This Row],[TOTAL ACHAT]]</f>
        <v>0</v>
      </c>
    </row>
    <row r="74" spans="1:24" ht="15.75" x14ac:dyDescent="0.25">
      <c r="A74" s="1" t="s">
        <v>29</v>
      </c>
      <c r="B74" s="27">
        <v>0</v>
      </c>
      <c r="C74" s="12">
        <v>3900</v>
      </c>
      <c r="D74" s="11">
        <f>Table202224294112225[[#This Row],[QT]]*Table202224294112225[[#This Row],[PRIX D''ACHAT]]</f>
        <v>0</v>
      </c>
      <c r="F74" s="1" t="s">
        <v>29</v>
      </c>
      <c r="G74" s="27">
        <v>0</v>
      </c>
      <c r="H74" s="11">
        <v>4500</v>
      </c>
      <c r="I74" s="11">
        <f>Table2022242942024[[#This Row],[QT]]*Table2022242942024[[#This Row],[PRIX DE VENTE]]</f>
        <v>0</v>
      </c>
      <c r="J74" s="48"/>
      <c r="K74" s="48"/>
      <c r="L74" s="48"/>
      <c r="M74" s="48"/>
      <c r="N74" s="11"/>
      <c r="O74" s="17"/>
      <c r="P74" s="17"/>
      <c r="Q74" s="18"/>
      <c r="R74" s="19"/>
      <c r="S74" s="19">
        <f t="shared" si="2"/>
        <v>0</v>
      </c>
      <c r="U74" s="1" t="s">
        <v>29</v>
      </c>
      <c r="V74" s="27">
        <v>0</v>
      </c>
      <c r="W74" s="11">
        <f>Table2022242942024[[#This Row],[TOTAL VENTE]]</f>
        <v>0</v>
      </c>
      <c r="X74" s="11">
        <f>Table2022242942024[[#This Row],[TOTAL VENTE]]-Table202224294112225[[#This Row],[TOTAL ACHAT]]</f>
        <v>0</v>
      </c>
    </row>
    <row r="75" spans="1:24" ht="15.75" x14ac:dyDescent="0.25">
      <c r="A75" s="1" t="s">
        <v>26</v>
      </c>
      <c r="B75" s="27">
        <v>0</v>
      </c>
      <c r="C75" s="12">
        <v>9500</v>
      </c>
      <c r="D75" s="11">
        <f>Table202224294112225[[#This Row],[QT]]*Table202224294112225[[#This Row],[PRIX D''ACHAT]]</f>
        <v>0</v>
      </c>
      <c r="F75" s="1" t="s">
        <v>26</v>
      </c>
      <c r="G75" s="27">
        <v>0</v>
      </c>
      <c r="H75" s="11">
        <v>10000</v>
      </c>
      <c r="I75" s="11">
        <f>Table2022242942024[[#This Row],[QT]]*Table2022242942024[[#This Row],[PRIX DE VENTE]]</f>
        <v>0</v>
      </c>
      <c r="J75" s="48"/>
      <c r="K75" s="48"/>
      <c r="L75" s="48"/>
      <c r="M75" s="48"/>
      <c r="N75" s="11"/>
      <c r="O75" s="17"/>
      <c r="P75" s="17"/>
      <c r="Q75" s="18"/>
      <c r="R75" s="19"/>
      <c r="S75" s="19">
        <f t="shared" si="2"/>
        <v>0</v>
      </c>
      <c r="U75" s="1" t="s">
        <v>26</v>
      </c>
      <c r="V75" s="27">
        <v>0</v>
      </c>
      <c r="W75" s="11">
        <f>Table2022242942024[[#This Row],[TOTAL VENTE]]</f>
        <v>0</v>
      </c>
      <c r="X75" s="11">
        <f>Table2022242942024[[#This Row],[TOTAL VENTE]]-Table202224294112225[[#This Row],[TOTAL ACHAT]]</f>
        <v>0</v>
      </c>
    </row>
    <row r="76" spans="1:24" ht="15.75" x14ac:dyDescent="0.25">
      <c r="A76" s="1" t="s">
        <v>42</v>
      </c>
      <c r="B76" s="27">
        <v>2</v>
      </c>
      <c r="C76" s="12">
        <v>3550</v>
      </c>
      <c r="D76" s="11">
        <f>Table202224294112225[[#This Row],[QT]]*Table202224294112225[[#This Row],[PRIX D''ACHAT]]</f>
        <v>7100</v>
      </c>
      <c r="F76" s="1" t="s">
        <v>42</v>
      </c>
      <c r="G76" s="27">
        <v>2</v>
      </c>
      <c r="H76" s="11">
        <v>4000</v>
      </c>
      <c r="I76" s="11">
        <f>Table2022242942024[[#This Row],[QT]]*Table2022242942024[[#This Row],[PRIX DE VENTE]]</f>
        <v>8000</v>
      </c>
      <c r="J76" s="48"/>
      <c r="K76" s="48"/>
      <c r="L76" s="48"/>
      <c r="M76" s="48"/>
      <c r="N76" s="11"/>
      <c r="O76" s="17"/>
      <c r="P76" s="17"/>
      <c r="Q76" s="18"/>
      <c r="R76" s="19"/>
      <c r="S76" s="19">
        <f t="shared" si="2"/>
        <v>0</v>
      </c>
      <c r="U76" s="1" t="s">
        <v>42</v>
      </c>
      <c r="V76" s="27">
        <v>2</v>
      </c>
      <c r="W76" s="11">
        <f>Table2022242942024[[#This Row],[TOTAL VENTE]]</f>
        <v>8000</v>
      </c>
      <c r="X76" s="11">
        <f>Table2022242942024[[#This Row],[TOTAL VENTE]]-Table202224294112225[[#This Row],[TOTAL ACHAT]]</f>
        <v>900</v>
      </c>
    </row>
    <row r="77" spans="1:24" ht="17.25" customHeight="1" x14ac:dyDescent="0.35">
      <c r="A77" s="1" t="s">
        <v>43</v>
      </c>
      <c r="B77" s="27">
        <v>0</v>
      </c>
      <c r="C77" s="12">
        <v>3550</v>
      </c>
      <c r="D77" s="11">
        <f>Table202224294112225[[#This Row],[QT]]*Table202224294112225[[#This Row],[PRIX D''ACHAT]]</f>
        <v>0</v>
      </c>
      <c r="F77" s="1" t="s">
        <v>43</v>
      </c>
      <c r="G77" s="27">
        <v>0</v>
      </c>
      <c r="H77" s="11">
        <v>4000</v>
      </c>
      <c r="I77" s="11">
        <f>Table2022242942024[[#This Row],[QT]]*Table2022242942024[[#This Row],[PRIX DE VENTE]]</f>
        <v>0</v>
      </c>
      <c r="J77" s="48"/>
      <c r="K77" s="48"/>
      <c r="L77" s="48"/>
      <c r="M77" s="48"/>
      <c r="N77" s="21"/>
      <c r="O77" s="17"/>
      <c r="P77" s="17"/>
      <c r="Q77" s="18"/>
      <c r="R77" s="19"/>
      <c r="S77" s="19">
        <f t="shared" si="2"/>
        <v>0</v>
      </c>
      <c r="U77" s="1" t="s">
        <v>43</v>
      </c>
      <c r="V77" s="27">
        <v>0</v>
      </c>
      <c r="W77" s="11">
        <f>Table2022242942024[[#This Row],[TOTAL VENTE]]</f>
        <v>0</v>
      </c>
      <c r="X77" s="11">
        <f>Table2022242942024[[#This Row],[TOTAL VENTE]]-Table202224294112225[[#This Row],[TOTAL ACHAT]]</f>
        <v>0</v>
      </c>
    </row>
    <row r="78" spans="1:24" ht="15.75" x14ac:dyDescent="0.25">
      <c r="A78" s="1" t="s">
        <v>44</v>
      </c>
      <c r="B78" s="27">
        <v>2</v>
      </c>
      <c r="C78" s="12">
        <v>3550</v>
      </c>
      <c r="D78" s="11">
        <f>Table202224294112225[[#This Row],[QT]]*Table202224294112225[[#This Row],[PRIX D''ACHAT]]</f>
        <v>7100</v>
      </c>
      <c r="F78" s="1" t="s">
        <v>44</v>
      </c>
      <c r="G78" s="27">
        <v>2</v>
      </c>
      <c r="H78" s="11">
        <v>4000</v>
      </c>
      <c r="I78" s="11">
        <f>Table2022242942024[[#This Row],[QT]]*Table2022242942024[[#This Row],[PRIX DE VENTE]]</f>
        <v>8000</v>
      </c>
      <c r="J78" s="48"/>
      <c r="K78" s="48"/>
      <c r="L78" s="48"/>
      <c r="M78" s="48"/>
      <c r="O78" s="17"/>
      <c r="P78" s="17"/>
      <c r="Q78" s="18"/>
      <c r="R78" s="19"/>
      <c r="S78" s="19">
        <f t="shared" si="2"/>
        <v>0</v>
      </c>
      <c r="U78" s="1" t="s">
        <v>44</v>
      </c>
      <c r="V78" s="27">
        <v>2</v>
      </c>
      <c r="W78" s="11">
        <f>Table2022242942024[[#This Row],[TOTAL VENTE]]</f>
        <v>8000</v>
      </c>
      <c r="X78" s="11">
        <f>Table2022242942024[[#This Row],[TOTAL VENTE]]-Table202224294112225[[#This Row],[TOTAL ACHAT]]</f>
        <v>900</v>
      </c>
    </row>
    <row r="79" spans="1:24" ht="15.75" x14ac:dyDescent="0.25">
      <c r="A79" s="1" t="s">
        <v>45</v>
      </c>
      <c r="B79" s="28">
        <v>0</v>
      </c>
      <c r="C79" s="12">
        <v>5000</v>
      </c>
      <c r="D79" s="11">
        <f>Table202224294112225[[#This Row],[QT]]*Table202224294112225[[#This Row],[PRIX D''ACHAT]]</f>
        <v>0</v>
      </c>
      <c r="F79" s="1" t="s">
        <v>45</v>
      </c>
      <c r="G79" s="28">
        <v>0</v>
      </c>
      <c r="H79" s="11">
        <v>5500</v>
      </c>
      <c r="I79" s="11">
        <f>Table2022242942024[[#This Row],[QT]]*Table2022242942024[[#This Row],[PRIX DE VENTE]]</f>
        <v>0</v>
      </c>
      <c r="J79" s="48"/>
      <c r="K79" s="48"/>
      <c r="L79" s="48"/>
      <c r="M79" s="48"/>
      <c r="O79" s="17"/>
      <c r="P79" s="17"/>
      <c r="Q79" s="18"/>
      <c r="R79" s="19"/>
      <c r="S79" s="19">
        <f t="shared" si="2"/>
        <v>0</v>
      </c>
      <c r="U79" s="1" t="s">
        <v>45</v>
      </c>
      <c r="V79" s="28">
        <v>0</v>
      </c>
      <c r="W79" s="11">
        <f>Table2022242942024[[#This Row],[TOTAL VENTE]]</f>
        <v>0</v>
      </c>
      <c r="X79" s="11">
        <f>Table2022242942024[[#This Row],[TOTAL VENTE]]-Table202224294112225[[#This Row],[TOTAL ACHAT]]</f>
        <v>0</v>
      </c>
    </row>
    <row r="80" spans="1:24" ht="15.75" x14ac:dyDescent="0.25">
      <c r="A80" s="1"/>
      <c r="B80" s="2"/>
      <c r="C80" s="12">
        <v>0</v>
      </c>
      <c r="D80" s="11">
        <v>0</v>
      </c>
      <c r="F80" s="1"/>
      <c r="G80" s="2">
        <v>0</v>
      </c>
      <c r="H80" s="11">
        <v>0</v>
      </c>
      <c r="I80" s="11">
        <f>Table2022242942024[[#This Row],[QT]]*Table2022242942024[[#This Row],[PRIX DE VENTE]]</f>
        <v>0</v>
      </c>
      <c r="J80" s="48"/>
      <c r="K80" s="48"/>
      <c r="L80" s="48"/>
      <c r="M80" s="48"/>
      <c r="O80" s="17"/>
      <c r="P80" s="17"/>
      <c r="Q80" s="18"/>
      <c r="R80" s="19"/>
      <c r="S80" s="19">
        <f t="shared" si="2"/>
        <v>0</v>
      </c>
      <c r="U80" s="1"/>
      <c r="V80" s="2">
        <v>0</v>
      </c>
      <c r="W80" s="11">
        <f>Table2022242942024[[#This Row],[TOTAL VENTE]]</f>
        <v>0</v>
      </c>
      <c r="X80" s="11">
        <f>Table2022242942024[[#This Row],[TOTAL VENTE]]-Table202224294112225[[#This Row],[TOTAL ACHAT]]</f>
        <v>0</v>
      </c>
    </row>
    <row r="81" spans="1:24" ht="15.75" x14ac:dyDescent="0.25">
      <c r="A81" s="1"/>
      <c r="B81" s="2"/>
      <c r="C81" s="12">
        <v>0</v>
      </c>
      <c r="D81" s="11">
        <v>0</v>
      </c>
      <c r="F81" s="1"/>
      <c r="G81" s="2">
        <v>0</v>
      </c>
      <c r="H81" s="11">
        <v>0</v>
      </c>
      <c r="I81" s="11">
        <f>Table2022242942024[[#This Row],[QT]]*Table2022242942024[[#This Row],[PRIX DE VENTE]]</f>
        <v>0</v>
      </c>
      <c r="J81" s="48"/>
      <c r="K81" s="48"/>
      <c r="L81" s="48"/>
      <c r="M81" s="48"/>
      <c r="O81" s="17"/>
      <c r="P81" s="17"/>
      <c r="Q81" s="18"/>
      <c r="R81" s="19"/>
      <c r="S81" s="19">
        <f t="shared" si="2"/>
        <v>0</v>
      </c>
      <c r="U81" s="1"/>
      <c r="V81" s="2">
        <v>0</v>
      </c>
      <c r="W81" s="11">
        <f>Table2022242942024[[#This Row],[TOTAL VENTE]]</f>
        <v>0</v>
      </c>
      <c r="X81" s="11">
        <f>Table2022242942024[[#This Row],[TOTAL VENTE]]-Table202224294112225[[#This Row],[TOTAL ACHAT]]</f>
        <v>0</v>
      </c>
    </row>
    <row r="82" spans="1:24" ht="15.75" x14ac:dyDescent="0.25">
      <c r="A82" s="1"/>
      <c r="B82" s="2"/>
      <c r="C82" s="12">
        <v>0</v>
      </c>
      <c r="D82" s="11">
        <v>0</v>
      </c>
      <c r="F82" s="1"/>
      <c r="G82" s="2">
        <v>0</v>
      </c>
      <c r="H82" s="11">
        <v>0</v>
      </c>
      <c r="I82" s="11">
        <f>Table2022242942024[[#This Row],[QT]]*Table2022242942024[[#This Row],[PRIX DE VENTE]]</f>
        <v>0</v>
      </c>
      <c r="J82" s="48"/>
      <c r="K82" s="48"/>
      <c r="L82" s="48"/>
      <c r="M82" s="48"/>
      <c r="O82" s="17"/>
      <c r="P82" s="17"/>
      <c r="Q82" s="18"/>
      <c r="R82" s="19"/>
      <c r="S82" s="19">
        <f t="shared" si="2"/>
        <v>0</v>
      </c>
      <c r="U82" s="1"/>
      <c r="V82" s="2">
        <v>0</v>
      </c>
      <c r="W82" s="11">
        <f>Table2022242942024[[#This Row],[TOTAL VENTE]]</f>
        <v>0</v>
      </c>
      <c r="X82" s="11">
        <f>Table2022242942024[[#This Row],[TOTAL VENTE]]-Table202224294112225[[#This Row],[TOTAL ACHAT]]</f>
        <v>0</v>
      </c>
    </row>
    <row r="83" spans="1:24" ht="15.75" x14ac:dyDescent="0.25">
      <c r="A83" s="1"/>
      <c r="B83" s="2"/>
      <c r="C83" s="12">
        <v>0</v>
      </c>
      <c r="D83" s="11">
        <v>0</v>
      </c>
      <c r="F83" s="1"/>
      <c r="G83" s="2">
        <v>0</v>
      </c>
      <c r="H83" s="11">
        <v>0</v>
      </c>
      <c r="I83" s="11">
        <f>Table2022242942024[[#This Row],[QT]]*Table2022242942024[[#This Row],[PRIX DE VENTE]]</f>
        <v>0</v>
      </c>
      <c r="J83" s="48"/>
      <c r="K83" s="48"/>
      <c r="L83" s="48"/>
      <c r="M83" s="48"/>
      <c r="O83" s="17"/>
      <c r="P83" s="17"/>
      <c r="Q83" s="18"/>
      <c r="R83" s="19"/>
      <c r="S83" s="19">
        <f t="shared" si="2"/>
        <v>0</v>
      </c>
      <c r="U83" s="1"/>
      <c r="V83" s="2">
        <v>0</v>
      </c>
      <c r="W83" s="11">
        <f>Table2022242942024[[#This Row],[TOTAL VENTE]]</f>
        <v>0</v>
      </c>
      <c r="X83" s="11">
        <f>Table2022242942024[[#This Row],[TOTAL VENTE]]-Table202224294112225[[#This Row],[TOTAL ACHAT]]</f>
        <v>0</v>
      </c>
    </row>
    <row r="84" spans="1:24" ht="15.75" x14ac:dyDescent="0.25">
      <c r="A84" s="1"/>
      <c r="B84" s="2"/>
      <c r="C84" s="12">
        <v>0</v>
      </c>
      <c r="D84" s="11">
        <v>0</v>
      </c>
      <c r="F84" s="1"/>
      <c r="G84" s="2">
        <v>0</v>
      </c>
      <c r="H84" s="11">
        <v>0</v>
      </c>
      <c r="I84" s="11">
        <f>Table2022242942024[[#This Row],[QT]]*Table2022242942024[[#This Row],[PRIX DE VENTE]]</f>
        <v>0</v>
      </c>
      <c r="J84" s="48"/>
      <c r="K84" s="48"/>
      <c r="L84" s="48"/>
      <c r="M84" s="48"/>
      <c r="O84" s="17"/>
      <c r="P84" s="17"/>
      <c r="Q84" s="18"/>
      <c r="R84" s="19"/>
      <c r="S84" s="19">
        <f t="shared" si="2"/>
        <v>0</v>
      </c>
      <c r="U84" s="1"/>
      <c r="V84" s="2">
        <v>0</v>
      </c>
      <c r="W84" s="11">
        <f>Table2022242942024[[#This Row],[TOTAL VENTE]]</f>
        <v>0</v>
      </c>
      <c r="X84" s="11">
        <f>Table2022242942024[[#This Row],[TOTAL VENTE]]-Table202224294112225[[#This Row],[TOTAL ACHAT]]</f>
        <v>0</v>
      </c>
    </row>
    <row r="85" spans="1:24" ht="21" x14ac:dyDescent="0.35">
      <c r="A85" s="1"/>
      <c r="B85" s="14">
        <f>SUM(B64:B84)</f>
        <v>36</v>
      </c>
      <c r="C85" s="10"/>
      <c r="D85" s="13">
        <f>SUM(D64:D84)</f>
        <v>172200</v>
      </c>
      <c r="F85" s="1"/>
      <c r="G85" s="14">
        <f>SUM(G64:G84)</f>
        <v>36</v>
      </c>
      <c r="H85" s="11"/>
      <c r="I85" s="13">
        <f>SUM(I64:I84)</f>
        <v>179500</v>
      </c>
      <c r="J85" s="21"/>
      <c r="K85" s="21"/>
      <c r="L85" s="21"/>
      <c r="M85" s="21"/>
      <c r="O85" s="17"/>
      <c r="P85" s="17"/>
      <c r="Q85" s="18"/>
      <c r="R85" s="19"/>
      <c r="S85" s="26">
        <f>SUM(S64:S84)</f>
        <v>500</v>
      </c>
      <c r="U85" s="1"/>
      <c r="V85" s="30">
        <f>SUM(V64:V84)</f>
        <v>36</v>
      </c>
      <c r="W85" s="34">
        <f>SUM(W64:W84)</f>
        <v>179500</v>
      </c>
      <c r="X85" s="44">
        <f>SUM(X64:X84)</f>
        <v>7300</v>
      </c>
    </row>
    <row r="86" spans="1:24" ht="18.75" x14ac:dyDescent="0.3">
      <c r="J86" s="24"/>
      <c r="K86" s="24"/>
      <c r="O86" s="17"/>
      <c r="P86" s="17"/>
      <c r="Q86" s="20"/>
      <c r="R86" s="20"/>
      <c r="S86" s="20"/>
      <c r="U86" s="31"/>
      <c r="V86" s="32"/>
      <c r="W86" s="35"/>
      <c r="X86" s="36"/>
    </row>
    <row r="87" spans="1:24" ht="18.75" x14ac:dyDescent="0.3">
      <c r="J87" s="24"/>
      <c r="K87" s="24"/>
      <c r="U87" s="31"/>
      <c r="V87" s="32"/>
      <c r="W87" s="33" t="s">
        <v>70</v>
      </c>
      <c r="X87" s="45">
        <f>X57+S85</f>
        <v>11500</v>
      </c>
    </row>
    <row r="88" spans="1:24" ht="18.75" x14ac:dyDescent="0.3">
      <c r="J88" s="24"/>
      <c r="K88" s="24"/>
      <c r="O88" s="24"/>
      <c r="P88" s="24"/>
      <c r="Q88" s="24"/>
      <c r="R88" s="24"/>
      <c r="S88" s="25"/>
      <c r="U88" s="1"/>
      <c r="V88" s="2"/>
      <c r="W88" s="41" t="s">
        <v>72</v>
      </c>
      <c r="X88" s="41">
        <f>X58+X85</f>
        <v>41300</v>
      </c>
    </row>
    <row r="89" spans="1:24" ht="18.75" x14ac:dyDescent="0.3">
      <c r="J89" s="24"/>
      <c r="K89" s="24"/>
      <c r="U89" s="1"/>
      <c r="V89" s="2"/>
      <c r="W89" s="39" t="s">
        <v>71</v>
      </c>
      <c r="X89" s="39">
        <f>X88-X87</f>
        <v>29800</v>
      </c>
    </row>
    <row r="90" spans="1:24" x14ac:dyDescent="0.25">
      <c r="J90" s="24"/>
      <c r="K90" s="24"/>
    </row>
    <row r="91" spans="1:24" ht="26.25" x14ac:dyDescent="0.4">
      <c r="A91" s="61" t="s">
        <v>58</v>
      </c>
      <c r="B91" s="61"/>
      <c r="C91" s="61"/>
      <c r="D91" s="61"/>
      <c r="E91" s="22"/>
      <c r="F91" s="62" t="s">
        <v>62</v>
      </c>
      <c r="G91" s="62"/>
      <c r="H91" s="62"/>
      <c r="I91" s="62"/>
      <c r="J91" s="46"/>
      <c r="K91" s="46"/>
      <c r="L91" s="46"/>
      <c r="M91" s="46"/>
      <c r="N91" s="23"/>
      <c r="O91" s="59" t="s">
        <v>59</v>
      </c>
      <c r="P91" s="59"/>
      <c r="Q91" s="59"/>
      <c r="R91" s="59"/>
      <c r="S91" s="59"/>
      <c r="U91" s="60" t="s">
        <v>60</v>
      </c>
      <c r="V91" s="60"/>
      <c r="W91" s="60"/>
      <c r="X91" s="60"/>
    </row>
    <row r="92" spans="1:24" x14ac:dyDescent="0.25">
      <c r="J92" s="24"/>
      <c r="K92" s="24"/>
    </row>
    <row r="93" spans="1:24" ht="15.75" x14ac:dyDescent="0.25">
      <c r="A93" s="1" t="s">
        <v>0</v>
      </c>
      <c r="B93" s="1" t="s">
        <v>37</v>
      </c>
      <c r="C93" s="1" t="s">
        <v>32</v>
      </c>
      <c r="D93" s="1" t="s">
        <v>34</v>
      </c>
      <c r="F93" s="1" t="s">
        <v>0</v>
      </c>
      <c r="G93" s="1" t="s">
        <v>37</v>
      </c>
      <c r="H93" s="1" t="s">
        <v>18</v>
      </c>
      <c r="I93" s="1" t="s">
        <v>33</v>
      </c>
      <c r="J93" s="47"/>
      <c r="K93" s="47"/>
      <c r="L93" s="47"/>
      <c r="M93" s="47"/>
      <c r="N93" s="1"/>
      <c r="O93" s="15" t="s">
        <v>38</v>
      </c>
      <c r="P93" s="15" t="s">
        <v>39</v>
      </c>
      <c r="Q93" s="16" t="s">
        <v>37</v>
      </c>
      <c r="R93" s="16" t="s">
        <v>32</v>
      </c>
      <c r="S93" s="16" t="s">
        <v>3</v>
      </c>
      <c r="U93" s="1" t="s">
        <v>0</v>
      </c>
      <c r="V93" s="1" t="s">
        <v>37</v>
      </c>
      <c r="W93" s="1" t="s">
        <v>33</v>
      </c>
      <c r="X93" s="1" t="s">
        <v>25</v>
      </c>
    </row>
    <row r="94" spans="1:24" ht="15.75" x14ac:dyDescent="0.25">
      <c r="A94" s="1" t="s">
        <v>4</v>
      </c>
      <c r="B94" s="27">
        <v>35</v>
      </c>
      <c r="C94" s="12">
        <v>5200</v>
      </c>
      <c r="D94" s="11">
        <f>Table20222429411222528[[#This Row],[QT]]*Table20222429411222528[[#This Row],[PRIX D''ACHAT]]</f>
        <v>182000</v>
      </c>
      <c r="F94" s="1" t="s">
        <v>4</v>
      </c>
      <c r="G94" s="27">
        <v>35</v>
      </c>
      <c r="H94" s="11">
        <v>5300</v>
      </c>
      <c r="I94" s="11">
        <f>Table202224294202427[[#This Row],[QT]]*Table202224294202427[[#This Row],[PRIX DE VENTE]]</f>
        <v>185500</v>
      </c>
      <c r="J94" s="48"/>
      <c r="K94" s="48"/>
      <c r="L94" s="48"/>
      <c r="M94" s="48"/>
      <c r="N94" s="11"/>
      <c r="O94" s="37">
        <v>44844</v>
      </c>
      <c r="P94" s="17" t="s">
        <v>47</v>
      </c>
      <c r="Q94" s="18">
        <v>1</v>
      </c>
      <c r="R94" s="19">
        <v>5000</v>
      </c>
      <c r="S94" s="19">
        <f t="shared" ref="S94:S114" si="3">Q94*R94</f>
        <v>5000</v>
      </c>
      <c r="U94" s="1" t="s">
        <v>4</v>
      </c>
      <c r="V94" s="27">
        <v>35</v>
      </c>
      <c r="W94" s="11">
        <f>Table202224294202427[[#This Row],[TOTAL VENTE]]</f>
        <v>185500</v>
      </c>
      <c r="X94" s="11">
        <f>Table202224294202427[[#This Row],[TOTAL VENTE]]-Table20222429411222528[[#This Row],[TOTAL ACHAT]]</f>
        <v>3500</v>
      </c>
    </row>
    <row r="95" spans="1:24" ht="15.75" x14ac:dyDescent="0.25">
      <c r="A95" s="1" t="s">
        <v>5</v>
      </c>
      <c r="B95" s="27">
        <v>5</v>
      </c>
      <c r="C95" s="12">
        <v>4500</v>
      </c>
      <c r="D95" s="11">
        <f>Table20222429411222528[[#This Row],[QT]]*Table20222429411222528[[#This Row],[PRIX D''ACHAT]]</f>
        <v>22500</v>
      </c>
      <c r="F95" s="1" t="s">
        <v>5</v>
      </c>
      <c r="G95" s="27">
        <v>5</v>
      </c>
      <c r="H95" s="11">
        <v>4800</v>
      </c>
      <c r="I95" s="11">
        <f>Table202224294202427[[#This Row],[QT]]*Table202224294202427[[#This Row],[PRIX DE VENTE]]</f>
        <v>24000</v>
      </c>
      <c r="J95" s="48"/>
      <c r="K95" s="48"/>
      <c r="L95" s="48"/>
      <c r="M95" s="48"/>
      <c r="N95" s="11"/>
      <c r="O95" s="37">
        <v>44875</v>
      </c>
      <c r="P95" s="17" t="s">
        <v>48</v>
      </c>
      <c r="Q95" s="18">
        <v>1</v>
      </c>
      <c r="R95" s="19">
        <v>500</v>
      </c>
      <c r="S95" s="19">
        <f t="shared" si="3"/>
        <v>500</v>
      </c>
      <c r="U95" s="1" t="s">
        <v>5</v>
      </c>
      <c r="V95" s="27">
        <v>5</v>
      </c>
      <c r="W95" s="11">
        <f>Table202224294202427[[#This Row],[TOTAL VENTE]]</f>
        <v>24000</v>
      </c>
      <c r="X95" s="11">
        <f>Table202224294202427[[#This Row],[TOTAL VENTE]]-Table20222429411222528[[#This Row],[TOTAL ACHAT]]</f>
        <v>1500</v>
      </c>
    </row>
    <row r="96" spans="1:24" ht="15.75" x14ac:dyDescent="0.25">
      <c r="A96" s="1" t="s">
        <v>28</v>
      </c>
      <c r="B96" s="27">
        <v>7</v>
      </c>
      <c r="C96" s="12">
        <v>4700</v>
      </c>
      <c r="D96" s="11">
        <f>Table20222429411222528[[#This Row],[QT]]*Table20222429411222528[[#This Row],[PRIX D''ACHAT]]</f>
        <v>32900</v>
      </c>
      <c r="F96" s="1" t="s">
        <v>28</v>
      </c>
      <c r="G96" s="27">
        <v>7</v>
      </c>
      <c r="H96" s="11">
        <v>5000</v>
      </c>
      <c r="I96" s="11">
        <f>Table202224294202427[[#This Row],[QT]]*Table202224294202427[[#This Row],[PRIX DE VENTE]]</f>
        <v>35000</v>
      </c>
      <c r="J96" s="48"/>
      <c r="K96" s="48"/>
      <c r="L96" s="48"/>
      <c r="M96" s="48"/>
      <c r="N96" s="11"/>
      <c r="O96" s="17"/>
      <c r="P96" s="17"/>
      <c r="Q96" s="18"/>
      <c r="R96" s="19"/>
      <c r="S96" s="19">
        <f t="shared" si="3"/>
        <v>0</v>
      </c>
      <c r="U96" s="1" t="s">
        <v>28</v>
      </c>
      <c r="V96" s="27">
        <v>7</v>
      </c>
      <c r="W96" s="11">
        <f>Table202224294202427[[#This Row],[TOTAL VENTE]]</f>
        <v>35000</v>
      </c>
      <c r="X96" s="11">
        <f>Table202224294202427[[#This Row],[TOTAL VENTE]]-Table20222429411222528[[#This Row],[TOTAL ACHAT]]</f>
        <v>2100</v>
      </c>
    </row>
    <row r="97" spans="1:24" ht="15.75" x14ac:dyDescent="0.25">
      <c r="A97" s="1" t="s">
        <v>27</v>
      </c>
      <c r="B97" s="27">
        <v>10</v>
      </c>
      <c r="C97" s="12">
        <v>4500</v>
      </c>
      <c r="D97" s="11">
        <f>Table20222429411222528[[#This Row],[QT]]*Table20222429411222528[[#This Row],[PRIX D''ACHAT]]</f>
        <v>45000</v>
      </c>
      <c r="F97" s="1" t="s">
        <v>27</v>
      </c>
      <c r="G97" s="27">
        <v>10</v>
      </c>
      <c r="H97" s="11">
        <v>4700</v>
      </c>
      <c r="I97" s="11">
        <f>Table202224294202427[[#This Row],[QT]]*Table202224294202427[[#This Row],[PRIX DE VENTE]]</f>
        <v>47000</v>
      </c>
      <c r="J97" s="48"/>
      <c r="K97" s="48"/>
      <c r="L97" s="48"/>
      <c r="M97" s="48"/>
      <c r="N97" s="11"/>
      <c r="O97" s="17"/>
      <c r="P97" s="17"/>
      <c r="Q97" s="18"/>
      <c r="R97" s="19"/>
      <c r="S97" s="19">
        <f t="shared" si="3"/>
        <v>0</v>
      </c>
      <c r="U97" s="1" t="s">
        <v>27</v>
      </c>
      <c r="V97" s="27">
        <v>10</v>
      </c>
      <c r="W97" s="11">
        <f>Table202224294202427[[#This Row],[TOTAL VENTE]]</f>
        <v>47000</v>
      </c>
      <c r="X97" s="11">
        <f>Table202224294202427[[#This Row],[TOTAL VENTE]]-Table20222429411222528[[#This Row],[TOTAL ACHAT]]</f>
        <v>2000</v>
      </c>
    </row>
    <row r="98" spans="1:24" ht="15.75" x14ac:dyDescent="0.25">
      <c r="A98" s="1" t="s">
        <v>31</v>
      </c>
      <c r="B98" s="27">
        <v>2</v>
      </c>
      <c r="C98" s="29">
        <v>6500</v>
      </c>
      <c r="D98" s="11">
        <f>Table20222429411222528[[#This Row],[QT]]*Table20222429411222528[[#This Row],[PRIX D''ACHAT]]</f>
        <v>13000</v>
      </c>
      <c r="F98" s="1" t="s">
        <v>31</v>
      </c>
      <c r="G98" s="27">
        <v>2</v>
      </c>
      <c r="H98" s="11">
        <v>7000</v>
      </c>
      <c r="I98" s="11">
        <f>Table202224294202427[[#This Row],[QT]]*Table202224294202427[[#This Row],[PRIX DE VENTE]]</f>
        <v>14000</v>
      </c>
      <c r="J98" s="48"/>
      <c r="K98" s="48"/>
      <c r="L98" s="48"/>
      <c r="M98" s="48"/>
      <c r="N98" s="11"/>
      <c r="O98" s="17"/>
      <c r="P98" s="17"/>
      <c r="Q98" s="18"/>
      <c r="R98" s="19"/>
      <c r="S98" s="19">
        <f t="shared" si="3"/>
        <v>0</v>
      </c>
      <c r="U98" s="1" t="s">
        <v>31</v>
      </c>
      <c r="V98" s="27">
        <v>2</v>
      </c>
      <c r="W98" s="11">
        <f>Table202224294202427[[#This Row],[TOTAL VENTE]]</f>
        <v>14000</v>
      </c>
      <c r="X98" s="11">
        <f>Table202224294202427[[#This Row],[TOTAL VENTE]]-Table20222429411222528[[#This Row],[TOTAL ACHAT]]</f>
        <v>1000</v>
      </c>
    </row>
    <row r="99" spans="1:24" ht="15.75" x14ac:dyDescent="0.25">
      <c r="A99" s="1" t="s">
        <v>6</v>
      </c>
      <c r="B99" s="27">
        <v>5</v>
      </c>
      <c r="C99" s="12">
        <v>5300</v>
      </c>
      <c r="D99" s="11">
        <f>Table20222429411222528[[#This Row],[QT]]*Table20222429411222528[[#This Row],[PRIX D''ACHAT]]</f>
        <v>26500</v>
      </c>
      <c r="F99" s="1" t="s">
        <v>6</v>
      </c>
      <c r="G99" s="27">
        <v>5</v>
      </c>
      <c r="H99" s="11">
        <v>5500</v>
      </c>
      <c r="I99" s="11">
        <f>Table202224294202427[[#This Row],[QT]]*Table202224294202427[[#This Row],[PRIX DE VENTE]]</f>
        <v>27500</v>
      </c>
      <c r="J99" s="48"/>
      <c r="K99" s="48"/>
      <c r="L99" s="48"/>
      <c r="M99" s="48"/>
      <c r="N99" s="11"/>
      <c r="O99" s="17"/>
      <c r="P99" s="17"/>
      <c r="Q99" s="18"/>
      <c r="R99" s="19"/>
      <c r="S99" s="19">
        <f t="shared" si="3"/>
        <v>0</v>
      </c>
      <c r="U99" s="1" t="s">
        <v>6</v>
      </c>
      <c r="V99" s="27">
        <v>5</v>
      </c>
      <c r="W99" s="11">
        <f>Table202224294202427[[#This Row],[TOTAL VENTE]]</f>
        <v>27500</v>
      </c>
      <c r="X99" s="11">
        <f>Table202224294202427[[#This Row],[TOTAL VENTE]]-Table20222429411222528[[#This Row],[TOTAL ACHAT]]</f>
        <v>1000</v>
      </c>
    </row>
    <row r="100" spans="1:24" ht="15.75" x14ac:dyDescent="0.25">
      <c r="A100" s="1" t="s">
        <v>7</v>
      </c>
      <c r="B100" s="27">
        <v>3</v>
      </c>
      <c r="C100" s="12">
        <v>4100</v>
      </c>
      <c r="D100" s="11">
        <f>Table20222429411222528[[#This Row],[QT]]*Table20222429411222528[[#This Row],[PRIX D''ACHAT]]</f>
        <v>12300</v>
      </c>
      <c r="F100" s="1" t="s">
        <v>7</v>
      </c>
      <c r="G100" s="27">
        <v>3</v>
      </c>
      <c r="H100" s="11">
        <v>4500</v>
      </c>
      <c r="I100" s="11">
        <f>Table202224294202427[[#This Row],[QT]]*Table202224294202427[[#This Row],[PRIX DE VENTE]]</f>
        <v>13500</v>
      </c>
      <c r="J100" s="48"/>
      <c r="K100" s="48"/>
      <c r="L100" s="48"/>
      <c r="M100" s="48"/>
      <c r="N100" s="11"/>
      <c r="O100" s="17"/>
      <c r="P100" s="17"/>
      <c r="Q100" s="18"/>
      <c r="R100" s="19"/>
      <c r="S100" s="19">
        <f t="shared" si="3"/>
        <v>0</v>
      </c>
      <c r="U100" s="1" t="s">
        <v>7</v>
      </c>
      <c r="V100" s="27">
        <v>3</v>
      </c>
      <c r="W100" s="11">
        <f>Table202224294202427[[#This Row],[TOTAL VENTE]]</f>
        <v>13500</v>
      </c>
      <c r="X100" s="11">
        <f>Table202224294202427[[#This Row],[TOTAL VENTE]]-Table20222429411222528[[#This Row],[TOTAL ACHAT]]</f>
        <v>1200</v>
      </c>
    </row>
    <row r="101" spans="1:24" ht="15.75" x14ac:dyDescent="0.25">
      <c r="A101" s="1" t="s">
        <v>8</v>
      </c>
      <c r="B101" s="27">
        <v>1</v>
      </c>
      <c r="C101" s="12">
        <v>18200</v>
      </c>
      <c r="D101" s="11">
        <f>Table20222429411222528[[#This Row],[QT]]*Table20222429411222528[[#This Row],[PRIX D''ACHAT]]</f>
        <v>18200</v>
      </c>
      <c r="F101" s="1" t="s">
        <v>8</v>
      </c>
      <c r="G101" s="27">
        <v>1</v>
      </c>
      <c r="H101" s="11">
        <v>19000</v>
      </c>
      <c r="I101" s="11">
        <f>Table202224294202427[[#This Row],[QT]]*Table202224294202427[[#This Row],[PRIX DE VENTE]]</f>
        <v>19000</v>
      </c>
      <c r="J101" s="48"/>
      <c r="K101" s="48"/>
      <c r="L101" s="48"/>
      <c r="M101" s="48"/>
      <c r="N101" s="11"/>
      <c r="O101" s="17"/>
      <c r="P101" s="17"/>
      <c r="Q101" s="18"/>
      <c r="R101" s="19"/>
      <c r="S101" s="19">
        <f t="shared" si="3"/>
        <v>0</v>
      </c>
      <c r="U101" s="1" t="s">
        <v>8</v>
      </c>
      <c r="V101" s="27">
        <v>1</v>
      </c>
      <c r="W101" s="11">
        <f>Table202224294202427[[#This Row],[TOTAL VENTE]]</f>
        <v>19000</v>
      </c>
      <c r="X101" s="11">
        <f>Table202224294202427[[#This Row],[TOTAL VENTE]]-Table20222429411222528[[#This Row],[TOTAL ACHAT]]</f>
        <v>800</v>
      </c>
    </row>
    <row r="102" spans="1:24" ht="15.75" x14ac:dyDescent="0.25">
      <c r="A102" s="1" t="s">
        <v>41</v>
      </c>
      <c r="B102" s="27">
        <v>12</v>
      </c>
      <c r="C102" s="12">
        <v>4500</v>
      </c>
      <c r="D102" s="11">
        <f>Table20222429411222528[[#This Row],[QT]]*Table20222429411222528[[#This Row],[PRIX D''ACHAT]]</f>
        <v>54000</v>
      </c>
      <c r="F102" s="1" t="s">
        <v>41</v>
      </c>
      <c r="G102" s="27">
        <v>12</v>
      </c>
      <c r="H102" s="11">
        <v>4800</v>
      </c>
      <c r="I102" s="11">
        <f>Table202224294202427[[#This Row],[QT]]*Table202224294202427[[#This Row],[PRIX DE VENTE]]</f>
        <v>57600</v>
      </c>
      <c r="J102" s="48"/>
      <c r="K102" s="48"/>
      <c r="L102" s="48"/>
      <c r="M102" s="48"/>
      <c r="N102" s="11"/>
      <c r="O102" s="17"/>
      <c r="P102" s="17"/>
      <c r="Q102" s="18"/>
      <c r="R102" s="19"/>
      <c r="S102" s="19">
        <f t="shared" si="3"/>
        <v>0</v>
      </c>
      <c r="U102" s="1" t="s">
        <v>41</v>
      </c>
      <c r="V102" s="27">
        <v>12</v>
      </c>
      <c r="W102" s="11">
        <f>Table202224294202427[[#This Row],[TOTAL VENTE]]</f>
        <v>57600</v>
      </c>
      <c r="X102" s="11">
        <f>Table202224294202427[[#This Row],[TOTAL VENTE]]-Table20222429411222528[[#This Row],[TOTAL ACHAT]]</f>
        <v>3600</v>
      </c>
    </row>
    <row r="103" spans="1:24" ht="15.75" x14ac:dyDescent="0.25">
      <c r="A103" s="1" t="s">
        <v>30</v>
      </c>
      <c r="B103" s="27">
        <v>0</v>
      </c>
      <c r="C103" s="12">
        <v>10650</v>
      </c>
      <c r="D103" s="11">
        <f>Table20222429411222528[[#This Row],[QT]]*Table20222429411222528[[#This Row],[PRIX D''ACHAT]]</f>
        <v>0</v>
      </c>
      <c r="F103" s="1" t="s">
        <v>30</v>
      </c>
      <c r="G103" s="27">
        <v>0</v>
      </c>
      <c r="H103" s="11">
        <v>11100</v>
      </c>
      <c r="I103" s="11">
        <f>Table202224294202427[[#This Row],[QT]]*Table202224294202427[[#This Row],[PRIX DE VENTE]]</f>
        <v>0</v>
      </c>
      <c r="J103" s="48"/>
      <c r="K103" s="48"/>
      <c r="L103" s="48"/>
      <c r="M103" s="48"/>
      <c r="N103" s="11"/>
      <c r="O103" s="17"/>
      <c r="P103" s="17"/>
      <c r="Q103" s="18"/>
      <c r="R103" s="19"/>
      <c r="S103" s="19">
        <f t="shared" si="3"/>
        <v>0</v>
      </c>
      <c r="U103" s="1" t="s">
        <v>30</v>
      </c>
      <c r="V103" s="27">
        <v>0</v>
      </c>
      <c r="W103" s="11">
        <f>Table202224294202427[[#This Row],[TOTAL VENTE]]</f>
        <v>0</v>
      </c>
      <c r="X103" s="11">
        <f>Table202224294202427[[#This Row],[TOTAL VENTE]]-Table20222429411222528[[#This Row],[TOTAL ACHAT]]</f>
        <v>0</v>
      </c>
    </row>
    <row r="104" spans="1:24" ht="15.75" x14ac:dyDescent="0.25">
      <c r="A104" s="1" t="s">
        <v>29</v>
      </c>
      <c r="B104" s="27">
        <v>0</v>
      </c>
      <c r="C104" s="12">
        <v>3900</v>
      </c>
      <c r="D104" s="11">
        <f>Table20222429411222528[[#This Row],[QT]]*Table20222429411222528[[#This Row],[PRIX D''ACHAT]]</f>
        <v>0</v>
      </c>
      <c r="F104" s="1" t="s">
        <v>29</v>
      </c>
      <c r="G104" s="27">
        <v>0</v>
      </c>
      <c r="H104" s="11">
        <v>4500</v>
      </c>
      <c r="I104" s="11">
        <f>Table202224294202427[[#This Row],[QT]]*Table202224294202427[[#This Row],[PRIX DE VENTE]]</f>
        <v>0</v>
      </c>
      <c r="J104" s="48"/>
      <c r="K104" s="48"/>
      <c r="L104" s="48"/>
      <c r="M104" s="48"/>
      <c r="N104" s="11"/>
      <c r="O104" s="17"/>
      <c r="P104" s="17"/>
      <c r="Q104" s="18"/>
      <c r="R104" s="19"/>
      <c r="S104" s="19">
        <f t="shared" si="3"/>
        <v>0</v>
      </c>
      <c r="U104" s="1" t="s">
        <v>29</v>
      </c>
      <c r="V104" s="27">
        <v>0</v>
      </c>
      <c r="W104" s="11">
        <f>Table202224294202427[[#This Row],[TOTAL VENTE]]</f>
        <v>0</v>
      </c>
      <c r="X104" s="11">
        <f>Table202224294202427[[#This Row],[TOTAL VENTE]]-Table20222429411222528[[#This Row],[TOTAL ACHAT]]</f>
        <v>0</v>
      </c>
    </row>
    <row r="105" spans="1:24" ht="15.75" x14ac:dyDescent="0.25">
      <c r="A105" s="1" t="s">
        <v>26</v>
      </c>
      <c r="B105" s="27">
        <v>0</v>
      </c>
      <c r="C105" s="12">
        <v>9500</v>
      </c>
      <c r="D105" s="11">
        <f>Table20222429411222528[[#This Row],[QT]]*Table20222429411222528[[#This Row],[PRIX D''ACHAT]]</f>
        <v>0</v>
      </c>
      <c r="F105" s="1" t="s">
        <v>26</v>
      </c>
      <c r="G105" s="27">
        <v>0</v>
      </c>
      <c r="H105" s="11">
        <v>10000</v>
      </c>
      <c r="I105" s="11">
        <f>Table202224294202427[[#This Row],[QT]]*Table202224294202427[[#This Row],[PRIX DE VENTE]]</f>
        <v>0</v>
      </c>
      <c r="J105" s="48"/>
      <c r="K105" s="48"/>
      <c r="L105" s="48"/>
      <c r="M105" s="48"/>
      <c r="N105" s="11"/>
      <c r="O105" s="17"/>
      <c r="P105" s="17"/>
      <c r="Q105" s="18"/>
      <c r="R105" s="19"/>
      <c r="S105" s="19">
        <f t="shared" si="3"/>
        <v>0</v>
      </c>
      <c r="U105" s="1" t="s">
        <v>26</v>
      </c>
      <c r="V105" s="27">
        <v>0</v>
      </c>
      <c r="W105" s="11">
        <f>Table202224294202427[[#This Row],[TOTAL VENTE]]</f>
        <v>0</v>
      </c>
      <c r="X105" s="11">
        <f>Table202224294202427[[#This Row],[TOTAL VENTE]]-Table20222429411222528[[#This Row],[TOTAL ACHAT]]</f>
        <v>0</v>
      </c>
    </row>
    <row r="106" spans="1:24" ht="15.75" x14ac:dyDescent="0.25">
      <c r="A106" s="1" t="s">
        <v>42</v>
      </c>
      <c r="B106" s="27">
        <v>2</v>
      </c>
      <c r="C106" s="12">
        <v>3550</v>
      </c>
      <c r="D106" s="11">
        <f>Table20222429411222528[[#This Row],[QT]]*Table20222429411222528[[#This Row],[PRIX D''ACHAT]]</f>
        <v>7100</v>
      </c>
      <c r="F106" s="1" t="s">
        <v>42</v>
      </c>
      <c r="G106" s="27">
        <v>2</v>
      </c>
      <c r="H106" s="11">
        <v>4000</v>
      </c>
      <c r="I106" s="11">
        <f>Table202224294202427[[#This Row],[QT]]*Table202224294202427[[#This Row],[PRIX DE VENTE]]</f>
        <v>8000</v>
      </c>
      <c r="J106" s="48"/>
      <c r="K106" s="48"/>
      <c r="L106" s="48"/>
      <c r="M106" s="48"/>
      <c r="N106" s="11"/>
      <c r="O106" s="17"/>
      <c r="P106" s="17"/>
      <c r="Q106" s="18"/>
      <c r="R106" s="19"/>
      <c r="S106" s="19">
        <f t="shared" si="3"/>
        <v>0</v>
      </c>
      <c r="U106" s="1" t="s">
        <v>42</v>
      </c>
      <c r="V106" s="27">
        <v>2</v>
      </c>
      <c r="W106" s="11">
        <f>Table202224294202427[[#This Row],[TOTAL VENTE]]</f>
        <v>8000</v>
      </c>
      <c r="X106" s="11">
        <f>Table202224294202427[[#This Row],[TOTAL VENTE]]-Table20222429411222528[[#This Row],[TOTAL ACHAT]]</f>
        <v>900</v>
      </c>
    </row>
    <row r="107" spans="1:24" ht="21" x14ac:dyDescent="0.35">
      <c r="A107" s="1" t="s">
        <v>43</v>
      </c>
      <c r="B107" s="27">
        <v>0</v>
      </c>
      <c r="C107" s="12">
        <v>3550</v>
      </c>
      <c r="D107" s="11">
        <f>Table20222429411222528[[#This Row],[QT]]*Table20222429411222528[[#This Row],[PRIX D''ACHAT]]</f>
        <v>0</v>
      </c>
      <c r="F107" s="1" t="s">
        <v>43</v>
      </c>
      <c r="G107" s="27">
        <v>0</v>
      </c>
      <c r="H107" s="11">
        <v>4000</v>
      </c>
      <c r="I107" s="11">
        <f>Table202224294202427[[#This Row],[QT]]*Table202224294202427[[#This Row],[PRIX DE VENTE]]</f>
        <v>0</v>
      </c>
      <c r="J107" s="48"/>
      <c r="K107" s="48"/>
      <c r="L107" s="48"/>
      <c r="M107" s="48"/>
      <c r="N107" s="21"/>
      <c r="O107" s="17"/>
      <c r="P107" s="17"/>
      <c r="Q107" s="18"/>
      <c r="R107" s="19"/>
      <c r="S107" s="19">
        <f t="shared" si="3"/>
        <v>0</v>
      </c>
      <c r="U107" s="1" t="s">
        <v>43</v>
      </c>
      <c r="V107" s="27">
        <v>0</v>
      </c>
      <c r="W107" s="11">
        <f>Table202224294202427[[#This Row],[TOTAL VENTE]]</f>
        <v>0</v>
      </c>
      <c r="X107" s="11">
        <f>Table202224294202427[[#This Row],[TOTAL VENTE]]-Table20222429411222528[[#This Row],[TOTAL ACHAT]]</f>
        <v>0</v>
      </c>
    </row>
    <row r="108" spans="1:24" ht="15.75" x14ac:dyDescent="0.25">
      <c r="A108" s="1" t="s">
        <v>44</v>
      </c>
      <c r="B108" s="27">
        <v>2</v>
      </c>
      <c r="C108" s="12">
        <v>3550</v>
      </c>
      <c r="D108" s="11">
        <f>Table20222429411222528[[#This Row],[QT]]*Table20222429411222528[[#This Row],[PRIX D''ACHAT]]</f>
        <v>7100</v>
      </c>
      <c r="F108" s="1" t="s">
        <v>44</v>
      </c>
      <c r="G108" s="27">
        <v>2</v>
      </c>
      <c r="H108" s="11">
        <v>4000</v>
      </c>
      <c r="I108" s="11">
        <f>Table202224294202427[[#This Row],[QT]]*Table202224294202427[[#This Row],[PRIX DE VENTE]]</f>
        <v>8000</v>
      </c>
      <c r="J108" s="48"/>
      <c r="K108" s="48"/>
      <c r="L108" s="48"/>
      <c r="M108" s="48"/>
      <c r="O108" s="17"/>
      <c r="P108" s="17"/>
      <c r="Q108" s="18"/>
      <c r="R108" s="19"/>
      <c r="S108" s="19">
        <f t="shared" si="3"/>
        <v>0</v>
      </c>
      <c r="U108" s="1" t="s">
        <v>44</v>
      </c>
      <c r="V108" s="27">
        <v>2</v>
      </c>
      <c r="W108" s="11">
        <f>Table202224294202427[[#This Row],[TOTAL VENTE]]</f>
        <v>8000</v>
      </c>
      <c r="X108" s="11">
        <f>Table202224294202427[[#This Row],[TOTAL VENTE]]-Table20222429411222528[[#This Row],[TOTAL ACHAT]]</f>
        <v>900</v>
      </c>
    </row>
    <row r="109" spans="1:24" ht="15.75" x14ac:dyDescent="0.25">
      <c r="A109" s="1" t="s">
        <v>45</v>
      </c>
      <c r="B109" s="28">
        <v>0</v>
      </c>
      <c r="C109" s="12">
        <v>5000</v>
      </c>
      <c r="D109" s="11">
        <f>Table20222429411222528[[#This Row],[QT]]*Table20222429411222528[[#This Row],[PRIX D''ACHAT]]</f>
        <v>0</v>
      </c>
      <c r="F109" s="1" t="s">
        <v>45</v>
      </c>
      <c r="G109" s="28">
        <v>0</v>
      </c>
      <c r="H109" s="11">
        <v>5500</v>
      </c>
      <c r="I109" s="11">
        <f>Table202224294202427[[#This Row],[QT]]*Table202224294202427[[#This Row],[PRIX DE VENTE]]</f>
        <v>0</v>
      </c>
      <c r="J109" s="48"/>
      <c r="K109" s="48"/>
      <c r="L109" s="48"/>
      <c r="M109" s="48"/>
      <c r="O109" s="17"/>
      <c r="P109" s="17"/>
      <c r="Q109" s="18"/>
      <c r="R109" s="19"/>
      <c r="S109" s="19">
        <f t="shared" si="3"/>
        <v>0</v>
      </c>
      <c r="U109" s="1" t="s">
        <v>45</v>
      </c>
      <c r="V109" s="28">
        <v>0</v>
      </c>
      <c r="W109" s="11">
        <f>Table202224294202427[[#This Row],[TOTAL VENTE]]</f>
        <v>0</v>
      </c>
      <c r="X109" s="11">
        <f>Table202224294202427[[#This Row],[TOTAL VENTE]]-Table20222429411222528[[#This Row],[TOTAL ACHAT]]</f>
        <v>0</v>
      </c>
    </row>
    <row r="110" spans="1:24" ht="15.75" x14ac:dyDescent="0.25">
      <c r="A110" s="1"/>
      <c r="B110" s="2"/>
      <c r="C110" s="12">
        <v>0</v>
      </c>
      <c r="D110" s="11">
        <v>0</v>
      </c>
      <c r="F110" s="1"/>
      <c r="G110" s="2">
        <f>B138+B156+B161+B163+B199+B202+B210+B216</f>
        <v>7</v>
      </c>
      <c r="H110" s="11">
        <v>0</v>
      </c>
      <c r="I110" s="11">
        <f>Table202224294202427[[#This Row],[QT]]*Table202224294202427[[#This Row],[PRIX DE VENTE]]</f>
        <v>0</v>
      </c>
      <c r="J110" s="48"/>
      <c r="K110" s="48"/>
      <c r="L110" s="48"/>
      <c r="M110" s="48"/>
      <c r="O110" s="17"/>
      <c r="P110" s="17"/>
      <c r="Q110" s="18"/>
      <c r="R110" s="19"/>
      <c r="S110" s="19">
        <f t="shared" si="3"/>
        <v>0</v>
      </c>
      <c r="U110" s="1"/>
      <c r="V110" s="2">
        <f>Q138+Q156+Q161+Q163+Q199+Q202+Q210+Q216</f>
        <v>0</v>
      </c>
      <c r="W110" s="11">
        <f>Table202224294202427[[#This Row],[TOTAL VENTE]]</f>
        <v>0</v>
      </c>
      <c r="X110" s="11">
        <f>Table202224294202427[[#This Row],[TOTAL VENTE]]-Table20222429411222528[[#This Row],[TOTAL ACHAT]]</f>
        <v>0</v>
      </c>
    </row>
    <row r="111" spans="1:24" ht="15.75" x14ac:dyDescent="0.25">
      <c r="A111" s="1"/>
      <c r="B111" s="2"/>
      <c r="C111" s="12">
        <v>0</v>
      </c>
      <c r="D111" s="11">
        <v>0</v>
      </c>
      <c r="F111" s="1"/>
      <c r="G111" s="2">
        <f>B138+B156+B161+B163+B199+B202+B210+B216</f>
        <v>7</v>
      </c>
      <c r="H111" s="11">
        <v>0</v>
      </c>
      <c r="I111" s="11">
        <f>Table202224294202427[[#This Row],[QT]]*Table202224294202427[[#This Row],[PRIX DE VENTE]]</f>
        <v>0</v>
      </c>
      <c r="J111" s="48"/>
      <c r="K111" s="48"/>
      <c r="L111" s="48"/>
      <c r="M111" s="48"/>
      <c r="O111" s="17"/>
      <c r="P111" s="17"/>
      <c r="Q111" s="18"/>
      <c r="R111" s="19"/>
      <c r="S111" s="19">
        <f t="shared" si="3"/>
        <v>0</v>
      </c>
      <c r="U111" s="1"/>
      <c r="V111" s="2">
        <f>Q138+Q156+Q161+Q163+Q199+Q202+Q210+Q216</f>
        <v>0</v>
      </c>
      <c r="W111" s="11">
        <f>Table202224294202427[[#This Row],[TOTAL VENTE]]</f>
        <v>0</v>
      </c>
      <c r="X111" s="11">
        <f>Table202224294202427[[#This Row],[TOTAL VENTE]]-Table20222429411222528[[#This Row],[TOTAL ACHAT]]</f>
        <v>0</v>
      </c>
    </row>
    <row r="112" spans="1:24" ht="15.75" x14ac:dyDescent="0.25">
      <c r="A112" s="1"/>
      <c r="B112" s="2"/>
      <c r="C112" s="12">
        <v>0</v>
      </c>
      <c r="D112" s="11">
        <v>0</v>
      </c>
      <c r="F112" s="1"/>
      <c r="G112" s="2">
        <f>B138+B156+B161+B163+B199+B202+B210+B216</f>
        <v>7</v>
      </c>
      <c r="H112" s="11">
        <v>0</v>
      </c>
      <c r="I112" s="11">
        <f>Table202224294202427[[#This Row],[QT]]*Table202224294202427[[#This Row],[PRIX DE VENTE]]</f>
        <v>0</v>
      </c>
      <c r="J112" s="48"/>
      <c r="K112" s="48"/>
      <c r="L112" s="48"/>
      <c r="M112" s="48"/>
      <c r="O112" s="17"/>
      <c r="P112" s="17"/>
      <c r="Q112" s="18"/>
      <c r="R112" s="19"/>
      <c r="S112" s="19">
        <f t="shared" si="3"/>
        <v>0</v>
      </c>
      <c r="U112" s="1"/>
      <c r="V112" s="2">
        <f>Q138+Q156+Q161+Q163+Q199+Q202+Q210+Q216</f>
        <v>0</v>
      </c>
      <c r="W112" s="11">
        <f>Table202224294202427[[#This Row],[TOTAL VENTE]]</f>
        <v>0</v>
      </c>
      <c r="X112" s="11">
        <f>Table202224294202427[[#This Row],[TOTAL VENTE]]-Table20222429411222528[[#This Row],[TOTAL ACHAT]]</f>
        <v>0</v>
      </c>
    </row>
    <row r="113" spans="1:24" ht="15.75" x14ac:dyDescent="0.25">
      <c r="A113" s="1"/>
      <c r="B113" s="2"/>
      <c r="C113" s="12">
        <v>0</v>
      </c>
      <c r="D113" s="11">
        <v>0</v>
      </c>
      <c r="F113" s="1"/>
      <c r="G113" s="2">
        <f>B138+B156+B161+B163+B199+B202+B210+B216</f>
        <v>7</v>
      </c>
      <c r="H113" s="11">
        <v>0</v>
      </c>
      <c r="I113" s="11">
        <f>Table202224294202427[[#This Row],[QT]]*Table202224294202427[[#This Row],[PRIX DE VENTE]]</f>
        <v>0</v>
      </c>
      <c r="J113" s="48"/>
      <c r="K113" s="48"/>
      <c r="L113" s="48"/>
      <c r="M113" s="48"/>
      <c r="O113" s="17"/>
      <c r="P113" s="17"/>
      <c r="Q113" s="18"/>
      <c r="R113" s="19"/>
      <c r="S113" s="19">
        <f t="shared" si="3"/>
        <v>0</v>
      </c>
      <c r="U113" s="1"/>
      <c r="V113" s="2">
        <f>Q138+Q156+Q161+Q163+Q199+Q202+Q210+Q216</f>
        <v>0</v>
      </c>
      <c r="W113" s="11">
        <f>Table202224294202427[[#This Row],[TOTAL VENTE]]</f>
        <v>0</v>
      </c>
      <c r="X113" s="11">
        <f>Table202224294202427[[#This Row],[TOTAL VENTE]]-Table20222429411222528[[#This Row],[TOTAL ACHAT]]</f>
        <v>0</v>
      </c>
    </row>
    <row r="114" spans="1:24" ht="15.75" x14ac:dyDescent="0.25">
      <c r="A114" s="1"/>
      <c r="B114" s="2"/>
      <c r="C114" s="12">
        <v>0</v>
      </c>
      <c r="D114" s="11">
        <v>0</v>
      </c>
      <c r="F114" s="1"/>
      <c r="G114" s="2">
        <v>0</v>
      </c>
      <c r="H114" s="11">
        <v>0</v>
      </c>
      <c r="I114" s="11">
        <f>Table202224294202427[[#This Row],[QT]]*Table202224294202427[[#This Row],[PRIX DE VENTE]]</f>
        <v>0</v>
      </c>
      <c r="J114" s="48"/>
      <c r="K114" s="48"/>
      <c r="L114" s="48"/>
      <c r="M114" s="48"/>
      <c r="O114" s="17"/>
      <c r="P114" s="17"/>
      <c r="Q114" s="18"/>
      <c r="R114" s="19"/>
      <c r="S114" s="19">
        <f t="shared" si="3"/>
        <v>0</v>
      </c>
      <c r="U114" s="1"/>
      <c r="V114" s="2">
        <v>0</v>
      </c>
      <c r="W114" s="11">
        <f>Table202224294202427[[#This Row],[TOTAL VENTE]]</f>
        <v>0</v>
      </c>
      <c r="X114" s="11">
        <f>Table202224294202427[[#This Row],[TOTAL VENTE]]-Table20222429411222528[[#This Row],[TOTAL ACHAT]]</f>
        <v>0</v>
      </c>
    </row>
    <row r="115" spans="1:24" ht="21" x14ac:dyDescent="0.35">
      <c r="A115" s="1"/>
      <c r="B115" s="14">
        <f>SUM(B94:B114)</f>
        <v>84</v>
      </c>
      <c r="C115" s="10"/>
      <c r="D115" s="13">
        <f>SUM(D94:D114)</f>
        <v>420600</v>
      </c>
      <c r="F115" s="1"/>
      <c r="G115" s="14">
        <f>SUM(G94:G114)</f>
        <v>112</v>
      </c>
      <c r="H115" s="11"/>
      <c r="I115" s="13">
        <f>SUM(I94:I114)</f>
        <v>439100</v>
      </c>
      <c r="J115" s="21"/>
      <c r="K115" s="21"/>
      <c r="L115" s="21"/>
      <c r="M115" s="21"/>
      <c r="O115" s="17"/>
      <c r="P115" s="17"/>
      <c r="Q115" s="18"/>
      <c r="R115" s="19"/>
      <c r="S115" s="26">
        <f>SUM(S94:S114)</f>
        <v>5500</v>
      </c>
      <c r="U115" s="1"/>
      <c r="V115" s="30">
        <f>SUM(V94:V114)</f>
        <v>84</v>
      </c>
      <c r="W115" s="34">
        <f>SUM(W94:W114)</f>
        <v>439100</v>
      </c>
      <c r="X115" s="44">
        <f>SUM(X94:X114)</f>
        <v>18500</v>
      </c>
    </row>
    <row r="116" spans="1:24" ht="18.75" x14ac:dyDescent="0.3">
      <c r="J116" s="24"/>
      <c r="K116" s="24"/>
      <c r="O116" s="17"/>
      <c r="P116" s="17"/>
      <c r="Q116" s="20"/>
      <c r="R116" s="20"/>
      <c r="S116" s="20"/>
      <c r="U116" s="31"/>
      <c r="V116" s="32"/>
      <c r="W116" s="35"/>
      <c r="X116" s="36"/>
    </row>
    <row r="117" spans="1:24" ht="18.75" x14ac:dyDescent="0.3">
      <c r="J117" s="24"/>
      <c r="K117" s="24"/>
      <c r="U117" s="31"/>
      <c r="V117" s="32"/>
      <c r="W117" s="33" t="s">
        <v>70</v>
      </c>
      <c r="X117" s="45">
        <f>X87+S115</f>
        <v>17000</v>
      </c>
    </row>
    <row r="118" spans="1:24" ht="18.75" x14ac:dyDescent="0.3">
      <c r="J118" s="24"/>
      <c r="K118" s="24"/>
      <c r="O118" s="24"/>
      <c r="P118" s="24"/>
      <c r="Q118" s="24"/>
      <c r="R118" s="24"/>
      <c r="S118" s="25"/>
      <c r="U118" s="1"/>
      <c r="V118" s="2"/>
      <c r="W118" s="41" t="s">
        <v>46</v>
      </c>
      <c r="X118" s="41">
        <f>X88+X115</f>
        <v>59800</v>
      </c>
    </row>
    <row r="119" spans="1:24" ht="18.75" x14ac:dyDescent="0.3">
      <c r="J119" s="24"/>
      <c r="K119" s="24"/>
      <c r="U119" s="1"/>
      <c r="V119" s="2"/>
      <c r="W119" s="39" t="s">
        <v>71</v>
      </c>
      <c r="X119" s="39">
        <f>X118-X117</f>
        <v>42800</v>
      </c>
    </row>
    <row r="120" spans="1:24" x14ac:dyDescent="0.25">
      <c r="J120" s="24"/>
      <c r="K120" s="24"/>
    </row>
    <row r="121" spans="1:24" ht="26.25" x14ac:dyDescent="0.4">
      <c r="A121" s="61" t="s">
        <v>61</v>
      </c>
      <c r="B121" s="61"/>
      <c r="C121" s="61"/>
      <c r="D121" s="61"/>
      <c r="E121" s="22"/>
      <c r="F121" s="62" t="s">
        <v>63</v>
      </c>
      <c r="G121" s="62"/>
      <c r="H121" s="62"/>
      <c r="I121" s="62"/>
      <c r="J121" s="46"/>
      <c r="K121" s="46"/>
      <c r="L121" s="46"/>
      <c r="M121" s="46"/>
      <c r="N121" s="23"/>
      <c r="O121" s="59" t="s">
        <v>64</v>
      </c>
      <c r="P121" s="59"/>
      <c r="Q121" s="59"/>
      <c r="R121" s="59"/>
      <c r="S121" s="59"/>
      <c r="U121" s="60" t="s">
        <v>65</v>
      </c>
      <c r="V121" s="60"/>
      <c r="W121" s="60"/>
      <c r="X121" s="60"/>
    </row>
    <row r="122" spans="1:24" x14ac:dyDescent="0.25">
      <c r="J122" s="24"/>
      <c r="K122" s="24"/>
    </row>
    <row r="123" spans="1:24" ht="15.75" x14ac:dyDescent="0.25">
      <c r="A123" s="1" t="s">
        <v>0</v>
      </c>
      <c r="B123" s="1" t="s">
        <v>37</v>
      </c>
      <c r="C123" s="1" t="s">
        <v>32</v>
      </c>
      <c r="D123" s="1" t="s">
        <v>34</v>
      </c>
      <c r="F123" s="1" t="s">
        <v>0</v>
      </c>
      <c r="G123" s="1" t="s">
        <v>37</v>
      </c>
      <c r="H123" s="1" t="s">
        <v>18</v>
      </c>
      <c r="I123" s="1" t="s">
        <v>33</v>
      </c>
      <c r="J123" s="47"/>
      <c r="K123" s="47"/>
      <c r="L123" s="47"/>
      <c r="M123" s="47"/>
      <c r="N123" s="1"/>
      <c r="O123" s="15" t="s">
        <v>38</v>
      </c>
      <c r="P123" s="15" t="s">
        <v>39</v>
      </c>
      <c r="Q123" s="16" t="s">
        <v>37</v>
      </c>
      <c r="R123" s="16" t="s">
        <v>32</v>
      </c>
      <c r="S123" s="16" t="s">
        <v>3</v>
      </c>
      <c r="U123" s="1" t="s">
        <v>0</v>
      </c>
      <c r="V123" s="1" t="s">
        <v>37</v>
      </c>
      <c r="W123" s="1" t="s">
        <v>33</v>
      </c>
      <c r="X123" s="1" t="s">
        <v>25</v>
      </c>
    </row>
    <row r="124" spans="1:24" ht="15.75" x14ac:dyDescent="0.25">
      <c r="A124" s="1" t="s">
        <v>4</v>
      </c>
      <c r="B124" s="27">
        <v>35</v>
      </c>
      <c r="C124" s="12">
        <v>5200</v>
      </c>
      <c r="D124" s="11">
        <f>Table2022242941122252831[[#This Row],[QT]]*Table2022242941122252831[[#This Row],[PRIX D''ACHAT]]</f>
        <v>182000</v>
      </c>
      <c r="F124" s="1" t="s">
        <v>4</v>
      </c>
      <c r="G124" s="27">
        <v>35</v>
      </c>
      <c r="H124" s="11">
        <v>5300</v>
      </c>
      <c r="I124" s="11">
        <f>Table20222429420242730[[#This Row],[QT]]*Table20222429420242730[[#This Row],[PRIX DE VENTE]]</f>
        <v>185500</v>
      </c>
      <c r="J124" s="48"/>
      <c r="K124" s="48"/>
      <c r="L124" s="48"/>
      <c r="M124" s="48"/>
      <c r="N124" s="11"/>
      <c r="O124" s="37">
        <v>44844</v>
      </c>
      <c r="P124" s="17" t="s">
        <v>47</v>
      </c>
      <c r="Q124" s="18">
        <v>1</v>
      </c>
      <c r="R124" s="19">
        <v>5000</v>
      </c>
      <c r="S124" s="19">
        <f t="shared" ref="S124:S144" si="4">Q124*R124</f>
        <v>5000</v>
      </c>
      <c r="U124" s="1" t="s">
        <v>4</v>
      </c>
      <c r="V124" s="27">
        <v>35</v>
      </c>
      <c r="W124" s="11">
        <f>Table20222429420242730[[#This Row],[TOTAL VENTE]]</f>
        <v>185500</v>
      </c>
      <c r="X124" s="11">
        <f>Table20222429420242730[[#This Row],[TOTAL VENTE]]-Table2022242941122252831[[#This Row],[TOTAL ACHAT]]</f>
        <v>3500</v>
      </c>
    </row>
    <row r="125" spans="1:24" ht="15.75" x14ac:dyDescent="0.25">
      <c r="A125" s="1" t="s">
        <v>5</v>
      </c>
      <c r="B125" s="27">
        <v>5</v>
      </c>
      <c r="C125" s="12">
        <v>4500</v>
      </c>
      <c r="D125" s="11">
        <f>Table2022242941122252831[[#This Row],[QT]]*Table2022242941122252831[[#This Row],[PRIX D''ACHAT]]</f>
        <v>22500</v>
      </c>
      <c r="F125" s="1" t="s">
        <v>5</v>
      </c>
      <c r="G125" s="27">
        <v>5</v>
      </c>
      <c r="H125" s="11">
        <v>4800</v>
      </c>
      <c r="I125" s="11">
        <f>Table20222429420242730[[#This Row],[QT]]*Table20222429420242730[[#This Row],[PRIX DE VENTE]]</f>
        <v>24000</v>
      </c>
      <c r="J125" s="48"/>
      <c r="K125" s="48"/>
      <c r="L125" s="48"/>
      <c r="M125" s="48"/>
      <c r="N125" s="11"/>
      <c r="O125" s="37">
        <v>44875</v>
      </c>
      <c r="P125" s="17" t="s">
        <v>48</v>
      </c>
      <c r="Q125" s="18">
        <v>1</v>
      </c>
      <c r="R125" s="19">
        <v>500</v>
      </c>
      <c r="S125" s="19">
        <f t="shared" si="4"/>
        <v>500</v>
      </c>
      <c r="U125" s="1" t="s">
        <v>5</v>
      </c>
      <c r="V125" s="27">
        <v>5</v>
      </c>
      <c r="W125" s="11">
        <f>Table20222429420242730[[#This Row],[TOTAL VENTE]]</f>
        <v>24000</v>
      </c>
      <c r="X125" s="11">
        <f>Table20222429420242730[[#This Row],[TOTAL VENTE]]-Table2022242941122252831[[#This Row],[TOTAL ACHAT]]</f>
        <v>1500</v>
      </c>
    </row>
    <row r="126" spans="1:24" ht="15.75" x14ac:dyDescent="0.25">
      <c r="A126" s="1" t="s">
        <v>28</v>
      </c>
      <c r="B126" s="27">
        <v>7</v>
      </c>
      <c r="C126" s="12">
        <v>4700</v>
      </c>
      <c r="D126" s="11">
        <f>Table2022242941122252831[[#This Row],[QT]]*Table2022242941122252831[[#This Row],[PRIX D''ACHAT]]</f>
        <v>32900</v>
      </c>
      <c r="F126" s="1" t="s">
        <v>28</v>
      </c>
      <c r="G126" s="27">
        <v>7</v>
      </c>
      <c r="H126" s="11">
        <v>5000</v>
      </c>
      <c r="I126" s="11">
        <f>Table20222429420242730[[#This Row],[QT]]*Table20222429420242730[[#This Row],[PRIX DE VENTE]]</f>
        <v>35000</v>
      </c>
      <c r="J126" s="48"/>
      <c r="K126" s="48"/>
      <c r="L126" s="48"/>
      <c r="M126" s="48"/>
      <c r="N126" s="11"/>
      <c r="O126" s="17"/>
      <c r="P126" s="17"/>
      <c r="Q126" s="18"/>
      <c r="R126" s="19"/>
      <c r="S126" s="19">
        <f t="shared" si="4"/>
        <v>0</v>
      </c>
      <c r="U126" s="1" t="s">
        <v>28</v>
      </c>
      <c r="V126" s="27">
        <v>7</v>
      </c>
      <c r="W126" s="11">
        <f>Table20222429420242730[[#This Row],[TOTAL VENTE]]</f>
        <v>35000</v>
      </c>
      <c r="X126" s="11">
        <f>Table20222429420242730[[#This Row],[TOTAL VENTE]]-Table2022242941122252831[[#This Row],[TOTAL ACHAT]]</f>
        <v>2100</v>
      </c>
    </row>
    <row r="127" spans="1:24" ht="15.75" x14ac:dyDescent="0.25">
      <c r="A127" s="1" t="s">
        <v>27</v>
      </c>
      <c r="B127" s="27">
        <v>10</v>
      </c>
      <c r="C127" s="12">
        <v>4500</v>
      </c>
      <c r="D127" s="11">
        <f>Table2022242941122252831[[#This Row],[QT]]*Table2022242941122252831[[#This Row],[PRIX D''ACHAT]]</f>
        <v>45000</v>
      </c>
      <c r="F127" s="1" t="s">
        <v>27</v>
      </c>
      <c r="G127" s="27">
        <v>10</v>
      </c>
      <c r="H127" s="11">
        <v>4700</v>
      </c>
      <c r="I127" s="11">
        <f>Table20222429420242730[[#This Row],[QT]]*Table20222429420242730[[#This Row],[PRIX DE VENTE]]</f>
        <v>47000</v>
      </c>
      <c r="J127" s="48"/>
      <c r="K127" s="48"/>
      <c r="L127" s="48"/>
      <c r="M127" s="48"/>
      <c r="N127" s="11"/>
      <c r="O127" s="17"/>
      <c r="P127" s="17"/>
      <c r="Q127" s="18"/>
      <c r="R127" s="19"/>
      <c r="S127" s="19">
        <f t="shared" si="4"/>
        <v>0</v>
      </c>
      <c r="U127" s="1" t="s">
        <v>27</v>
      </c>
      <c r="V127" s="27">
        <v>10</v>
      </c>
      <c r="W127" s="11">
        <f>Table20222429420242730[[#This Row],[TOTAL VENTE]]</f>
        <v>47000</v>
      </c>
      <c r="X127" s="11">
        <f>Table20222429420242730[[#This Row],[TOTAL VENTE]]-Table2022242941122252831[[#This Row],[TOTAL ACHAT]]</f>
        <v>2000</v>
      </c>
    </row>
    <row r="128" spans="1:24" ht="15.75" x14ac:dyDescent="0.25">
      <c r="A128" s="1" t="s">
        <v>31</v>
      </c>
      <c r="B128" s="27">
        <v>2</v>
      </c>
      <c r="C128" s="29">
        <v>6500</v>
      </c>
      <c r="D128" s="11">
        <f>Table2022242941122252831[[#This Row],[QT]]*Table2022242941122252831[[#This Row],[PRIX D''ACHAT]]</f>
        <v>13000</v>
      </c>
      <c r="F128" s="1" t="s">
        <v>31</v>
      </c>
      <c r="G128" s="27">
        <v>2</v>
      </c>
      <c r="H128" s="11">
        <v>7000</v>
      </c>
      <c r="I128" s="11">
        <f>Table20222429420242730[[#This Row],[QT]]*Table20222429420242730[[#This Row],[PRIX DE VENTE]]</f>
        <v>14000</v>
      </c>
      <c r="J128" s="48"/>
      <c r="K128" s="48"/>
      <c r="L128" s="48"/>
      <c r="M128" s="48"/>
      <c r="N128" s="11"/>
      <c r="O128" s="17"/>
      <c r="P128" s="17"/>
      <c r="Q128" s="18"/>
      <c r="R128" s="19"/>
      <c r="S128" s="19">
        <f t="shared" si="4"/>
        <v>0</v>
      </c>
      <c r="U128" s="1" t="s">
        <v>31</v>
      </c>
      <c r="V128" s="27">
        <v>2</v>
      </c>
      <c r="W128" s="11">
        <f>Table20222429420242730[[#This Row],[TOTAL VENTE]]</f>
        <v>14000</v>
      </c>
      <c r="X128" s="11">
        <f>Table20222429420242730[[#This Row],[TOTAL VENTE]]-Table2022242941122252831[[#This Row],[TOTAL ACHAT]]</f>
        <v>1000</v>
      </c>
    </row>
    <row r="129" spans="1:24" ht="15.75" x14ac:dyDescent="0.25">
      <c r="A129" s="1" t="s">
        <v>6</v>
      </c>
      <c r="B129" s="27">
        <v>5</v>
      </c>
      <c r="C129" s="12">
        <v>5300</v>
      </c>
      <c r="D129" s="11">
        <f>Table2022242941122252831[[#This Row],[QT]]*Table2022242941122252831[[#This Row],[PRIX D''ACHAT]]</f>
        <v>26500</v>
      </c>
      <c r="F129" s="1" t="s">
        <v>6</v>
      </c>
      <c r="G129" s="27">
        <v>5</v>
      </c>
      <c r="H129" s="11">
        <v>5500</v>
      </c>
      <c r="I129" s="11">
        <f>Table20222429420242730[[#This Row],[QT]]*Table20222429420242730[[#This Row],[PRIX DE VENTE]]</f>
        <v>27500</v>
      </c>
      <c r="J129" s="48"/>
      <c r="K129" s="48"/>
      <c r="L129" s="48"/>
      <c r="M129" s="48"/>
      <c r="N129" s="11"/>
      <c r="O129" s="17"/>
      <c r="P129" s="17"/>
      <c r="Q129" s="18"/>
      <c r="R129" s="19"/>
      <c r="S129" s="19">
        <f t="shared" si="4"/>
        <v>0</v>
      </c>
      <c r="U129" s="1" t="s">
        <v>6</v>
      </c>
      <c r="V129" s="27">
        <v>5</v>
      </c>
      <c r="W129" s="11">
        <f>Table20222429420242730[[#This Row],[TOTAL VENTE]]</f>
        <v>27500</v>
      </c>
      <c r="X129" s="11">
        <f>Table20222429420242730[[#This Row],[TOTAL VENTE]]-Table2022242941122252831[[#This Row],[TOTAL ACHAT]]</f>
        <v>1000</v>
      </c>
    </row>
    <row r="130" spans="1:24" ht="15.75" x14ac:dyDescent="0.25">
      <c r="A130" s="1" t="s">
        <v>7</v>
      </c>
      <c r="B130" s="27">
        <v>3</v>
      </c>
      <c r="C130" s="12">
        <v>4100</v>
      </c>
      <c r="D130" s="11">
        <f>Table2022242941122252831[[#This Row],[QT]]*Table2022242941122252831[[#This Row],[PRIX D''ACHAT]]</f>
        <v>12300</v>
      </c>
      <c r="F130" s="1" t="s">
        <v>7</v>
      </c>
      <c r="G130" s="27">
        <v>3</v>
      </c>
      <c r="H130" s="11">
        <v>4500</v>
      </c>
      <c r="I130" s="11">
        <f>Table20222429420242730[[#This Row],[QT]]*Table20222429420242730[[#This Row],[PRIX DE VENTE]]</f>
        <v>13500</v>
      </c>
      <c r="J130" s="48"/>
      <c r="K130" s="48"/>
      <c r="L130" s="48"/>
      <c r="M130" s="48"/>
      <c r="N130" s="11"/>
      <c r="O130" s="17"/>
      <c r="P130" s="17"/>
      <c r="Q130" s="18"/>
      <c r="R130" s="19"/>
      <c r="S130" s="19">
        <f t="shared" si="4"/>
        <v>0</v>
      </c>
      <c r="U130" s="1" t="s">
        <v>7</v>
      </c>
      <c r="V130" s="27">
        <v>3</v>
      </c>
      <c r="W130" s="11">
        <f>Table20222429420242730[[#This Row],[TOTAL VENTE]]</f>
        <v>13500</v>
      </c>
      <c r="X130" s="11">
        <f>Table20222429420242730[[#This Row],[TOTAL VENTE]]-Table2022242941122252831[[#This Row],[TOTAL ACHAT]]</f>
        <v>1200</v>
      </c>
    </row>
    <row r="131" spans="1:24" ht="15.75" x14ac:dyDescent="0.25">
      <c r="A131" s="1" t="s">
        <v>8</v>
      </c>
      <c r="B131" s="27">
        <v>1</v>
      </c>
      <c r="C131" s="12">
        <v>18200</v>
      </c>
      <c r="D131" s="11">
        <f>Table2022242941122252831[[#This Row],[QT]]*Table2022242941122252831[[#This Row],[PRIX D''ACHAT]]</f>
        <v>18200</v>
      </c>
      <c r="F131" s="1" t="s">
        <v>8</v>
      </c>
      <c r="G131" s="27">
        <v>1</v>
      </c>
      <c r="H131" s="11">
        <v>19000</v>
      </c>
      <c r="I131" s="11">
        <f>Table20222429420242730[[#This Row],[QT]]*Table20222429420242730[[#This Row],[PRIX DE VENTE]]</f>
        <v>19000</v>
      </c>
      <c r="J131" s="48"/>
      <c r="K131" s="48"/>
      <c r="L131" s="48"/>
      <c r="M131" s="48"/>
      <c r="N131" s="11"/>
      <c r="O131" s="17"/>
      <c r="P131" s="17"/>
      <c r="Q131" s="18"/>
      <c r="R131" s="19"/>
      <c r="S131" s="19">
        <f t="shared" si="4"/>
        <v>0</v>
      </c>
      <c r="U131" s="1" t="s">
        <v>8</v>
      </c>
      <c r="V131" s="27">
        <v>1</v>
      </c>
      <c r="W131" s="11">
        <f>Table20222429420242730[[#This Row],[TOTAL VENTE]]</f>
        <v>19000</v>
      </c>
      <c r="X131" s="11">
        <f>Table20222429420242730[[#This Row],[TOTAL VENTE]]-Table2022242941122252831[[#This Row],[TOTAL ACHAT]]</f>
        <v>800</v>
      </c>
    </row>
    <row r="132" spans="1:24" ht="15.75" x14ac:dyDescent="0.25">
      <c r="A132" s="1" t="s">
        <v>41</v>
      </c>
      <c r="B132" s="27">
        <v>12</v>
      </c>
      <c r="C132" s="12">
        <v>4500</v>
      </c>
      <c r="D132" s="11">
        <f>Table2022242941122252831[[#This Row],[QT]]*Table2022242941122252831[[#This Row],[PRIX D''ACHAT]]</f>
        <v>54000</v>
      </c>
      <c r="F132" s="1" t="s">
        <v>41</v>
      </c>
      <c r="G132" s="27">
        <v>12</v>
      </c>
      <c r="H132" s="11">
        <v>4800</v>
      </c>
      <c r="I132" s="11">
        <f>Table20222429420242730[[#This Row],[QT]]*Table20222429420242730[[#This Row],[PRIX DE VENTE]]</f>
        <v>57600</v>
      </c>
      <c r="J132" s="48"/>
      <c r="K132" s="48"/>
      <c r="L132" s="48"/>
      <c r="M132" s="48"/>
      <c r="N132" s="11"/>
      <c r="O132" s="17"/>
      <c r="P132" s="17"/>
      <c r="Q132" s="18"/>
      <c r="R132" s="19"/>
      <c r="S132" s="19">
        <f t="shared" si="4"/>
        <v>0</v>
      </c>
      <c r="U132" s="1" t="s">
        <v>41</v>
      </c>
      <c r="V132" s="27">
        <v>12</v>
      </c>
      <c r="W132" s="11">
        <f>Table20222429420242730[[#This Row],[TOTAL VENTE]]</f>
        <v>57600</v>
      </c>
      <c r="X132" s="11">
        <f>Table20222429420242730[[#This Row],[TOTAL VENTE]]-Table2022242941122252831[[#This Row],[TOTAL ACHAT]]</f>
        <v>3600</v>
      </c>
    </row>
    <row r="133" spans="1:24" ht="15.75" x14ac:dyDescent="0.25">
      <c r="A133" s="1" t="s">
        <v>30</v>
      </c>
      <c r="B133" s="27">
        <v>0</v>
      </c>
      <c r="C133" s="12">
        <v>10650</v>
      </c>
      <c r="D133" s="11">
        <f>Table2022242941122252831[[#This Row],[QT]]*Table2022242941122252831[[#This Row],[PRIX D''ACHAT]]</f>
        <v>0</v>
      </c>
      <c r="F133" s="1" t="s">
        <v>30</v>
      </c>
      <c r="G133" s="27">
        <v>0</v>
      </c>
      <c r="H133" s="11">
        <v>11100</v>
      </c>
      <c r="I133" s="11">
        <f>Table20222429420242730[[#This Row],[QT]]*Table20222429420242730[[#This Row],[PRIX DE VENTE]]</f>
        <v>0</v>
      </c>
      <c r="J133" s="48"/>
      <c r="K133" s="48"/>
      <c r="L133" s="48"/>
      <c r="M133" s="48"/>
      <c r="N133" s="11"/>
      <c r="O133" s="17"/>
      <c r="P133" s="17"/>
      <c r="Q133" s="18"/>
      <c r="R133" s="19"/>
      <c r="S133" s="19">
        <f t="shared" si="4"/>
        <v>0</v>
      </c>
      <c r="U133" s="1" t="s">
        <v>30</v>
      </c>
      <c r="V133" s="27">
        <v>0</v>
      </c>
      <c r="W133" s="11">
        <f>Table20222429420242730[[#This Row],[TOTAL VENTE]]</f>
        <v>0</v>
      </c>
      <c r="X133" s="11">
        <f>Table20222429420242730[[#This Row],[TOTAL VENTE]]-Table2022242941122252831[[#This Row],[TOTAL ACHAT]]</f>
        <v>0</v>
      </c>
    </row>
    <row r="134" spans="1:24" ht="15.75" x14ac:dyDescent="0.25">
      <c r="A134" s="1" t="s">
        <v>29</v>
      </c>
      <c r="B134" s="27">
        <v>0</v>
      </c>
      <c r="C134" s="12">
        <v>3900</v>
      </c>
      <c r="D134" s="11">
        <f>Table2022242941122252831[[#This Row],[QT]]*Table2022242941122252831[[#This Row],[PRIX D''ACHAT]]</f>
        <v>0</v>
      </c>
      <c r="F134" s="1" t="s">
        <v>29</v>
      </c>
      <c r="G134" s="27">
        <v>0</v>
      </c>
      <c r="H134" s="11">
        <v>4500</v>
      </c>
      <c r="I134" s="11">
        <f>Table20222429420242730[[#This Row],[QT]]*Table20222429420242730[[#This Row],[PRIX DE VENTE]]</f>
        <v>0</v>
      </c>
      <c r="J134" s="48"/>
      <c r="K134" s="48"/>
      <c r="L134" s="48"/>
      <c r="M134" s="48"/>
      <c r="N134" s="11"/>
      <c r="O134" s="17"/>
      <c r="P134" s="17"/>
      <c r="Q134" s="18"/>
      <c r="R134" s="19"/>
      <c r="S134" s="19">
        <f t="shared" si="4"/>
        <v>0</v>
      </c>
      <c r="U134" s="1" t="s">
        <v>29</v>
      </c>
      <c r="V134" s="27">
        <v>0</v>
      </c>
      <c r="W134" s="11">
        <f>Table20222429420242730[[#This Row],[TOTAL VENTE]]</f>
        <v>0</v>
      </c>
      <c r="X134" s="11">
        <f>Table20222429420242730[[#This Row],[TOTAL VENTE]]-Table2022242941122252831[[#This Row],[TOTAL ACHAT]]</f>
        <v>0</v>
      </c>
    </row>
    <row r="135" spans="1:24" ht="15.75" x14ac:dyDescent="0.25">
      <c r="A135" s="1" t="s">
        <v>26</v>
      </c>
      <c r="B135" s="27">
        <v>0</v>
      </c>
      <c r="C135" s="12">
        <v>9500</v>
      </c>
      <c r="D135" s="11">
        <f>Table2022242941122252831[[#This Row],[QT]]*Table2022242941122252831[[#This Row],[PRIX D''ACHAT]]</f>
        <v>0</v>
      </c>
      <c r="F135" s="1" t="s">
        <v>26</v>
      </c>
      <c r="G135" s="27">
        <v>0</v>
      </c>
      <c r="H135" s="11">
        <v>10000</v>
      </c>
      <c r="I135" s="11">
        <f>Table20222429420242730[[#This Row],[QT]]*Table20222429420242730[[#This Row],[PRIX DE VENTE]]</f>
        <v>0</v>
      </c>
      <c r="J135" s="48"/>
      <c r="K135" s="48"/>
      <c r="L135" s="48"/>
      <c r="M135" s="48"/>
      <c r="N135" s="11"/>
      <c r="O135" s="17"/>
      <c r="P135" s="17"/>
      <c r="Q135" s="18"/>
      <c r="R135" s="19"/>
      <c r="S135" s="19">
        <f t="shared" si="4"/>
        <v>0</v>
      </c>
      <c r="U135" s="1" t="s">
        <v>26</v>
      </c>
      <c r="V135" s="27">
        <v>0</v>
      </c>
      <c r="W135" s="11">
        <f>Table20222429420242730[[#This Row],[TOTAL VENTE]]</f>
        <v>0</v>
      </c>
      <c r="X135" s="11">
        <f>Table20222429420242730[[#This Row],[TOTAL VENTE]]-Table2022242941122252831[[#This Row],[TOTAL ACHAT]]</f>
        <v>0</v>
      </c>
    </row>
    <row r="136" spans="1:24" ht="15.75" x14ac:dyDescent="0.25">
      <c r="A136" s="1" t="s">
        <v>42</v>
      </c>
      <c r="B136" s="27">
        <v>2</v>
      </c>
      <c r="C136" s="12">
        <v>3550</v>
      </c>
      <c r="D136" s="11">
        <f>Table2022242941122252831[[#This Row],[QT]]*Table2022242941122252831[[#This Row],[PRIX D''ACHAT]]</f>
        <v>7100</v>
      </c>
      <c r="F136" s="1" t="s">
        <v>42</v>
      </c>
      <c r="G136" s="27">
        <v>2</v>
      </c>
      <c r="H136" s="11">
        <v>4000</v>
      </c>
      <c r="I136" s="11">
        <f>Table20222429420242730[[#This Row],[QT]]*Table20222429420242730[[#This Row],[PRIX DE VENTE]]</f>
        <v>8000</v>
      </c>
      <c r="J136" s="48"/>
      <c r="K136" s="48"/>
      <c r="L136" s="48"/>
      <c r="M136" s="48"/>
      <c r="N136" s="11"/>
      <c r="O136" s="17"/>
      <c r="P136" s="17"/>
      <c r="Q136" s="18"/>
      <c r="R136" s="19"/>
      <c r="S136" s="19">
        <f t="shared" si="4"/>
        <v>0</v>
      </c>
      <c r="U136" s="1" t="s">
        <v>42</v>
      </c>
      <c r="V136" s="27">
        <v>2</v>
      </c>
      <c r="W136" s="11">
        <f>Table20222429420242730[[#This Row],[TOTAL VENTE]]</f>
        <v>8000</v>
      </c>
      <c r="X136" s="11">
        <f>Table20222429420242730[[#This Row],[TOTAL VENTE]]-Table2022242941122252831[[#This Row],[TOTAL ACHAT]]</f>
        <v>900</v>
      </c>
    </row>
    <row r="137" spans="1:24" ht="21" x14ac:dyDescent="0.35">
      <c r="A137" s="1" t="s">
        <v>43</v>
      </c>
      <c r="B137" s="27">
        <v>0</v>
      </c>
      <c r="C137" s="12">
        <v>3550</v>
      </c>
      <c r="D137" s="11">
        <f>Table2022242941122252831[[#This Row],[QT]]*Table2022242941122252831[[#This Row],[PRIX D''ACHAT]]</f>
        <v>0</v>
      </c>
      <c r="F137" s="1" t="s">
        <v>43</v>
      </c>
      <c r="G137" s="27">
        <v>0</v>
      </c>
      <c r="H137" s="11">
        <v>4000</v>
      </c>
      <c r="I137" s="11">
        <f>Table20222429420242730[[#This Row],[QT]]*Table20222429420242730[[#This Row],[PRIX DE VENTE]]</f>
        <v>0</v>
      </c>
      <c r="J137" s="48"/>
      <c r="K137" s="48"/>
      <c r="L137" s="48"/>
      <c r="M137" s="48"/>
      <c r="N137" s="21"/>
      <c r="O137" s="17"/>
      <c r="P137" s="17"/>
      <c r="Q137" s="18"/>
      <c r="R137" s="19"/>
      <c r="S137" s="19">
        <f t="shared" si="4"/>
        <v>0</v>
      </c>
      <c r="U137" s="1" t="s">
        <v>43</v>
      </c>
      <c r="V137" s="27">
        <v>0</v>
      </c>
      <c r="W137" s="11">
        <f>Table20222429420242730[[#This Row],[TOTAL VENTE]]</f>
        <v>0</v>
      </c>
      <c r="X137" s="11">
        <f>Table20222429420242730[[#This Row],[TOTAL VENTE]]-Table2022242941122252831[[#This Row],[TOTAL ACHAT]]</f>
        <v>0</v>
      </c>
    </row>
    <row r="138" spans="1:24" ht="15.75" x14ac:dyDescent="0.25">
      <c r="A138" s="1" t="s">
        <v>44</v>
      </c>
      <c r="B138" s="27">
        <v>2</v>
      </c>
      <c r="C138" s="12">
        <v>3550</v>
      </c>
      <c r="D138" s="11">
        <f>Table2022242941122252831[[#This Row],[QT]]*Table2022242941122252831[[#This Row],[PRIX D''ACHAT]]</f>
        <v>7100</v>
      </c>
      <c r="F138" s="1" t="s">
        <v>44</v>
      </c>
      <c r="G138" s="27">
        <v>2</v>
      </c>
      <c r="H138" s="11">
        <v>4000</v>
      </c>
      <c r="I138" s="11">
        <f>Table20222429420242730[[#This Row],[QT]]*Table20222429420242730[[#This Row],[PRIX DE VENTE]]</f>
        <v>8000</v>
      </c>
      <c r="J138" s="48"/>
      <c r="K138" s="48"/>
      <c r="L138" s="48"/>
      <c r="M138" s="48"/>
      <c r="O138" s="17"/>
      <c r="P138" s="17"/>
      <c r="Q138" s="18"/>
      <c r="R138" s="19"/>
      <c r="S138" s="19">
        <f t="shared" si="4"/>
        <v>0</v>
      </c>
      <c r="U138" s="1" t="s">
        <v>44</v>
      </c>
      <c r="V138" s="27">
        <v>2</v>
      </c>
      <c r="W138" s="11">
        <f>Table20222429420242730[[#This Row],[TOTAL VENTE]]</f>
        <v>8000</v>
      </c>
      <c r="X138" s="11">
        <f>Table20222429420242730[[#This Row],[TOTAL VENTE]]-Table2022242941122252831[[#This Row],[TOTAL ACHAT]]</f>
        <v>900</v>
      </c>
    </row>
    <row r="139" spans="1:24" ht="15.75" x14ac:dyDescent="0.25">
      <c r="A139" s="1" t="s">
        <v>45</v>
      </c>
      <c r="B139" s="28">
        <v>0</v>
      </c>
      <c r="C139" s="12">
        <v>5000</v>
      </c>
      <c r="D139" s="11">
        <f>Table2022242941122252831[[#This Row],[QT]]*Table2022242941122252831[[#This Row],[PRIX D''ACHAT]]</f>
        <v>0</v>
      </c>
      <c r="F139" s="1" t="s">
        <v>45</v>
      </c>
      <c r="G139" s="28">
        <v>0</v>
      </c>
      <c r="H139" s="11">
        <v>5500</v>
      </c>
      <c r="I139" s="11">
        <f>Table20222429420242730[[#This Row],[QT]]*Table20222429420242730[[#This Row],[PRIX DE VENTE]]</f>
        <v>0</v>
      </c>
      <c r="J139" s="48"/>
      <c r="K139" s="48"/>
      <c r="L139" s="48"/>
      <c r="M139" s="48"/>
      <c r="O139" s="17"/>
      <c r="P139" s="17"/>
      <c r="Q139" s="18"/>
      <c r="R139" s="19"/>
      <c r="S139" s="19">
        <f t="shared" si="4"/>
        <v>0</v>
      </c>
      <c r="U139" s="1" t="s">
        <v>45</v>
      </c>
      <c r="V139" s="28">
        <v>0</v>
      </c>
      <c r="W139" s="11">
        <f>Table20222429420242730[[#This Row],[TOTAL VENTE]]</f>
        <v>0</v>
      </c>
      <c r="X139" s="11">
        <f>Table20222429420242730[[#This Row],[TOTAL VENTE]]-Table2022242941122252831[[#This Row],[TOTAL ACHAT]]</f>
        <v>0</v>
      </c>
    </row>
    <row r="140" spans="1:24" ht="15.75" x14ac:dyDescent="0.25">
      <c r="A140" s="1"/>
      <c r="B140" s="2"/>
      <c r="C140" s="12">
        <v>0</v>
      </c>
      <c r="D140" s="11">
        <v>0</v>
      </c>
      <c r="F140" s="1"/>
      <c r="G140" s="2">
        <v>0</v>
      </c>
      <c r="H140" s="11">
        <v>0</v>
      </c>
      <c r="I140" s="11">
        <f>Table20222429420242730[[#This Row],[QT]]*Table20222429420242730[[#This Row],[PRIX DE VENTE]]</f>
        <v>0</v>
      </c>
      <c r="J140" s="48"/>
      <c r="K140" s="48"/>
      <c r="L140" s="48"/>
      <c r="M140" s="48"/>
      <c r="O140" s="17"/>
      <c r="P140" s="17"/>
      <c r="Q140" s="18"/>
      <c r="R140" s="19"/>
      <c r="S140" s="19">
        <f t="shared" si="4"/>
        <v>0</v>
      </c>
      <c r="U140" s="1"/>
      <c r="V140" s="2">
        <v>0</v>
      </c>
      <c r="W140" s="11">
        <f>Table20222429420242730[[#This Row],[TOTAL VENTE]]</f>
        <v>0</v>
      </c>
      <c r="X140" s="11">
        <f>Table20222429420242730[[#This Row],[TOTAL VENTE]]-Table2022242941122252831[[#This Row],[TOTAL ACHAT]]</f>
        <v>0</v>
      </c>
    </row>
    <row r="141" spans="1:24" ht="15.75" x14ac:dyDescent="0.25">
      <c r="A141" s="1"/>
      <c r="B141" s="2"/>
      <c r="C141" s="12">
        <v>0</v>
      </c>
      <c r="D141" s="11">
        <v>0</v>
      </c>
      <c r="F141" s="1"/>
      <c r="G141" s="2">
        <v>0</v>
      </c>
      <c r="H141" s="11">
        <v>0</v>
      </c>
      <c r="I141" s="11">
        <f>Table20222429420242730[[#This Row],[QT]]*Table20222429420242730[[#This Row],[PRIX DE VENTE]]</f>
        <v>0</v>
      </c>
      <c r="J141" s="48"/>
      <c r="K141" s="48"/>
      <c r="L141" s="48"/>
      <c r="M141" s="48"/>
      <c r="O141" s="17"/>
      <c r="P141" s="17"/>
      <c r="Q141" s="18"/>
      <c r="R141" s="19"/>
      <c r="S141" s="19">
        <f t="shared" si="4"/>
        <v>0</v>
      </c>
      <c r="U141" s="1"/>
      <c r="V141" s="2">
        <v>0</v>
      </c>
      <c r="W141" s="11">
        <f>Table20222429420242730[[#This Row],[TOTAL VENTE]]</f>
        <v>0</v>
      </c>
      <c r="X141" s="11">
        <f>Table20222429420242730[[#This Row],[TOTAL VENTE]]-Table2022242941122252831[[#This Row],[TOTAL ACHAT]]</f>
        <v>0</v>
      </c>
    </row>
    <row r="142" spans="1:24" ht="15.75" x14ac:dyDescent="0.25">
      <c r="A142" s="1"/>
      <c r="B142" s="2"/>
      <c r="C142" s="12">
        <v>0</v>
      </c>
      <c r="D142" s="11">
        <v>0</v>
      </c>
      <c r="F142" s="1"/>
      <c r="G142" s="2">
        <v>0</v>
      </c>
      <c r="H142" s="11">
        <v>0</v>
      </c>
      <c r="I142" s="11">
        <f>Table20222429420242730[[#This Row],[QT]]*Table20222429420242730[[#This Row],[PRIX DE VENTE]]</f>
        <v>0</v>
      </c>
      <c r="J142" s="48"/>
      <c r="K142" s="48"/>
      <c r="L142" s="48"/>
      <c r="M142" s="48"/>
      <c r="O142" s="17"/>
      <c r="P142" s="17"/>
      <c r="Q142" s="18"/>
      <c r="R142" s="19"/>
      <c r="S142" s="19">
        <f t="shared" si="4"/>
        <v>0</v>
      </c>
      <c r="U142" s="1"/>
      <c r="V142" s="2">
        <v>0</v>
      </c>
      <c r="W142" s="11">
        <f>Table20222429420242730[[#This Row],[TOTAL VENTE]]</f>
        <v>0</v>
      </c>
      <c r="X142" s="11">
        <f>Table20222429420242730[[#This Row],[TOTAL VENTE]]-Table2022242941122252831[[#This Row],[TOTAL ACHAT]]</f>
        <v>0</v>
      </c>
    </row>
    <row r="143" spans="1:24" ht="15.75" x14ac:dyDescent="0.25">
      <c r="A143" s="1"/>
      <c r="B143" s="2"/>
      <c r="C143" s="12">
        <v>0</v>
      </c>
      <c r="D143" s="11">
        <v>0</v>
      </c>
      <c r="F143" s="1"/>
      <c r="G143" s="2">
        <v>0</v>
      </c>
      <c r="H143" s="11">
        <v>0</v>
      </c>
      <c r="I143" s="11">
        <f>Table20222429420242730[[#This Row],[QT]]*Table20222429420242730[[#This Row],[PRIX DE VENTE]]</f>
        <v>0</v>
      </c>
      <c r="J143" s="48"/>
      <c r="K143" s="48"/>
      <c r="L143" s="48"/>
      <c r="M143" s="48"/>
      <c r="O143" s="17"/>
      <c r="P143" s="17"/>
      <c r="Q143" s="18"/>
      <c r="R143" s="19"/>
      <c r="S143" s="19">
        <f t="shared" si="4"/>
        <v>0</v>
      </c>
      <c r="U143" s="1"/>
      <c r="V143" s="2">
        <v>0</v>
      </c>
      <c r="W143" s="11">
        <f>Table20222429420242730[[#This Row],[TOTAL VENTE]]</f>
        <v>0</v>
      </c>
      <c r="X143" s="11">
        <f>Table20222429420242730[[#This Row],[TOTAL VENTE]]-Table2022242941122252831[[#This Row],[TOTAL ACHAT]]</f>
        <v>0</v>
      </c>
    </row>
    <row r="144" spans="1:24" ht="15.75" x14ac:dyDescent="0.25">
      <c r="A144" s="1"/>
      <c r="B144" s="2"/>
      <c r="C144" s="12">
        <v>0</v>
      </c>
      <c r="D144" s="11">
        <v>0</v>
      </c>
      <c r="F144" s="1"/>
      <c r="G144" s="2">
        <v>0</v>
      </c>
      <c r="H144" s="11">
        <v>0</v>
      </c>
      <c r="I144" s="11">
        <f>Table20222429420242730[[#This Row],[QT]]*Table20222429420242730[[#This Row],[PRIX DE VENTE]]</f>
        <v>0</v>
      </c>
      <c r="J144" s="48"/>
      <c r="K144" s="48"/>
      <c r="L144" s="48"/>
      <c r="M144" s="48"/>
      <c r="O144" s="17"/>
      <c r="P144" s="17"/>
      <c r="Q144" s="18"/>
      <c r="R144" s="19"/>
      <c r="S144" s="19">
        <f t="shared" si="4"/>
        <v>0</v>
      </c>
      <c r="U144" s="1"/>
      <c r="V144" s="2">
        <v>0</v>
      </c>
      <c r="W144" s="11">
        <f>Table20222429420242730[[#This Row],[TOTAL VENTE]]</f>
        <v>0</v>
      </c>
      <c r="X144" s="11">
        <f>Table20222429420242730[[#This Row],[TOTAL VENTE]]-Table2022242941122252831[[#This Row],[TOTAL ACHAT]]</f>
        <v>0</v>
      </c>
    </row>
    <row r="145" spans="1:24" ht="21" x14ac:dyDescent="0.35">
      <c r="A145" s="1"/>
      <c r="B145" s="14">
        <f>SUM(B124:B144)</f>
        <v>84</v>
      </c>
      <c r="C145" s="10"/>
      <c r="D145" s="13">
        <f>SUM(D124:D144)</f>
        <v>420600</v>
      </c>
      <c r="F145" s="1"/>
      <c r="G145" s="14">
        <f>SUM(G124:G144)</f>
        <v>84</v>
      </c>
      <c r="H145" s="11"/>
      <c r="I145" s="13">
        <f>SUM(I124:I144)</f>
        <v>439100</v>
      </c>
      <c r="J145" s="21"/>
      <c r="K145" s="21"/>
      <c r="L145" s="21"/>
      <c r="M145" s="21"/>
      <c r="O145" s="17"/>
      <c r="P145" s="17"/>
      <c r="Q145" s="18"/>
      <c r="R145" s="19"/>
      <c r="S145" s="26">
        <f>SUM(S124:S144)</f>
        <v>5500</v>
      </c>
      <c r="U145" s="1"/>
      <c r="V145" s="14">
        <f>SUM(V124:V144)</f>
        <v>84</v>
      </c>
      <c r="W145" s="34">
        <f>SUM(W124:W144)</f>
        <v>439100</v>
      </c>
      <c r="X145" s="44">
        <f>SUM(X124:X144)</f>
        <v>18500</v>
      </c>
    </row>
    <row r="146" spans="1:24" ht="18.75" x14ac:dyDescent="0.3">
      <c r="O146" s="17"/>
      <c r="P146" s="17"/>
      <c r="Q146" s="20"/>
      <c r="R146" s="20"/>
      <c r="S146" s="20"/>
      <c r="U146" s="31"/>
      <c r="V146" s="32"/>
      <c r="W146" s="35"/>
      <c r="X146" s="36"/>
    </row>
    <row r="147" spans="1:24" ht="18.75" x14ac:dyDescent="0.3">
      <c r="U147" s="31"/>
      <c r="V147" s="32"/>
      <c r="W147" s="33" t="s">
        <v>70</v>
      </c>
      <c r="X147" s="45">
        <f>X117+S145</f>
        <v>22500</v>
      </c>
    </row>
    <row r="148" spans="1:24" ht="18.75" x14ac:dyDescent="0.3">
      <c r="O148" s="24"/>
      <c r="P148" s="24"/>
      <c r="Q148" s="24"/>
      <c r="R148" s="24"/>
      <c r="S148" s="25"/>
      <c r="U148" s="1"/>
      <c r="V148" s="2"/>
      <c r="W148" s="41" t="s">
        <v>46</v>
      </c>
      <c r="X148" s="41">
        <f>X118+X145</f>
        <v>78300</v>
      </c>
    </row>
    <row r="149" spans="1:24" ht="18.75" x14ac:dyDescent="0.3">
      <c r="U149" s="1"/>
      <c r="V149" s="2"/>
      <c r="W149" s="39" t="s">
        <v>71</v>
      </c>
      <c r="X149" s="39">
        <f>X148-X147</f>
        <v>55800</v>
      </c>
    </row>
    <row r="151" spans="1:24" ht="26.25" x14ac:dyDescent="0.4">
      <c r="A151" s="61" t="s">
        <v>66</v>
      </c>
      <c r="B151" s="61"/>
      <c r="C151" s="61"/>
      <c r="D151" s="61"/>
      <c r="E151" s="22"/>
      <c r="F151" s="62" t="s">
        <v>67</v>
      </c>
      <c r="G151" s="62"/>
      <c r="H151" s="62"/>
      <c r="I151" s="62"/>
      <c r="J151" s="38"/>
      <c r="K151" s="38"/>
      <c r="L151" s="46"/>
      <c r="M151" s="46"/>
      <c r="N151" s="23"/>
      <c r="O151" s="59" t="s">
        <v>68</v>
      </c>
      <c r="P151" s="59"/>
      <c r="Q151" s="59"/>
      <c r="R151" s="59"/>
      <c r="S151" s="59"/>
      <c r="U151" s="60" t="s">
        <v>69</v>
      </c>
      <c r="V151" s="60"/>
      <c r="W151" s="60"/>
      <c r="X151" s="60"/>
    </row>
    <row r="153" spans="1:24" ht="15.75" x14ac:dyDescent="0.25">
      <c r="A153" s="1" t="s">
        <v>0</v>
      </c>
      <c r="B153" s="1" t="s">
        <v>37</v>
      </c>
      <c r="C153" s="1" t="s">
        <v>32</v>
      </c>
      <c r="D153" s="1" t="s">
        <v>34</v>
      </c>
      <c r="F153" s="1" t="s">
        <v>0</v>
      </c>
      <c r="G153" s="1" t="s">
        <v>37</v>
      </c>
      <c r="H153" s="1" t="s">
        <v>18</v>
      </c>
      <c r="I153" s="1" t="s">
        <v>33</v>
      </c>
      <c r="J153" s="1" t="s">
        <v>76</v>
      </c>
      <c r="K153" s="1" t="s">
        <v>77</v>
      </c>
      <c r="L153" s="47" t="s">
        <v>73</v>
      </c>
      <c r="M153" s="47" t="s">
        <v>75</v>
      </c>
      <c r="N153" s="1"/>
      <c r="O153" s="15" t="s">
        <v>38</v>
      </c>
      <c r="P153" s="15" t="s">
        <v>39</v>
      </c>
      <c r="Q153" s="16" t="s">
        <v>37</v>
      </c>
      <c r="R153" s="16" t="s">
        <v>32</v>
      </c>
      <c r="S153" s="16" t="s">
        <v>3</v>
      </c>
      <c r="U153" s="1" t="s">
        <v>0</v>
      </c>
      <c r="V153" s="1" t="s">
        <v>37</v>
      </c>
      <c r="W153" s="1" t="s">
        <v>33</v>
      </c>
      <c r="X153" s="1" t="s">
        <v>25</v>
      </c>
    </row>
    <row r="154" spans="1:24" ht="15.75" x14ac:dyDescent="0.25">
      <c r="A154" s="1" t="s">
        <v>4</v>
      </c>
      <c r="B154" s="27">
        <v>40</v>
      </c>
      <c r="C154" s="12">
        <v>5200</v>
      </c>
      <c r="D154" s="11">
        <f>Table202224294112225283137[[#This Row],[QT]]*Table202224294112225283137[[#This Row],[PRIX D''ACHAT]]</f>
        <v>208000</v>
      </c>
      <c r="F154" s="1" t="s">
        <v>4</v>
      </c>
      <c r="G154" s="27">
        <v>40</v>
      </c>
      <c r="H154" s="11">
        <v>5300</v>
      </c>
      <c r="I154" s="11">
        <f>Table2022242942024273036[[#This Row],[QT]]*Table2022242942024273036[[#This Row],[PRIX DE VENTE]]</f>
        <v>212000</v>
      </c>
      <c r="J154" s="2">
        <f>Table202224294112225283137[[#This Row],[QT]]-Table2022242942024273036[[#This Row],[QT]]</f>
        <v>0</v>
      </c>
      <c r="K154" s="2">
        <f>Table2022242942024273036[[#This Row],[PRIX DE VENTE]]*Table2022242942024273036[[#This Row],[REST DE CETTE CMD]]</f>
        <v>0</v>
      </c>
      <c r="L154" s="50">
        <v>0</v>
      </c>
      <c r="M154" s="51">
        <f>Table2022242942024273036[[#This Row],[PRIX DE VENTE]]*Table2022242942024273036[[#This Row],[STOCK DISPONIBLE]]</f>
        <v>0</v>
      </c>
      <c r="N154" s="11"/>
      <c r="O154" s="37">
        <v>44844</v>
      </c>
      <c r="P154" s="17" t="s">
        <v>47</v>
      </c>
      <c r="Q154" s="18">
        <v>1</v>
      </c>
      <c r="R154" s="19">
        <v>5000</v>
      </c>
      <c r="S154" s="19">
        <f t="shared" ref="S154:S174" si="5">Q154*R154</f>
        <v>5000</v>
      </c>
      <c r="U154" s="1" t="s">
        <v>4</v>
      </c>
      <c r="V154" s="27">
        <f>Table2022242942024273036[[#This Row],[QT]]</f>
        <v>40</v>
      </c>
      <c r="W154" s="11">
        <f>Table2022242942024273036[[#This Row],[TOTAL VENTE]]</f>
        <v>212000</v>
      </c>
      <c r="X154" s="11">
        <f>Table2022242942024273036[[#This Row],[TOTAL VENTE]]-Table202224294112225283137[[#This Row],[TOTAL ACHAT]]</f>
        <v>4000</v>
      </c>
    </row>
    <row r="155" spans="1:24" ht="15.75" x14ac:dyDescent="0.25">
      <c r="A155" s="1" t="s">
        <v>5</v>
      </c>
      <c r="B155" s="27">
        <v>0</v>
      </c>
      <c r="C155" s="12">
        <v>4500</v>
      </c>
      <c r="D155" s="11">
        <f>Table202224294112225283137[[#This Row],[QT]]*Table202224294112225283137[[#This Row],[PRIX D''ACHAT]]</f>
        <v>0</v>
      </c>
      <c r="F155" s="1" t="s">
        <v>5</v>
      </c>
      <c r="G155" s="27">
        <v>0</v>
      </c>
      <c r="H155" s="11">
        <v>4800</v>
      </c>
      <c r="I155" s="11">
        <f>Table2022242942024273036[[#This Row],[QT]]*Table2022242942024273036[[#This Row],[PRIX DE VENTE]]</f>
        <v>0</v>
      </c>
      <c r="J155" s="2">
        <f>Table202224294112225283137[[#This Row],[QT]]-Table2022242942024273036[[#This Row],[QT]]</f>
        <v>0</v>
      </c>
      <c r="K155" s="2">
        <f>Table2022242942024273036[[#This Row],[PRIX DE VENTE]]*Table2022242942024273036[[#This Row],[REST DE CETTE CMD]]</f>
        <v>0</v>
      </c>
      <c r="L155" s="50">
        <v>0</v>
      </c>
      <c r="M155" s="51">
        <f>Table2022242942024273036[[#This Row],[PRIX DE VENTE]]*Table2022242942024273036[[#This Row],[STOCK DISPONIBLE]]</f>
        <v>0</v>
      </c>
      <c r="N155" s="11"/>
      <c r="O155" s="37">
        <v>44875</v>
      </c>
      <c r="P155" s="17" t="s">
        <v>48</v>
      </c>
      <c r="Q155" s="18">
        <v>1</v>
      </c>
      <c r="R155" s="19">
        <v>500</v>
      </c>
      <c r="S155" s="19">
        <f t="shared" si="5"/>
        <v>500</v>
      </c>
      <c r="U155" s="1" t="s">
        <v>5</v>
      </c>
      <c r="V155" s="27">
        <f>Table2022242942024273036[[#This Row],[QT]]</f>
        <v>0</v>
      </c>
      <c r="W155" s="11">
        <f>Table2022242942024273036[[#This Row],[TOTAL VENTE]]</f>
        <v>0</v>
      </c>
      <c r="X155" s="11">
        <f>Table2022242942024273036[[#This Row],[TOTAL VENTE]]-Table202224294112225283137[[#This Row],[TOTAL ACHAT]]</f>
        <v>0</v>
      </c>
    </row>
    <row r="156" spans="1:24" ht="15.75" x14ac:dyDescent="0.25">
      <c r="A156" s="1" t="s">
        <v>28</v>
      </c>
      <c r="B156" s="27">
        <v>0</v>
      </c>
      <c r="C156" s="12">
        <v>4700</v>
      </c>
      <c r="D156" s="11">
        <f>Table202224294112225283137[[#This Row],[QT]]*Table202224294112225283137[[#This Row],[PRIX D''ACHAT]]</f>
        <v>0</v>
      </c>
      <c r="F156" s="1" t="s">
        <v>28</v>
      </c>
      <c r="G156" s="27">
        <v>0</v>
      </c>
      <c r="H156" s="11">
        <v>5000</v>
      </c>
      <c r="I156" s="11">
        <f>Table2022242942024273036[[#This Row],[QT]]*Table2022242942024273036[[#This Row],[PRIX DE VENTE]]</f>
        <v>0</v>
      </c>
      <c r="J156" s="2">
        <f>Table202224294112225283137[[#This Row],[QT]]-Table2022242942024273036[[#This Row],[QT]]</f>
        <v>0</v>
      </c>
      <c r="K156" s="2">
        <f>Table2022242942024273036[[#This Row],[PRIX DE VENTE]]*Table2022242942024273036[[#This Row],[REST DE CETTE CMD]]</f>
        <v>0</v>
      </c>
      <c r="L156" s="50">
        <v>0</v>
      </c>
      <c r="M156" s="51">
        <f>Table2022242942024273036[[#This Row],[PRIX DE VENTE]]*Table2022242942024273036[[#This Row],[STOCK DISPONIBLE]]</f>
        <v>0</v>
      </c>
      <c r="N156" s="11"/>
      <c r="O156" s="17"/>
      <c r="P156" s="17"/>
      <c r="Q156" s="18"/>
      <c r="R156" s="19"/>
      <c r="S156" s="19">
        <f t="shared" si="5"/>
        <v>0</v>
      </c>
      <c r="U156" s="1" t="s">
        <v>28</v>
      </c>
      <c r="V156" s="27">
        <f>Table2022242942024273036[[#This Row],[QT]]</f>
        <v>0</v>
      </c>
      <c r="W156" s="11">
        <f>Table2022242942024273036[[#This Row],[TOTAL VENTE]]</f>
        <v>0</v>
      </c>
      <c r="X156" s="11">
        <f>Table2022242942024273036[[#This Row],[TOTAL VENTE]]-Table202224294112225283137[[#This Row],[TOTAL ACHAT]]</f>
        <v>0</v>
      </c>
    </row>
    <row r="157" spans="1:24" ht="15.75" x14ac:dyDescent="0.25">
      <c r="A157" s="1" t="s">
        <v>27</v>
      </c>
      <c r="B157" s="27">
        <v>0</v>
      </c>
      <c r="C157" s="12">
        <v>4500</v>
      </c>
      <c r="D157" s="11">
        <f>Table202224294112225283137[[#This Row],[QT]]*Table202224294112225283137[[#This Row],[PRIX D''ACHAT]]</f>
        <v>0</v>
      </c>
      <c r="F157" s="1" t="s">
        <v>27</v>
      </c>
      <c r="G157" s="27">
        <v>0</v>
      </c>
      <c r="H157" s="11">
        <v>4700</v>
      </c>
      <c r="I157" s="11">
        <f>Table2022242942024273036[[#This Row],[QT]]*Table2022242942024273036[[#This Row],[PRIX DE VENTE]]</f>
        <v>0</v>
      </c>
      <c r="J157" s="2">
        <f>Table202224294112225283137[[#This Row],[QT]]-Table2022242942024273036[[#This Row],[QT]]</f>
        <v>0</v>
      </c>
      <c r="K157" s="2">
        <f>Table2022242942024273036[[#This Row],[PRIX DE VENTE]]*Table2022242942024273036[[#This Row],[REST DE CETTE CMD]]</f>
        <v>0</v>
      </c>
      <c r="L157" s="50">
        <v>0</v>
      </c>
      <c r="M157" s="51">
        <f>Table2022242942024273036[[#This Row],[PRIX DE VENTE]]*Table2022242942024273036[[#This Row],[STOCK DISPONIBLE]]</f>
        <v>0</v>
      </c>
      <c r="N157" s="11"/>
      <c r="O157" s="17"/>
      <c r="P157" s="17"/>
      <c r="Q157" s="18"/>
      <c r="R157" s="19"/>
      <c r="S157" s="19">
        <f t="shared" si="5"/>
        <v>0</v>
      </c>
      <c r="U157" s="1" t="s">
        <v>27</v>
      </c>
      <c r="V157" s="27">
        <f>Table2022242942024273036[[#This Row],[QT]]</f>
        <v>0</v>
      </c>
      <c r="W157" s="11">
        <f>Table2022242942024273036[[#This Row],[TOTAL VENTE]]</f>
        <v>0</v>
      </c>
      <c r="X157" s="11">
        <f>Table2022242942024273036[[#This Row],[TOTAL VENTE]]-Table202224294112225283137[[#This Row],[TOTAL ACHAT]]</f>
        <v>0</v>
      </c>
    </row>
    <row r="158" spans="1:24" ht="15.75" x14ac:dyDescent="0.25">
      <c r="A158" s="1" t="s">
        <v>31</v>
      </c>
      <c r="B158" s="27">
        <v>2</v>
      </c>
      <c r="C158" s="29">
        <v>6500</v>
      </c>
      <c r="D158" s="11">
        <f>Table202224294112225283137[[#This Row],[QT]]*Table202224294112225283137[[#This Row],[PRIX D''ACHAT]]</f>
        <v>13000</v>
      </c>
      <c r="F158" s="1" t="s">
        <v>31</v>
      </c>
      <c r="G158" s="27">
        <v>1</v>
      </c>
      <c r="H158" s="11">
        <v>7000</v>
      </c>
      <c r="I158" s="11">
        <f>Table2022242942024273036[[#This Row],[QT]]*Table2022242942024273036[[#This Row],[PRIX DE VENTE]]</f>
        <v>7000</v>
      </c>
      <c r="J158" s="2">
        <f>Table202224294112225283137[[#This Row],[QT]]-Table2022242942024273036[[#This Row],[QT]]</f>
        <v>1</v>
      </c>
      <c r="K158" s="2">
        <f>Table2022242942024273036[[#This Row],[PRIX DE VENTE]]*Table2022242942024273036[[#This Row],[REST DE CETTE CMD]]</f>
        <v>7000</v>
      </c>
      <c r="L158" s="50">
        <v>1</v>
      </c>
      <c r="M158" s="51">
        <f>Table2022242942024273036[[#This Row],[PRIX DE VENTE]]*Table2022242942024273036[[#This Row],[STOCK DISPONIBLE]]</f>
        <v>7000</v>
      </c>
      <c r="N158" s="11"/>
      <c r="O158" s="17"/>
      <c r="P158" s="17"/>
      <c r="Q158" s="18"/>
      <c r="R158" s="19"/>
      <c r="S158" s="19">
        <f t="shared" si="5"/>
        <v>0</v>
      </c>
      <c r="U158" s="1" t="s">
        <v>31</v>
      </c>
      <c r="V158" s="27">
        <f>Table2022242942024273036[[#This Row],[QT]]</f>
        <v>1</v>
      </c>
      <c r="W158" s="11">
        <f>Table2022242942024273036[[#This Row],[TOTAL VENTE]]</f>
        <v>7000</v>
      </c>
      <c r="X158" s="11">
        <f>Table2022242942024273036[[#This Row],[TOTAL VENTE]]-Table202224294112225283137[[#This Row],[TOTAL ACHAT]]</f>
        <v>-6000</v>
      </c>
    </row>
    <row r="159" spans="1:24" ht="15.75" x14ac:dyDescent="0.25">
      <c r="A159" s="1" t="s">
        <v>6</v>
      </c>
      <c r="B159" s="27">
        <v>10</v>
      </c>
      <c r="C159" s="12">
        <v>5300</v>
      </c>
      <c r="D159" s="11">
        <f>Table202224294112225283137[[#This Row],[QT]]*Table202224294112225283137[[#This Row],[PRIX D''ACHAT]]</f>
        <v>53000</v>
      </c>
      <c r="F159" s="1" t="s">
        <v>6</v>
      </c>
      <c r="G159" s="27">
        <v>10</v>
      </c>
      <c r="H159" s="11">
        <v>5500</v>
      </c>
      <c r="I159" s="11">
        <f>Table2022242942024273036[[#This Row],[QT]]*Table2022242942024273036[[#This Row],[PRIX DE VENTE]]</f>
        <v>55000</v>
      </c>
      <c r="J159" s="2">
        <f>Table202224294112225283137[[#This Row],[QT]]-Table2022242942024273036[[#This Row],[QT]]</f>
        <v>0</v>
      </c>
      <c r="K159" s="2">
        <f>Table2022242942024273036[[#This Row],[PRIX DE VENTE]]*Table2022242942024273036[[#This Row],[REST DE CETTE CMD]]</f>
        <v>0</v>
      </c>
      <c r="L159" s="50">
        <v>0</v>
      </c>
      <c r="M159" s="51">
        <f>Table2022242942024273036[[#This Row],[PRIX DE VENTE]]*Table2022242942024273036[[#This Row],[STOCK DISPONIBLE]]</f>
        <v>0</v>
      </c>
      <c r="N159" s="11"/>
      <c r="O159" s="17"/>
      <c r="P159" s="17"/>
      <c r="Q159" s="18"/>
      <c r="R159" s="19"/>
      <c r="S159" s="19">
        <f t="shared" si="5"/>
        <v>0</v>
      </c>
      <c r="U159" s="1" t="s">
        <v>6</v>
      </c>
      <c r="V159" s="27">
        <f>Table2022242942024273036[[#This Row],[QT]]</f>
        <v>10</v>
      </c>
      <c r="W159" s="11">
        <f>Table2022242942024273036[[#This Row],[TOTAL VENTE]]</f>
        <v>55000</v>
      </c>
      <c r="X159" s="11">
        <f>Table2022242942024273036[[#This Row],[TOTAL VENTE]]-Table202224294112225283137[[#This Row],[TOTAL ACHAT]]</f>
        <v>2000</v>
      </c>
    </row>
    <row r="160" spans="1:24" ht="15.75" x14ac:dyDescent="0.25">
      <c r="A160" s="1" t="s">
        <v>7</v>
      </c>
      <c r="B160" s="27">
        <v>0</v>
      </c>
      <c r="C160" s="12">
        <v>4100</v>
      </c>
      <c r="D160" s="11">
        <f>Table202224294112225283137[[#This Row],[QT]]*Table202224294112225283137[[#This Row],[PRIX D''ACHAT]]</f>
        <v>0</v>
      </c>
      <c r="F160" s="1" t="s">
        <v>7</v>
      </c>
      <c r="G160" s="27">
        <v>0</v>
      </c>
      <c r="H160" s="11">
        <v>4500</v>
      </c>
      <c r="I160" s="11">
        <f>Table2022242942024273036[[#This Row],[QT]]*Table2022242942024273036[[#This Row],[PRIX DE VENTE]]</f>
        <v>0</v>
      </c>
      <c r="J160" s="2">
        <f>Table202224294112225283137[[#This Row],[QT]]-Table2022242942024273036[[#This Row],[QT]]</f>
        <v>0</v>
      </c>
      <c r="K160" s="2">
        <f>Table2022242942024273036[[#This Row],[PRIX DE VENTE]]*Table2022242942024273036[[#This Row],[REST DE CETTE CMD]]</f>
        <v>0</v>
      </c>
      <c r="L160" s="50">
        <v>1</v>
      </c>
      <c r="M160" s="51">
        <f>Table2022242942024273036[[#This Row],[PRIX DE VENTE]]*Table2022242942024273036[[#This Row],[STOCK DISPONIBLE]]</f>
        <v>4500</v>
      </c>
      <c r="N160" s="11"/>
      <c r="O160" s="17"/>
      <c r="P160" s="17"/>
      <c r="Q160" s="18"/>
      <c r="R160" s="19"/>
      <c r="S160" s="19">
        <f t="shared" si="5"/>
        <v>0</v>
      </c>
      <c r="U160" s="1" t="s">
        <v>7</v>
      </c>
      <c r="V160" s="27">
        <f>Table2022242942024273036[[#This Row],[QT]]</f>
        <v>0</v>
      </c>
      <c r="W160" s="11">
        <f>Table2022242942024273036[[#This Row],[TOTAL VENTE]]</f>
        <v>0</v>
      </c>
      <c r="X160" s="11">
        <f>Table2022242942024273036[[#This Row],[TOTAL VENTE]]-Table202224294112225283137[[#This Row],[TOTAL ACHAT]]</f>
        <v>0</v>
      </c>
    </row>
    <row r="161" spans="1:24" ht="15.75" x14ac:dyDescent="0.25">
      <c r="A161" s="1" t="s">
        <v>8</v>
      </c>
      <c r="B161" s="27">
        <v>1</v>
      </c>
      <c r="C161" s="12">
        <v>18200</v>
      </c>
      <c r="D161" s="11">
        <f>Table202224294112225283137[[#This Row],[QT]]*Table202224294112225283137[[#This Row],[PRIX D''ACHAT]]</f>
        <v>18200</v>
      </c>
      <c r="F161" s="1" t="s">
        <v>8</v>
      </c>
      <c r="G161" s="27">
        <v>1</v>
      </c>
      <c r="H161" s="11">
        <v>19000</v>
      </c>
      <c r="I161" s="11">
        <f>Table2022242942024273036[[#This Row],[QT]]*Table2022242942024273036[[#This Row],[PRIX DE VENTE]]</f>
        <v>19000</v>
      </c>
      <c r="J161" s="2">
        <f>Table202224294112225283137[[#This Row],[QT]]-Table2022242942024273036[[#This Row],[QT]]</f>
        <v>0</v>
      </c>
      <c r="K161" s="2">
        <f>Table2022242942024273036[[#This Row],[PRIX DE VENTE]]*Table2022242942024273036[[#This Row],[REST DE CETTE CMD]]</f>
        <v>0</v>
      </c>
      <c r="L161" s="50">
        <v>0</v>
      </c>
      <c r="M161" s="51">
        <f>Table2022242942024273036[[#This Row],[PRIX DE VENTE]]*Table2022242942024273036[[#This Row],[STOCK DISPONIBLE]]</f>
        <v>0</v>
      </c>
      <c r="N161" s="11"/>
      <c r="O161" s="17"/>
      <c r="P161" s="17"/>
      <c r="Q161" s="18"/>
      <c r="R161" s="19"/>
      <c r="S161" s="19">
        <f t="shared" si="5"/>
        <v>0</v>
      </c>
      <c r="U161" s="1" t="s">
        <v>8</v>
      </c>
      <c r="V161" s="27">
        <f>Table2022242942024273036[[#This Row],[QT]]</f>
        <v>1</v>
      </c>
      <c r="W161" s="11">
        <f>Table2022242942024273036[[#This Row],[TOTAL VENTE]]</f>
        <v>19000</v>
      </c>
      <c r="X161" s="11">
        <f>Table2022242942024273036[[#This Row],[TOTAL VENTE]]-Table202224294112225283137[[#This Row],[TOTAL ACHAT]]</f>
        <v>800</v>
      </c>
    </row>
    <row r="162" spans="1:24" ht="15.75" x14ac:dyDescent="0.25">
      <c r="A162" s="1" t="s">
        <v>41</v>
      </c>
      <c r="B162" s="27">
        <v>15</v>
      </c>
      <c r="C162" s="12">
        <v>4500</v>
      </c>
      <c r="D162" s="11">
        <f>Table202224294112225283137[[#This Row],[QT]]*Table202224294112225283137[[#This Row],[PRIX D''ACHAT]]</f>
        <v>67500</v>
      </c>
      <c r="F162" s="1" t="s">
        <v>41</v>
      </c>
      <c r="G162" s="27">
        <v>12</v>
      </c>
      <c r="H162" s="11">
        <v>4800</v>
      </c>
      <c r="I162" s="11">
        <f>Table2022242942024273036[[#This Row],[QT]]*Table2022242942024273036[[#This Row],[PRIX DE VENTE]]</f>
        <v>57600</v>
      </c>
      <c r="J162" s="2">
        <f>Table202224294112225283137[[#This Row],[QT]]-Table2022242942024273036[[#This Row],[QT]]</f>
        <v>3</v>
      </c>
      <c r="K162" s="2">
        <f>Table2022242942024273036[[#This Row],[PRIX DE VENTE]]*Table2022242942024273036[[#This Row],[REST DE CETTE CMD]]</f>
        <v>14400</v>
      </c>
      <c r="L162" s="50">
        <v>3</v>
      </c>
      <c r="M162" s="51">
        <f>Table2022242942024273036[[#This Row],[PRIX DE VENTE]]*Table2022242942024273036[[#This Row],[STOCK DISPONIBLE]]</f>
        <v>14400</v>
      </c>
      <c r="N162" s="11"/>
      <c r="O162" s="17"/>
      <c r="P162" s="17"/>
      <c r="Q162" s="18"/>
      <c r="R162" s="19"/>
      <c r="S162" s="19">
        <f t="shared" si="5"/>
        <v>0</v>
      </c>
      <c r="U162" s="1" t="s">
        <v>41</v>
      </c>
      <c r="V162" s="27">
        <f>Table2022242942024273036[[#This Row],[QT]]</f>
        <v>12</v>
      </c>
      <c r="W162" s="11">
        <f>Table2022242942024273036[[#This Row],[TOTAL VENTE]]</f>
        <v>57600</v>
      </c>
      <c r="X162" s="11">
        <f>Table2022242942024273036[[#This Row],[TOTAL VENTE]]-Table202224294112225283137[[#This Row],[TOTAL ACHAT]]</f>
        <v>-9900</v>
      </c>
    </row>
    <row r="163" spans="1:24" ht="15.75" x14ac:dyDescent="0.25">
      <c r="A163" s="1" t="s">
        <v>30</v>
      </c>
      <c r="B163" s="27">
        <v>4</v>
      </c>
      <c r="C163" s="12">
        <v>10650</v>
      </c>
      <c r="D163" s="11">
        <f>Table202224294112225283137[[#This Row],[QT]]*Table202224294112225283137[[#This Row],[PRIX D''ACHAT]]</f>
        <v>42600</v>
      </c>
      <c r="F163" s="1" t="s">
        <v>30</v>
      </c>
      <c r="G163" s="27">
        <v>4</v>
      </c>
      <c r="H163" s="11">
        <v>11100</v>
      </c>
      <c r="I163" s="11">
        <f>Table2022242942024273036[[#This Row],[QT]]*Table2022242942024273036[[#This Row],[PRIX DE VENTE]]</f>
        <v>44400</v>
      </c>
      <c r="J163" s="2">
        <f>Table202224294112225283137[[#This Row],[QT]]-Table2022242942024273036[[#This Row],[QT]]</f>
        <v>0</v>
      </c>
      <c r="K163" s="2">
        <f>Table2022242942024273036[[#This Row],[PRIX DE VENTE]]*Table2022242942024273036[[#This Row],[REST DE CETTE CMD]]</f>
        <v>0</v>
      </c>
      <c r="L163" s="50">
        <v>0</v>
      </c>
      <c r="M163" s="51">
        <f>Table2022242942024273036[[#This Row],[PRIX DE VENTE]]*Table2022242942024273036[[#This Row],[STOCK DISPONIBLE]]</f>
        <v>0</v>
      </c>
      <c r="N163" s="11"/>
      <c r="O163" s="17"/>
      <c r="P163" s="17"/>
      <c r="Q163" s="18"/>
      <c r="R163" s="19"/>
      <c r="S163" s="19">
        <f t="shared" si="5"/>
        <v>0</v>
      </c>
      <c r="U163" s="1" t="s">
        <v>30</v>
      </c>
      <c r="V163" s="27">
        <f>Table2022242942024273036[[#This Row],[QT]]</f>
        <v>4</v>
      </c>
      <c r="W163" s="11">
        <f>Table2022242942024273036[[#This Row],[TOTAL VENTE]]</f>
        <v>44400</v>
      </c>
      <c r="X163" s="11">
        <f>Table2022242942024273036[[#This Row],[TOTAL VENTE]]-Table202224294112225283137[[#This Row],[TOTAL ACHAT]]</f>
        <v>1800</v>
      </c>
    </row>
    <row r="164" spans="1:24" ht="15.75" x14ac:dyDescent="0.25">
      <c r="A164" s="1" t="s">
        <v>29</v>
      </c>
      <c r="B164" s="27">
        <v>4</v>
      </c>
      <c r="C164" s="12">
        <v>3900</v>
      </c>
      <c r="D164" s="11">
        <f>Table202224294112225283137[[#This Row],[QT]]*Table202224294112225283137[[#This Row],[PRIX D''ACHAT]]</f>
        <v>15600</v>
      </c>
      <c r="F164" s="1" t="s">
        <v>29</v>
      </c>
      <c r="G164" s="27">
        <v>4</v>
      </c>
      <c r="H164" s="11">
        <v>4500</v>
      </c>
      <c r="I164" s="11">
        <f>Table2022242942024273036[[#This Row],[QT]]*Table2022242942024273036[[#This Row],[PRIX DE VENTE]]</f>
        <v>18000</v>
      </c>
      <c r="J164" s="2">
        <f>Table202224294112225283137[[#This Row],[QT]]-Table2022242942024273036[[#This Row],[QT]]</f>
        <v>0</v>
      </c>
      <c r="K164" s="2">
        <f>Table2022242942024273036[[#This Row],[PRIX DE VENTE]]*Table2022242942024273036[[#This Row],[REST DE CETTE CMD]]</f>
        <v>0</v>
      </c>
      <c r="L164" s="50">
        <v>0</v>
      </c>
      <c r="M164" s="51">
        <f>Table2022242942024273036[[#This Row],[PRIX DE VENTE]]*Table2022242942024273036[[#This Row],[STOCK DISPONIBLE]]</f>
        <v>0</v>
      </c>
      <c r="N164" s="11"/>
      <c r="O164" s="17"/>
      <c r="P164" s="17"/>
      <c r="Q164" s="18"/>
      <c r="R164" s="19"/>
      <c r="S164" s="19">
        <f t="shared" si="5"/>
        <v>0</v>
      </c>
      <c r="U164" s="1" t="s">
        <v>29</v>
      </c>
      <c r="V164" s="27">
        <f>Table2022242942024273036[[#This Row],[QT]]</f>
        <v>4</v>
      </c>
      <c r="W164" s="11">
        <f>Table2022242942024273036[[#This Row],[TOTAL VENTE]]</f>
        <v>18000</v>
      </c>
      <c r="X164" s="11">
        <f>Table2022242942024273036[[#This Row],[TOTAL VENTE]]-Table202224294112225283137[[#This Row],[TOTAL ACHAT]]</f>
        <v>2400</v>
      </c>
    </row>
    <row r="165" spans="1:24" ht="15.75" x14ac:dyDescent="0.25">
      <c r="A165" s="1" t="s">
        <v>26</v>
      </c>
      <c r="B165" s="27">
        <v>0</v>
      </c>
      <c r="C165" s="12">
        <v>9500</v>
      </c>
      <c r="D165" s="11">
        <f>Table202224294112225283137[[#This Row],[QT]]*Table202224294112225283137[[#This Row],[PRIX D''ACHAT]]</f>
        <v>0</v>
      </c>
      <c r="F165" s="1" t="s">
        <v>26</v>
      </c>
      <c r="G165" s="27">
        <v>0</v>
      </c>
      <c r="H165" s="11">
        <v>10000</v>
      </c>
      <c r="I165" s="11">
        <f>Table2022242942024273036[[#This Row],[QT]]*Table2022242942024273036[[#This Row],[PRIX DE VENTE]]</f>
        <v>0</v>
      </c>
      <c r="J165" s="2">
        <f>Table202224294112225283137[[#This Row],[QT]]-Table2022242942024273036[[#This Row],[QT]]</f>
        <v>0</v>
      </c>
      <c r="K165" s="2">
        <f>Table2022242942024273036[[#This Row],[PRIX DE VENTE]]*Table2022242942024273036[[#This Row],[REST DE CETTE CMD]]</f>
        <v>0</v>
      </c>
      <c r="L165" s="50">
        <v>0</v>
      </c>
      <c r="M165" s="51">
        <f>Table2022242942024273036[[#This Row],[PRIX DE VENTE]]*Table2022242942024273036[[#This Row],[STOCK DISPONIBLE]]</f>
        <v>0</v>
      </c>
      <c r="N165" s="11"/>
      <c r="O165" s="17"/>
      <c r="P165" s="17"/>
      <c r="Q165" s="18"/>
      <c r="R165" s="19"/>
      <c r="S165" s="19">
        <f t="shared" si="5"/>
        <v>0</v>
      </c>
      <c r="U165" s="1" t="s">
        <v>26</v>
      </c>
      <c r="V165" s="27">
        <f>Table2022242942024273036[[#This Row],[QT]]</f>
        <v>0</v>
      </c>
      <c r="W165" s="11">
        <f>Table2022242942024273036[[#This Row],[TOTAL VENTE]]</f>
        <v>0</v>
      </c>
      <c r="X165" s="11">
        <f>Table2022242942024273036[[#This Row],[TOTAL VENTE]]-Table202224294112225283137[[#This Row],[TOTAL ACHAT]]</f>
        <v>0</v>
      </c>
    </row>
    <row r="166" spans="1:24" ht="15.75" x14ac:dyDescent="0.25">
      <c r="A166" s="1" t="s">
        <v>42</v>
      </c>
      <c r="B166" s="27">
        <v>3</v>
      </c>
      <c r="C166" s="12">
        <v>3550</v>
      </c>
      <c r="D166" s="11">
        <f>Table202224294112225283137[[#This Row],[QT]]*Table202224294112225283137[[#This Row],[PRIX D''ACHAT]]</f>
        <v>10650</v>
      </c>
      <c r="F166" s="1" t="s">
        <v>42</v>
      </c>
      <c r="G166" s="27">
        <v>0</v>
      </c>
      <c r="H166" s="11">
        <v>4000</v>
      </c>
      <c r="I166" s="11">
        <f>Table2022242942024273036[[#This Row],[QT]]*Table2022242942024273036[[#This Row],[PRIX DE VENTE]]</f>
        <v>0</v>
      </c>
      <c r="J166" s="2">
        <f>Table202224294112225283137[[#This Row],[QT]]-Table2022242942024273036[[#This Row],[QT]]</f>
        <v>3</v>
      </c>
      <c r="K166" s="2">
        <f>Table2022242942024273036[[#This Row],[PRIX DE VENTE]]*Table2022242942024273036[[#This Row],[REST DE CETTE CMD]]</f>
        <v>12000</v>
      </c>
      <c r="L166" s="50">
        <v>5</v>
      </c>
      <c r="M166" s="51">
        <f>Table2022242942024273036[[#This Row],[PRIX DE VENTE]]*Table2022242942024273036[[#This Row],[STOCK DISPONIBLE]]</f>
        <v>20000</v>
      </c>
      <c r="N166" s="11"/>
      <c r="O166" s="17"/>
      <c r="P166" s="17"/>
      <c r="Q166" s="18"/>
      <c r="R166" s="19"/>
      <c r="S166" s="19">
        <f t="shared" si="5"/>
        <v>0</v>
      </c>
      <c r="U166" s="1" t="s">
        <v>42</v>
      </c>
      <c r="V166" s="27">
        <f>Table2022242942024273036[[#This Row],[QT]]</f>
        <v>0</v>
      </c>
      <c r="W166" s="11">
        <f>Table2022242942024273036[[#This Row],[TOTAL VENTE]]</f>
        <v>0</v>
      </c>
      <c r="X166" s="11">
        <f>Table2022242942024273036[[#This Row],[TOTAL VENTE]]-Table202224294112225283137[[#This Row],[TOTAL ACHAT]]</f>
        <v>-10650</v>
      </c>
    </row>
    <row r="167" spans="1:24" ht="21" x14ac:dyDescent="0.35">
      <c r="A167" s="1" t="s">
        <v>43</v>
      </c>
      <c r="B167" s="27">
        <v>0</v>
      </c>
      <c r="C167" s="12">
        <v>3550</v>
      </c>
      <c r="D167" s="11">
        <f>Table202224294112225283137[[#This Row],[QT]]*Table202224294112225283137[[#This Row],[PRIX D''ACHAT]]</f>
        <v>0</v>
      </c>
      <c r="F167" s="1" t="s">
        <v>43</v>
      </c>
      <c r="G167" s="27">
        <v>0</v>
      </c>
      <c r="H167" s="11">
        <v>4000</v>
      </c>
      <c r="I167" s="11">
        <f>Table2022242942024273036[[#This Row],[QT]]*Table2022242942024273036[[#This Row],[PRIX DE VENTE]]</f>
        <v>0</v>
      </c>
      <c r="J167" s="2">
        <f>Table202224294112225283137[[#This Row],[QT]]-Table2022242942024273036[[#This Row],[QT]]</f>
        <v>0</v>
      </c>
      <c r="K167" s="2">
        <f>Table2022242942024273036[[#This Row],[PRIX DE VENTE]]*Table2022242942024273036[[#This Row],[REST DE CETTE CMD]]</f>
        <v>0</v>
      </c>
      <c r="L167" s="50">
        <v>0</v>
      </c>
      <c r="M167" s="51">
        <f>Table2022242942024273036[[#This Row],[PRIX DE VENTE]]*Table2022242942024273036[[#This Row],[STOCK DISPONIBLE]]</f>
        <v>0</v>
      </c>
      <c r="N167" s="21"/>
      <c r="O167" s="17"/>
      <c r="P167" s="17"/>
      <c r="Q167" s="18"/>
      <c r="R167" s="19"/>
      <c r="S167" s="19">
        <f t="shared" si="5"/>
        <v>0</v>
      </c>
      <c r="U167" s="1" t="s">
        <v>43</v>
      </c>
      <c r="V167" s="27">
        <f>Table2022242942024273036[[#This Row],[QT]]</f>
        <v>0</v>
      </c>
      <c r="W167" s="11">
        <f>Table2022242942024273036[[#This Row],[TOTAL VENTE]]</f>
        <v>0</v>
      </c>
      <c r="X167" s="11">
        <f>Table2022242942024273036[[#This Row],[TOTAL VENTE]]-Table202224294112225283137[[#This Row],[TOTAL ACHAT]]</f>
        <v>0</v>
      </c>
    </row>
    <row r="168" spans="1:24" ht="15.75" x14ac:dyDescent="0.25">
      <c r="A168" s="1" t="s">
        <v>44</v>
      </c>
      <c r="B168" s="27">
        <v>1</v>
      </c>
      <c r="C168" s="12">
        <v>3550</v>
      </c>
      <c r="D168" s="11">
        <f>Table202224294112225283137[[#This Row],[QT]]*Table202224294112225283137[[#This Row],[PRIX D''ACHAT]]</f>
        <v>3550</v>
      </c>
      <c r="F168" s="1" t="s">
        <v>44</v>
      </c>
      <c r="G168" s="27">
        <v>0</v>
      </c>
      <c r="H168" s="11">
        <v>4000</v>
      </c>
      <c r="I168" s="11">
        <f>Table2022242942024273036[[#This Row],[QT]]*Table2022242942024273036[[#This Row],[PRIX DE VENTE]]</f>
        <v>0</v>
      </c>
      <c r="J168" s="2">
        <f>Table202224294112225283137[[#This Row],[QT]]-Table2022242942024273036[[#This Row],[QT]]</f>
        <v>1</v>
      </c>
      <c r="K168" s="2">
        <f>Table2022242942024273036[[#This Row],[PRIX DE VENTE]]*Table2022242942024273036[[#This Row],[REST DE CETTE CMD]]</f>
        <v>4000</v>
      </c>
      <c r="L168" s="50">
        <v>0</v>
      </c>
      <c r="M168" s="51">
        <f>Table2022242942024273036[[#This Row],[PRIX DE VENTE]]*Table2022242942024273036[[#This Row],[STOCK DISPONIBLE]]</f>
        <v>0</v>
      </c>
      <c r="O168" s="17"/>
      <c r="P168" s="17"/>
      <c r="Q168" s="18"/>
      <c r="R168" s="19"/>
      <c r="S168" s="19">
        <f t="shared" si="5"/>
        <v>0</v>
      </c>
      <c r="U168" s="1" t="s">
        <v>44</v>
      </c>
      <c r="V168" s="27">
        <f>Table2022242942024273036[[#This Row],[QT]]</f>
        <v>0</v>
      </c>
      <c r="W168" s="11">
        <f>Table2022242942024273036[[#This Row],[TOTAL VENTE]]</f>
        <v>0</v>
      </c>
      <c r="X168" s="11">
        <f>Table2022242942024273036[[#This Row],[TOTAL VENTE]]-Table202224294112225283137[[#This Row],[TOTAL ACHAT]]</f>
        <v>-3550</v>
      </c>
    </row>
    <row r="169" spans="1:24" ht="15.75" x14ac:dyDescent="0.25">
      <c r="A169" s="1" t="s">
        <v>45</v>
      </c>
      <c r="B169" s="28">
        <v>0</v>
      </c>
      <c r="C169" s="12">
        <v>5000</v>
      </c>
      <c r="D169" s="11">
        <f>Table202224294112225283137[[#This Row],[QT]]*Table202224294112225283137[[#This Row],[PRIX D''ACHAT]]</f>
        <v>0</v>
      </c>
      <c r="F169" s="1" t="s">
        <v>45</v>
      </c>
      <c r="G169" s="28">
        <v>0</v>
      </c>
      <c r="H169" s="11">
        <v>5500</v>
      </c>
      <c r="I169" s="11">
        <f>Table2022242942024273036[[#This Row],[QT]]*Table2022242942024273036[[#This Row],[PRIX DE VENTE]]</f>
        <v>0</v>
      </c>
      <c r="J169" s="2">
        <f>Table202224294112225283137[[#This Row],[QT]]-Table2022242942024273036[[#This Row],[QT]]</f>
        <v>0</v>
      </c>
      <c r="K169" s="2">
        <f>Table2022242942024273036[[#This Row],[PRIX DE VENTE]]*Table2022242942024273036[[#This Row],[REST DE CETTE CMD]]</f>
        <v>0</v>
      </c>
      <c r="L169" s="50">
        <v>0</v>
      </c>
      <c r="M169" s="51">
        <f>Table2022242942024273036[[#This Row],[PRIX DE VENTE]]*Table2022242942024273036[[#This Row],[STOCK DISPONIBLE]]</f>
        <v>0</v>
      </c>
      <c r="O169" s="17"/>
      <c r="P169" s="17"/>
      <c r="Q169" s="18"/>
      <c r="R169" s="19"/>
      <c r="S169" s="19">
        <f t="shared" si="5"/>
        <v>0</v>
      </c>
      <c r="U169" s="1" t="s">
        <v>45</v>
      </c>
      <c r="V169" s="27">
        <f>Table2022242942024273036[[#This Row],[QT]]</f>
        <v>0</v>
      </c>
      <c r="W169" s="11">
        <f>Table2022242942024273036[[#This Row],[TOTAL VENTE]]</f>
        <v>0</v>
      </c>
      <c r="X169" s="11">
        <f>Table2022242942024273036[[#This Row],[TOTAL VENTE]]-Table202224294112225283137[[#This Row],[TOTAL ACHAT]]</f>
        <v>0</v>
      </c>
    </row>
    <row r="170" spans="1:24" ht="15.75" x14ac:dyDescent="0.25">
      <c r="A170" s="1" t="s">
        <v>74</v>
      </c>
      <c r="B170" s="28">
        <v>0</v>
      </c>
      <c r="C170" s="12">
        <v>9500</v>
      </c>
      <c r="D170" s="11">
        <f>Table202224294112225283137[[#This Row],[QT]]*Table202224294112225283137[[#This Row],[PRIX D''ACHAT]]</f>
        <v>0</v>
      </c>
      <c r="F170" s="1" t="s">
        <v>74</v>
      </c>
      <c r="G170" s="28">
        <v>0</v>
      </c>
      <c r="H170" s="11">
        <v>10000</v>
      </c>
      <c r="I170" s="11">
        <f>Table2022242942024273036[[#This Row],[QT]]*Table2022242942024273036[[#This Row],[PRIX DE VENTE]]</f>
        <v>0</v>
      </c>
      <c r="J170" s="2">
        <f>Table202224294112225283137[[#This Row],[QT]]-Table2022242942024273036[[#This Row],[QT]]</f>
        <v>0</v>
      </c>
      <c r="K170" s="2">
        <f>Table2022242942024273036[[#This Row],[PRIX DE VENTE]]*Table2022242942024273036[[#This Row],[REST DE CETTE CMD]]</f>
        <v>0</v>
      </c>
      <c r="L170" s="50">
        <v>3</v>
      </c>
      <c r="M170" s="51">
        <f>Table2022242942024273036[[#This Row],[PRIX DE VENTE]]*Table2022242942024273036[[#This Row],[STOCK DISPONIBLE]]</f>
        <v>30000</v>
      </c>
      <c r="O170" s="17"/>
      <c r="P170" s="17"/>
      <c r="Q170" s="18"/>
      <c r="R170" s="19"/>
      <c r="S170" s="19">
        <f t="shared" si="5"/>
        <v>0</v>
      </c>
      <c r="U170" s="1" t="s">
        <v>74</v>
      </c>
      <c r="V170" s="27">
        <f>Table2022242942024273036[[#This Row],[QT]]</f>
        <v>0</v>
      </c>
      <c r="W170" s="11">
        <f>Table2022242942024273036[[#This Row],[TOTAL VENTE]]</f>
        <v>0</v>
      </c>
      <c r="X170" s="11">
        <f>Table2022242942024273036[[#This Row],[TOTAL VENTE]]-Table202224294112225283137[[#This Row],[TOTAL ACHAT]]</f>
        <v>0</v>
      </c>
    </row>
    <row r="171" spans="1:24" ht="15.75" x14ac:dyDescent="0.25">
      <c r="A171" s="1"/>
      <c r="B171" s="28">
        <v>0</v>
      </c>
      <c r="C171" s="12">
        <v>0</v>
      </c>
      <c r="D171" s="11">
        <f>Table202224294112225283137[[#This Row],[QT]]*Table202224294112225283137[[#This Row],[PRIX D''ACHAT]]</f>
        <v>0</v>
      </c>
      <c r="F171" s="1"/>
      <c r="G171" s="28">
        <v>0</v>
      </c>
      <c r="H171" s="11">
        <v>0</v>
      </c>
      <c r="I171" s="11">
        <f>Table2022242942024273036[[#This Row],[QT]]*Table2022242942024273036[[#This Row],[PRIX DE VENTE]]</f>
        <v>0</v>
      </c>
      <c r="J171" s="2">
        <f>Table202224294112225283137[[#This Row],[QT]]-Table2022242942024273036[[#This Row],[QT]]</f>
        <v>0</v>
      </c>
      <c r="K171" s="2">
        <f>Table2022242942024273036[[#This Row],[PRIX DE VENTE]]*Table2022242942024273036[[#This Row],[REST DE CETTE CMD]]</f>
        <v>0</v>
      </c>
      <c r="L171" s="50">
        <v>0</v>
      </c>
      <c r="M171" s="51">
        <f>Table2022242942024273036[[#This Row],[PRIX DE VENTE]]*Table2022242942024273036[[#This Row],[STOCK DISPONIBLE]]</f>
        <v>0</v>
      </c>
      <c r="O171" s="17"/>
      <c r="P171" s="17"/>
      <c r="Q171" s="18"/>
      <c r="R171" s="19"/>
      <c r="S171" s="19">
        <f t="shared" si="5"/>
        <v>0</v>
      </c>
      <c r="U171" s="1"/>
      <c r="V171" s="27">
        <f>Table2022242942024273036[[#This Row],[QT]]</f>
        <v>0</v>
      </c>
      <c r="W171" s="11">
        <f>Table2022242942024273036[[#This Row],[TOTAL VENTE]]</f>
        <v>0</v>
      </c>
      <c r="X171" s="11">
        <f>Table2022242942024273036[[#This Row],[TOTAL VENTE]]-Table202224294112225283137[[#This Row],[TOTAL ACHAT]]</f>
        <v>0</v>
      </c>
    </row>
    <row r="172" spans="1:24" ht="15.75" x14ac:dyDescent="0.25">
      <c r="A172" s="1"/>
      <c r="B172" s="28">
        <v>0</v>
      </c>
      <c r="C172" s="12">
        <v>0</v>
      </c>
      <c r="D172" s="11">
        <f>Table202224294112225283137[[#This Row],[QT]]*Table202224294112225283137[[#This Row],[PRIX D''ACHAT]]</f>
        <v>0</v>
      </c>
      <c r="F172" s="1"/>
      <c r="G172" s="28">
        <v>0</v>
      </c>
      <c r="H172" s="11">
        <v>0</v>
      </c>
      <c r="I172" s="11">
        <f>Table2022242942024273036[[#This Row],[QT]]*Table2022242942024273036[[#This Row],[PRIX DE VENTE]]</f>
        <v>0</v>
      </c>
      <c r="J172" s="2">
        <f>Table202224294112225283137[[#This Row],[QT]]-Table2022242942024273036[[#This Row],[QT]]</f>
        <v>0</v>
      </c>
      <c r="K172" s="2">
        <f>Table2022242942024273036[[#This Row],[PRIX DE VENTE]]*Table2022242942024273036[[#This Row],[REST DE CETTE CMD]]</f>
        <v>0</v>
      </c>
      <c r="L172" s="50">
        <v>0</v>
      </c>
      <c r="M172" s="51">
        <f>Table2022242942024273036[[#This Row],[PRIX DE VENTE]]*Table2022242942024273036[[#This Row],[STOCK DISPONIBLE]]</f>
        <v>0</v>
      </c>
      <c r="O172" s="17"/>
      <c r="P172" s="17"/>
      <c r="Q172" s="18"/>
      <c r="R172" s="19"/>
      <c r="S172" s="19">
        <f t="shared" si="5"/>
        <v>0</v>
      </c>
      <c r="U172" s="1"/>
      <c r="V172" s="27">
        <f>Table2022242942024273036[[#This Row],[QT]]</f>
        <v>0</v>
      </c>
      <c r="W172" s="11">
        <f>Table2022242942024273036[[#This Row],[TOTAL VENTE]]</f>
        <v>0</v>
      </c>
      <c r="X172" s="11">
        <f>Table2022242942024273036[[#This Row],[TOTAL VENTE]]-Table202224294112225283137[[#This Row],[TOTAL ACHAT]]</f>
        <v>0</v>
      </c>
    </row>
    <row r="173" spans="1:24" ht="15.75" x14ac:dyDescent="0.25">
      <c r="A173" s="1"/>
      <c r="B173" s="28">
        <v>0</v>
      </c>
      <c r="C173" s="12">
        <v>0</v>
      </c>
      <c r="D173" s="11">
        <f>Table202224294112225283137[[#This Row],[QT]]*Table202224294112225283137[[#This Row],[PRIX D''ACHAT]]</f>
        <v>0</v>
      </c>
      <c r="F173" s="1"/>
      <c r="G173" s="28">
        <v>0</v>
      </c>
      <c r="H173" s="11">
        <v>0</v>
      </c>
      <c r="I173" s="11">
        <f>Table2022242942024273036[[#This Row],[QT]]*Table2022242942024273036[[#This Row],[PRIX DE VENTE]]</f>
        <v>0</v>
      </c>
      <c r="J173" s="2">
        <f>Table202224294112225283137[[#This Row],[QT]]-Table2022242942024273036[[#This Row],[QT]]</f>
        <v>0</v>
      </c>
      <c r="K173" s="2">
        <f>Table2022242942024273036[[#This Row],[PRIX DE VENTE]]*Table2022242942024273036[[#This Row],[REST DE CETTE CMD]]</f>
        <v>0</v>
      </c>
      <c r="L173" s="50">
        <v>0</v>
      </c>
      <c r="M173" s="51">
        <f>Table2022242942024273036[[#This Row],[PRIX DE VENTE]]*Table2022242942024273036[[#This Row],[STOCK DISPONIBLE]]</f>
        <v>0</v>
      </c>
      <c r="O173" s="17"/>
      <c r="P173" s="17"/>
      <c r="Q173" s="18"/>
      <c r="R173" s="19"/>
      <c r="S173" s="19">
        <f t="shared" si="5"/>
        <v>0</v>
      </c>
      <c r="U173" s="1"/>
      <c r="V173" s="27">
        <f>Table2022242942024273036[[#This Row],[QT]]</f>
        <v>0</v>
      </c>
      <c r="W173" s="11">
        <f>Table2022242942024273036[[#This Row],[TOTAL VENTE]]</f>
        <v>0</v>
      </c>
      <c r="X173" s="11">
        <f>Table2022242942024273036[[#This Row],[TOTAL VENTE]]-Table202224294112225283137[[#This Row],[TOTAL ACHAT]]</f>
        <v>0</v>
      </c>
    </row>
    <row r="174" spans="1:24" ht="15.75" x14ac:dyDescent="0.25">
      <c r="A174" s="1"/>
      <c r="B174" s="28">
        <v>0</v>
      </c>
      <c r="C174" s="12">
        <v>0</v>
      </c>
      <c r="D174" s="11">
        <f>Table202224294112225283137[[#This Row],[QT]]*Table202224294112225283137[[#This Row],[PRIX D''ACHAT]]</f>
        <v>0</v>
      </c>
      <c r="F174" s="1"/>
      <c r="G174" s="28">
        <v>0</v>
      </c>
      <c r="H174" s="11">
        <v>0</v>
      </c>
      <c r="I174" s="11">
        <f>Table2022242942024273036[[#This Row],[QT]]*Table2022242942024273036[[#This Row],[PRIX DE VENTE]]</f>
        <v>0</v>
      </c>
      <c r="J174" s="2">
        <f>Table202224294112225283137[[#This Row],[QT]]-Table2022242942024273036[[#This Row],[QT]]</f>
        <v>0</v>
      </c>
      <c r="K174" s="2">
        <f>Table2022242942024273036[[#This Row],[PRIX DE VENTE]]*Table2022242942024273036[[#This Row],[REST DE CETTE CMD]]</f>
        <v>0</v>
      </c>
      <c r="L174" s="50">
        <v>0</v>
      </c>
      <c r="M174" s="51">
        <f>Table2022242942024273036[[#This Row],[PRIX DE VENTE]]*Table2022242942024273036[[#This Row],[STOCK DISPONIBLE]]</f>
        <v>0</v>
      </c>
      <c r="O174" s="17"/>
      <c r="P174" s="17"/>
      <c r="Q174" s="18"/>
      <c r="R174" s="19"/>
      <c r="S174" s="19">
        <f t="shared" si="5"/>
        <v>0</v>
      </c>
      <c r="U174" s="1"/>
      <c r="V174" s="27">
        <f>Table2022242942024273036[[#This Row],[QT]]</f>
        <v>0</v>
      </c>
      <c r="W174" s="11">
        <f>Table2022242942024273036[[#This Row],[TOTAL VENTE]]</f>
        <v>0</v>
      </c>
      <c r="X174" s="11">
        <f>Table2022242942024273036[[#This Row],[TOTAL VENTE]]-Table202224294112225283137[[#This Row],[TOTAL ACHAT]]</f>
        <v>0</v>
      </c>
    </row>
    <row r="175" spans="1:24" ht="21" x14ac:dyDescent="0.35">
      <c r="A175" s="1"/>
      <c r="B175" s="14">
        <f>SUM(B154:B174)</f>
        <v>80</v>
      </c>
      <c r="C175" s="10"/>
      <c r="D175" s="13">
        <f>SUM(D154:D174)</f>
        <v>432100</v>
      </c>
      <c r="F175" s="1"/>
      <c r="G175" s="14">
        <f>SUM(G154:G174)</f>
        <v>72</v>
      </c>
      <c r="H175" s="11"/>
      <c r="I175" s="13">
        <f>SUM(I154:I174)</f>
        <v>413000</v>
      </c>
      <c r="J175" s="13">
        <f>Table202224294112225283137[[#This Row],[QT]]-Table2022242942024273036[[#This Row],[QT]]</f>
        <v>8</v>
      </c>
      <c r="K175" s="13">
        <f>SUM(K154:K174)</f>
        <v>37400</v>
      </c>
      <c r="L175" s="49">
        <f>SUM(L154:L174)</f>
        <v>13</v>
      </c>
      <c r="M175" s="52">
        <f>SUM(M154:M174)</f>
        <v>75900</v>
      </c>
      <c r="O175" s="17"/>
      <c r="P175" s="17"/>
      <c r="Q175" s="18"/>
      <c r="R175" s="19"/>
      <c r="S175" s="26">
        <f>SUM(S154:S174)</f>
        <v>5500</v>
      </c>
      <c r="U175" s="1"/>
      <c r="V175" s="30">
        <f>SUM(V154:V174)</f>
        <v>72</v>
      </c>
      <c r="W175" s="34">
        <f>SUM(W154:W174)</f>
        <v>413000</v>
      </c>
      <c r="X175" s="56">
        <f>SUM(X154:X174)</f>
        <v>-19100</v>
      </c>
    </row>
    <row r="176" spans="1:24" ht="21" x14ac:dyDescent="0.35">
      <c r="F176" s="1"/>
      <c r="G176" s="2"/>
      <c r="H176" s="11"/>
      <c r="I176" s="11"/>
      <c r="J176" s="2"/>
      <c r="K176" s="40"/>
      <c r="L176" s="54" t="s">
        <v>78</v>
      </c>
      <c r="M176" s="55">
        <f>M175-K175</f>
        <v>38500</v>
      </c>
      <c r="O176" s="17"/>
      <c r="P176" s="17"/>
      <c r="Q176" s="20"/>
      <c r="R176" s="20"/>
      <c r="S176" s="20"/>
      <c r="U176" s="31"/>
      <c r="V176" s="32"/>
      <c r="W176" s="35"/>
      <c r="X176" s="36"/>
    </row>
    <row r="177" spans="6:24" ht="21" x14ac:dyDescent="0.35">
      <c r="F177" s="1"/>
      <c r="G177" s="2"/>
      <c r="H177" s="57" t="s">
        <v>79</v>
      </c>
      <c r="I177" s="58">
        <f>X175</f>
        <v>-19100</v>
      </c>
      <c r="J177" s="2"/>
      <c r="K177" s="11"/>
      <c r="L177" s="47"/>
      <c r="M177" s="53"/>
      <c r="U177" s="31"/>
      <c r="V177" s="32"/>
      <c r="W177" s="33" t="s">
        <v>70</v>
      </c>
      <c r="X177" s="45">
        <f>X147+S175</f>
        <v>28000</v>
      </c>
    </row>
    <row r="178" spans="6:24" ht="18.75" x14ac:dyDescent="0.3">
      <c r="O178" s="24"/>
      <c r="P178" s="24"/>
      <c r="Q178" s="24"/>
      <c r="R178" s="24"/>
      <c r="S178" s="25"/>
      <c r="U178" s="1"/>
      <c r="V178" s="2"/>
      <c r="W178" s="41" t="s">
        <v>46</v>
      </c>
      <c r="X178" s="41">
        <f>X148+X175</f>
        <v>59200</v>
      </c>
    </row>
    <row r="179" spans="6:24" ht="18.75" x14ac:dyDescent="0.3">
      <c r="I179" s="43"/>
      <c r="U179" s="1"/>
      <c r="V179" s="2"/>
      <c r="W179" s="39" t="s">
        <v>71</v>
      </c>
      <c r="X179" s="39">
        <f>X178-X177</f>
        <v>31200</v>
      </c>
    </row>
  </sheetData>
  <mergeCells count="24">
    <mergeCell ref="A1:D1"/>
    <mergeCell ref="F1:I1"/>
    <mergeCell ref="O1:S1"/>
    <mergeCell ref="U1:X1"/>
    <mergeCell ref="A31:D31"/>
    <mergeCell ref="F31:I31"/>
    <mergeCell ref="O31:S31"/>
    <mergeCell ref="U31:X31"/>
    <mergeCell ref="A61:D61"/>
    <mergeCell ref="F61:I61"/>
    <mergeCell ref="O61:S61"/>
    <mergeCell ref="U61:X61"/>
    <mergeCell ref="A91:D91"/>
    <mergeCell ref="F91:I91"/>
    <mergeCell ref="O91:S91"/>
    <mergeCell ref="U91:X91"/>
    <mergeCell ref="O151:S151"/>
    <mergeCell ref="U151:X151"/>
    <mergeCell ref="A121:D121"/>
    <mergeCell ref="F121:I121"/>
    <mergeCell ref="O121:S121"/>
    <mergeCell ref="U121:X121"/>
    <mergeCell ref="A151:D151"/>
    <mergeCell ref="F151:I151"/>
  </mergeCells>
  <conditionalFormatting sqref="B4:B19"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:D19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:G19"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4:V19"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4:X24">
    <cfRule type="dataBar" priority="7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{96C7C2F1-AC57-473D-8691-DF13DBF80465}</x14:id>
        </ext>
      </extLst>
    </cfRule>
  </conditionalFormatting>
  <conditionalFormatting sqref="X4:X25">
    <cfRule type="colorScale" priority="69">
      <colorScale>
        <cfvo type="min"/>
        <cfvo type="max"/>
        <color rgb="FFFCFCFF"/>
        <color rgb="FF63BE7B"/>
      </colorScale>
    </cfRule>
  </conditionalFormatting>
  <conditionalFormatting sqref="B34:B49"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4:D49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4:G49"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4:B79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4:D79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4:G79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4:B109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4:D109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4:G109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4:B139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4:D139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4:G139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4:B174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4:D174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34:X54">
    <cfRule type="dataBar" priority="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{BB44113B-D6EF-4C27-A519-279127761ADD}</x14:id>
        </ext>
      </extLst>
    </cfRule>
  </conditionalFormatting>
  <conditionalFormatting sqref="X34:X55">
    <cfRule type="colorScale" priority="28">
      <colorScale>
        <cfvo type="min"/>
        <cfvo type="max"/>
        <color rgb="FFFCFCFF"/>
        <color rgb="FF63BE7B"/>
      </colorScale>
    </cfRule>
  </conditionalFormatting>
  <conditionalFormatting sqref="X94:X114">
    <cfRule type="dataBar" priority="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{CF903540-06F1-4ACD-87F2-E85A40A8D6F2}</x14:id>
        </ext>
      </extLst>
    </cfRule>
  </conditionalFormatting>
  <conditionalFormatting sqref="X94:X115">
    <cfRule type="colorScale" priority="22">
      <colorScale>
        <cfvo type="min"/>
        <cfvo type="max"/>
        <color rgb="FFFCFCFF"/>
        <color rgb="FF63BE7B"/>
      </colorScale>
    </cfRule>
  </conditionalFormatting>
  <conditionalFormatting sqref="X124:X144">
    <cfRule type="dataBar" priority="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{1CDA8F57-A4C4-44F2-9B41-3C65F5467E90}</x14:id>
        </ext>
      </extLst>
    </cfRule>
  </conditionalFormatting>
  <conditionalFormatting sqref="X124:X145">
    <cfRule type="colorScale" priority="19">
      <colorScale>
        <cfvo type="min"/>
        <cfvo type="max"/>
        <color rgb="FFFCFCFF"/>
        <color rgb="FF63BE7B"/>
      </colorScale>
    </cfRule>
  </conditionalFormatting>
  <conditionalFormatting sqref="X154:X174">
    <cfRule type="dataBar" priority="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{F6D9AD2D-9C3F-4B9A-9172-53E7E55137B2}</x14:id>
        </ext>
      </extLst>
    </cfRule>
  </conditionalFormatting>
  <conditionalFormatting sqref="X154:X175">
    <cfRule type="colorScale" priority="16">
      <colorScale>
        <cfvo type="min"/>
        <cfvo type="max"/>
        <color rgb="FFFCFCFF"/>
        <color rgb="FF63BE7B"/>
      </colorScale>
    </cfRule>
  </conditionalFormatting>
  <conditionalFormatting sqref="V154:V174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4:V49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64:X84">
    <cfRule type="dataBar" priority="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{F406CDA2-6713-4794-B5BB-7578C8C33C86}</x14:id>
        </ext>
      </extLst>
    </cfRule>
  </conditionalFormatting>
  <conditionalFormatting sqref="X64:X85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4:V7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94:V10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24:V139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54:M174">
    <cfRule type="colorScale" priority="6">
      <colorScale>
        <cfvo type="min"/>
        <cfvo type="max"/>
        <color rgb="FFFCFCFF"/>
        <color rgb="FFF8696B"/>
      </colorScale>
    </cfRule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L154:L177">
    <cfRule type="colorScale" priority="1">
      <colorScale>
        <cfvo type="min"/>
        <cfvo type="max"/>
        <color rgb="FFF8696B"/>
        <color rgb="FFFCFCFF"/>
      </colorScale>
    </cfRule>
  </conditionalFormatting>
  <conditionalFormatting sqref="G154:G17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54:K174">
    <cfRule type="colorScale" priority="3">
      <colorScale>
        <cfvo type="min"/>
        <cfvo type="max"/>
        <color rgb="FF63BE7B"/>
        <color rgb="FFFCFCFF"/>
      </colorScale>
    </cfRule>
  </conditionalFormatting>
  <conditionalFormatting sqref="K154:K174">
    <cfRule type="colorScale" priority="2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orientation="portrait" r:id="rId1"/>
  <tableParts count="18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6C7C2F1-AC57-473D-8691-DF13DBF8046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X4:X24</xm:sqref>
        </x14:conditionalFormatting>
        <x14:conditionalFormatting xmlns:xm="http://schemas.microsoft.com/office/excel/2006/main">
          <x14:cfRule type="dataBar" id="{BB44113B-D6EF-4C27-A519-279127761AD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X34:X54</xm:sqref>
        </x14:conditionalFormatting>
        <x14:conditionalFormatting xmlns:xm="http://schemas.microsoft.com/office/excel/2006/main">
          <x14:cfRule type="dataBar" id="{CF903540-06F1-4ACD-87F2-E85A40A8D6F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X94:X114</xm:sqref>
        </x14:conditionalFormatting>
        <x14:conditionalFormatting xmlns:xm="http://schemas.microsoft.com/office/excel/2006/main">
          <x14:cfRule type="dataBar" id="{1CDA8F57-A4C4-44F2-9B41-3C65F5467E9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X124:X144</xm:sqref>
        </x14:conditionalFormatting>
        <x14:conditionalFormatting xmlns:xm="http://schemas.microsoft.com/office/excel/2006/main">
          <x14:cfRule type="dataBar" id="{F6D9AD2D-9C3F-4B9A-9172-53E7E55137B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X154:X174</xm:sqref>
        </x14:conditionalFormatting>
        <x14:conditionalFormatting xmlns:xm="http://schemas.microsoft.com/office/excel/2006/main">
          <x14:cfRule type="dataBar" id="{F406CDA2-6713-4794-B5BB-7578C8C33C8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X64:X84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B5FAE4500C30946938ECC276F460AB1" ma:contentTypeVersion="14" ma:contentTypeDescription="Create a new document." ma:contentTypeScope="" ma:versionID="3d9a1d305c06a9a1307de39bacd6d1bc">
  <xsd:schema xmlns:xsd="http://www.w3.org/2001/XMLSchema" xmlns:xs="http://www.w3.org/2001/XMLSchema" xmlns:p="http://schemas.microsoft.com/office/2006/metadata/properties" xmlns:ns3="165d9364-3e30-4b00-8506-d4230e2eaeb7" xmlns:ns4="9b687c33-0883-45a3-940e-97b3f297d2fa" targetNamespace="http://schemas.microsoft.com/office/2006/metadata/properties" ma:root="true" ma:fieldsID="b45893d5c1521544d9850117418caf12" ns3:_="" ns4:_="">
    <xsd:import namespace="165d9364-3e30-4b00-8506-d4230e2eaeb7"/>
    <xsd:import namespace="9b687c33-0883-45a3-940e-97b3f297d2f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LengthInSecond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5d9364-3e30-4b00-8506-d4230e2eaeb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687c33-0883-45a3-940e-97b3f297d2fa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9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6990D42-BF6D-4FF0-B1DB-D5CD4F32D3B4}">
  <ds:schemaRefs>
    <ds:schemaRef ds:uri="http://www.w3.org/XML/1998/namespace"/>
    <ds:schemaRef ds:uri="http://purl.org/dc/dcmitype/"/>
    <ds:schemaRef ds:uri="http://purl.org/dc/elements/1.1/"/>
    <ds:schemaRef ds:uri="http://schemas.microsoft.com/office/2006/documentManagement/types"/>
    <ds:schemaRef ds:uri="http://schemas.microsoft.com/office/2006/metadata/properties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9b687c33-0883-45a3-940e-97b3f297d2fa"/>
    <ds:schemaRef ds:uri="165d9364-3e30-4b00-8506-d4230e2eaeb7"/>
  </ds:schemaRefs>
</ds:datastoreItem>
</file>

<file path=customXml/itemProps2.xml><?xml version="1.0" encoding="utf-8"?>
<ds:datastoreItem xmlns:ds="http://schemas.openxmlformats.org/officeDocument/2006/customXml" ds:itemID="{B9C7CC2C-D576-4C80-856A-8150037E4D1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43252D9-935A-419E-92C5-06A98F0CD4D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65d9364-3e30-4b00-8506-d4230e2eaeb7"/>
    <ds:schemaRef ds:uri="9b687c33-0883-45a3-940e-97b3f297d2f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PRIX ET BENEFICE</vt:lpstr>
      <vt:lpstr>OCTOBRE 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Jean-Yves koffi</dc:creator>
  <cp:lastModifiedBy>Jean Koffi</cp:lastModifiedBy>
  <dcterms:created xsi:type="dcterms:W3CDTF">2015-06-05T18:17:20Z</dcterms:created>
  <dcterms:modified xsi:type="dcterms:W3CDTF">2022-10-25T21:04:58Z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0x010100BB5FAE4500C30946938ECC276F460AB1</vt:lpwstr>
  </property>
</Properties>
</file>