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30" yWindow="1605" windowWidth="15360" windowHeight="79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Sheet2!$B$6:$P$42</definedName>
  </definedNames>
  <calcPr calcId="145621"/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4" i="1"/>
  <c r="Q24" i="1" l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T68" i="1" s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Q84" i="1"/>
  <c r="T84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T91" i="1" s="1"/>
  <c r="Q92" i="1"/>
  <c r="T92" i="1" s="1"/>
  <c r="Q93" i="1"/>
  <c r="T93" i="1" s="1"/>
  <c r="Q94" i="1"/>
  <c r="T94" i="1" s="1"/>
  <c r="Q95" i="1"/>
  <c r="T95" i="1" s="1"/>
  <c r="Q96" i="1"/>
  <c r="T96" i="1" s="1"/>
  <c r="Q97" i="1"/>
  <c r="T97" i="1" s="1"/>
  <c r="Q98" i="1"/>
  <c r="T98" i="1" s="1"/>
  <c r="Q99" i="1"/>
  <c r="T99" i="1" s="1"/>
  <c r="Q100" i="1"/>
  <c r="T100" i="1" s="1"/>
  <c r="Q101" i="1"/>
  <c r="T101" i="1" s="1"/>
  <c r="Q102" i="1"/>
  <c r="T102" i="1" s="1"/>
  <c r="Q103" i="1"/>
  <c r="T103" i="1" s="1"/>
  <c r="Q104" i="1"/>
  <c r="T104" i="1" s="1"/>
  <c r="Q105" i="1"/>
  <c r="T105" i="1" s="1"/>
  <c r="Q106" i="1"/>
  <c r="T106" i="1" s="1"/>
  <c r="Q107" i="1"/>
  <c r="T107" i="1" s="1"/>
  <c r="Q108" i="1"/>
  <c r="T108" i="1" s="1"/>
  <c r="Q109" i="1"/>
  <c r="T109" i="1" s="1"/>
  <c r="Q110" i="1"/>
  <c r="T110" i="1" s="1"/>
  <c r="Q111" i="1"/>
  <c r="T111" i="1" s="1"/>
  <c r="Q112" i="1"/>
  <c r="T112" i="1" s="1"/>
  <c r="Q113" i="1"/>
  <c r="T113" i="1" s="1"/>
  <c r="Q114" i="1"/>
  <c r="T114" i="1" s="1"/>
  <c r="Q115" i="1"/>
  <c r="T115" i="1" s="1"/>
  <c r="Q116" i="1"/>
  <c r="T116" i="1" s="1"/>
  <c r="Q117" i="1"/>
  <c r="T117" i="1" s="1"/>
  <c r="Q118" i="1"/>
  <c r="T118" i="1" s="1"/>
  <c r="Q119" i="1"/>
  <c r="T119" i="1" s="1"/>
  <c r="Q120" i="1"/>
  <c r="T120" i="1" s="1"/>
  <c r="Q121" i="1"/>
  <c r="T121" i="1" s="1"/>
  <c r="Q122" i="1"/>
  <c r="T122" i="1" s="1"/>
  <c r="Q123" i="1"/>
  <c r="T123" i="1" s="1"/>
  <c r="Q124" i="1"/>
  <c r="T124" i="1" s="1"/>
  <c r="Q125" i="1"/>
  <c r="T125" i="1" s="1"/>
  <c r="Q126" i="1"/>
  <c r="T126" i="1" s="1"/>
  <c r="Q127" i="1"/>
  <c r="T127" i="1" s="1"/>
  <c r="Q128" i="1"/>
  <c r="T128" i="1" s="1"/>
  <c r="Q129" i="1"/>
  <c r="T129" i="1" s="1"/>
  <c r="Q130" i="1"/>
  <c r="T130" i="1" s="1"/>
  <c r="Q131" i="1"/>
  <c r="T131" i="1" s="1"/>
  <c r="U131" i="1" s="1"/>
  <c r="Q132" i="1"/>
  <c r="S132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14" i="1"/>
  <c r="T14" i="1" s="1"/>
  <c r="R131" i="1"/>
  <c r="S131" i="1"/>
  <c r="R132" i="1" l="1"/>
  <c r="T132" i="1"/>
  <c r="U132" i="1" s="1"/>
  <c r="W131" i="1"/>
  <c r="AA131" i="1" s="1"/>
  <c r="W132" i="1" l="1"/>
  <c r="Z132" i="1" s="1"/>
  <c r="Y131" i="1"/>
  <c r="Z131" i="1"/>
  <c r="X131" i="1"/>
  <c r="R51" i="1"/>
  <c r="R52" i="1"/>
  <c r="S53" i="1"/>
  <c r="S54" i="1"/>
  <c r="R55" i="1"/>
  <c r="R56" i="1"/>
  <c r="S57" i="1"/>
  <c r="S58" i="1"/>
  <c r="R59" i="1"/>
  <c r="R60" i="1"/>
  <c r="S61" i="1"/>
  <c r="S62" i="1"/>
  <c r="R63" i="1"/>
  <c r="R64" i="1"/>
  <c r="S65" i="1"/>
  <c r="S66" i="1"/>
  <c r="R67" i="1"/>
  <c r="R68" i="1"/>
  <c r="S69" i="1"/>
  <c r="S70" i="1"/>
  <c r="R71" i="1"/>
  <c r="R72" i="1"/>
  <c r="S73" i="1"/>
  <c r="S74" i="1"/>
  <c r="R75" i="1"/>
  <c r="R76" i="1"/>
  <c r="S77" i="1"/>
  <c r="S78" i="1"/>
  <c r="R79" i="1"/>
  <c r="R80" i="1"/>
  <c r="S81" i="1"/>
  <c r="S82" i="1"/>
  <c r="R83" i="1"/>
  <c r="R84" i="1"/>
  <c r="S85" i="1"/>
  <c r="S86" i="1"/>
  <c r="R87" i="1"/>
  <c r="R88" i="1"/>
  <c r="S89" i="1"/>
  <c r="S90" i="1"/>
  <c r="R91" i="1"/>
  <c r="R92" i="1"/>
  <c r="S93" i="1"/>
  <c r="S94" i="1"/>
  <c r="R95" i="1"/>
  <c r="R96" i="1"/>
  <c r="S97" i="1"/>
  <c r="S98" i="1"/>
  <c r="R99" i="1"/>
  <c r="R100" i="1"/>
  <c r="S101" i="1"/>
  <c r="S102" i="1"/>
  <c r="R103" i="1"/>
  <c r="R104" i="1"/>
  <c r="S105" i="1"/>
  <c r="S106" i="1"/>
  <c r="R107" i="1"/>
  <c r="R108" i="1"/>
  <c r="S109" i="1"/>
  <c r="S110" i="1"/>
  <c r="R111" i="1"/>
  <c r="R112" i="1"/>
  <c r="S113" i="1"/>
  <c r="S114" i="1"/>
  <c r="R115" i="1"/>
  <c r="R116" i="1"/>
  <c r="S117" i="1"/>
  <c r="S118" i="1"/>
  <c r="R119" i="1"/>
  <c r="R120" i="1"/>
  <c r="S121" i="1"/>
  <c r="S122" i="1"/>
  <c r="R123" i="1"/>
  <c r="R124" i="1"/>
  <c r="S125" i="1"/>
  <c r="S126" i="1"/>
  <c r="R127" i="1"/>
  <c r="R128" i="1"/>
  <c r="S129" i="1"/>
  <c r="S130" i="1"/>
  <c r="R15" i="1"/>
  <c r="R16" i="1"/>
  <c r="S17" i="1"/>
  <c r="S18" i="1"/>
  <c r="R19" i="1"/>
  <c r="R20" i="1"/>
  <c r="S21" i="1"/>
  <c r="S22" i="1"/>
  <c r="R23" i="1"/>
  <c r="R24" i="1"/>
  <c r="S25" i="1"/>
  <c r="S26" i="1"/>
  <c r="R27" i="1"/>
  <c r="R28" i="1"/>
  <c r="S29" i="1"/>
  <c r="S30" i="1"/>
  <c r="R31" i="1"/>
  <c r="R32" i="1"/>
  <c r="S33" i="1"/>
  <c r="S34" i="1"/>
  <c r="R35" i="1"/>
  <c r="R36" i="1"/>
  <c r="S37" i="1"/>
  <c r="S38" i="1"/>
  <c r="R39" i="1"/>
  <c r="R40" i="1"/>
  <c r="S41" i="1"/>
  <c r="S42" i="1"/>
  <c r="R43" i="1"/>
  <c r="R44" i="1"/>
  <c r="S45" i="1"/>
  <c r="S46" i="1"/>
  <c r="R47" i="1"/>
  <c r="R48" i="1"/>
  <c r="S49" i="1"/>
  <c r="S50" i="1"/>
  <c r="S14" i="1"/>
  <c r="N123" i="1"/>
  <c r="N124" i="1"/>
  <c r="N125" i="1"/>
  <c r="N126" i="1"/>
  <c r="N127" i="1"/>
  <c r="N128" i="1"/>
  <c r="N129" i="1"/>
  <c r="N130" i="1"/>
  <c r="N112" i="1"/>
  <c r="N113" i="1"/>
  <c r="N114" i="1"/>
  <c r="N115" i="1"/>
  <c r="N116" i="1"/>
  <c r="N117" i="1"/>
  <c r="N118" i="1"/>
  <c r="N119" i="1"/>
  <c r="N120" i="1"/>
  <c r="N121" i="1"/>
  <c r="N122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94" i="1"/>
  <c r="Y132" i="1" l="1"/>
  <c r="AA132" i="1" s="1"/>
  <c r="X132" i="1"/>
  <c r="U123" i="1"/>
  <c r="W123" i="1" s="1"/>
  <c r="U118" i="1"/>
  <c r="W118" i="1" s="1"/>
  <c r="U113" i="1"/>
  <c r="U107" i="1"/>
  <c r="W107" i="1" s="1"/>
  <c r="U102" i="1"/>
  <c r="U97" i="1"/>
  <c r="U91" i="1"/>
  <c r="U86" i="1"/>
  <c r="U81" i="1"/>
  <c r="U75" i="1"/>
  <c r="U70" i="1"/>
  <c r="U65" i="1"/>
  <c r="U59" i="1"/>
  <c r="U54" i="1"/>
  <c r="U49" i="1"/>
  <c r="U45" i="1"/>
  <c r="U39" i="1"/>
  <c r="U34" i="1"/>
  <c r="U29" i="1"/>
  <c r="U23" i="1"/>
  <c r="U18" i="1"/>
  <c r="W18" i="1" s="1"/>
  <c r="U130" i="1"/>
  <c r="U126" i="1"/>
  <c r="W126" i="1" s="1"/>
  <c r="U129" i="1"/>
  <c r="U122" i="1"/>
  <c r="W122" i="1" s="1"/>
  <c r="U117" i="1"/>
  <c r="U111" i="1"/>
  <c r="W111" i="1" s="1"/>
  <c r="U106" i="1"/>
  <c r="U101" i="1"/>
  <c r="U95" i="1"/>
  <c r="U90" i="1"/>
  <c r="U85" i="1"/>
  <c r="U79" i="1"/>
  <c r="U74" i="1"/>
  <c r="U69" i="1"/>
  <c r="U63" i="1"/>
  <c r="U58" i="1"/>
  <c r="U53" i="1"/>
  <c r="U48" i="1"/>
  <c r="U43" i="1"/>
  <c r="U38" i="1"/>
  <c r="U33" i="1"/>
  <c r="U27" i="1"/>
  <c r="U22" i="1"/>
  <c r="U17" i="1"/>
  <c r="U127" i="1"/>
  <c r="W127" i="1" s="1"/>
  <c r="U121" i="1"/>
  <c r="U115" i="1"/>
  <c r="W115" i="1" s="1"/>
  <c r="U110" i="1"/>
  <c r="U105" i="1"/>
  <c r="U99" i="1"/>
  <c r="U94" i="1"/>
  <c r="U89" i="1"/>
  <c r="U83" i="1"/>
  <c r="U78" i="1"/>
  <c r="U73" i="1"/>
  <c r="U67" i="1"/>
  <c r="U62" i="1"/>
  <c r="U57" i="1"/>
  <c r="U51" i="1"/>
  <c r="U47" i="1"/>
  <c r="U42" i="1"/>
  <c r="U37" i="1"/>
  <c r="U31" i="1"/>
  <c r="U26" i="1"/>
  <c r="U21" i="1"/>
  <c r="U15" i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4" i="1"/>
  <c r="U40" i="1"/>
  <c r="U36" i="1"/>
  <c r="U32" i="1"/>
  <c r="U28" i="1"/>
  <c r="U24" i="1"/>
  <c r="U20" i="1"/>
  <c r="U16" i="1"/>
  <c r="U125" i="1"/>
  <c r="U119" i="1"/>
  <c r="W119" i="1" s="1"/>
  <c r="U114" i="1"/>
  <c r="W114" i="1" s="1"/>
  <c r="U109" i="1"/>
  <c r="U103" i="1"/>
  <c r="U98" i="1"/>
  <c r="U93" i="1"/>
  <c r="U87" i="1"/>
  <c r="U82" i="1"/>
  <c r="U77" i="1"/>
  <c r="U71" i="1"/>
  <c r="U66" i="1"/>
  <c r="U61" i="1"/>
  <c r="U55" i="1"/>
  <c r="U50" i="1"/>
  <c r="U46" i="1"/>
  <c r="U41" i="1"/>
  <c r="U35" i="1"/>
  <c r="U30" i="1"/>
  <c r="U25" i="1"/>
  <c r="U19" i="1"/>
  <c r="U14" i="1"/>
  <c r="R38" i="1"/>
  <c r="R34" i="1"/>
  <c r="R30" i="1"/>
  <c r="R26" i="1"/>
  <c r="R22" i="1"/>
  <c r="R18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S44" i="1"/>
  <c r="S40" i="1"/>
  <c r="S36" i="1"/>
  <c r="S32" i="1"/>
  <c r="S28" i="1"/>
  <c r="S24" i="1"/>
  <c r="S20" i="1"/>
  <c r="S16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R37" i="1"/>
  <c r="R33" i="1"/>
  <c r="R29" i="1"/>
  <c r="R25" i="1"/>
  <c r="R21" i="1"/>
  <c r="R17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S43" i="1"/>
  <c r="S39" i="1"/>
  <c r="S35" i="1"/>
  <c r="S31" i="1"/>
  <c r="S27" i="1"/>
  <c r="S23" i="1"/>
  <c r="S19" i="1"/>
  <c r="S15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R14" i="1"/>
  <c r="W130" i="1" l="1"/>
  <c r="AA130" i="1" s="1"/>
  <c r="Y111" i="1"/>
  <c r="X111" i="1"/>
  <c r="Y128" i="1"/>
  <c r="X128" i="1"/>
  <c r="Y120" i="1"/>
  <c r="X120" i="1"/>
  <c r="Y119" i="1"/>
  <c r="X119" i="1"/>
  <c r="Y108" i="1"/>
  <c r="X108" i="1"/>
  <c r="Y116" i="1"/>
  <c r="X116" i="1"/>
  <c r="X122" i="1"/>
  <c r="Y122" i="1"/>
  <c r="Y107" i="1"/>
  <c r="X107" i="1"/>
  <c r="X126" i="1"/>
  <c r="Y126" i="1"/>
  <c r="X112" i="1"/>
  <c r="Y112" i="1"/>
  <c r="X114" i="1"/>
  <c r="Y114" i="1"/>
  <c r="X104" i="1"/>
  <c r="Y104" i="1"/>
  <c r="Y127" i="1"/>
  <c r="X127" i="1"/>
  <c r="X118" i="1"/>
  <c r="Y118" i="1"/>
  <c r="Y115" i="1"/>
  <c r="X115" i="1"/>
  <c r="X124" i="1"/>
  <c r="Y124" i="1"/>
  <c r="X18" i="1"/>
  <c r="Y18" i="1"/>
  <c r="Y123" i="1"/>
  <c r="X123" i="1"/>
  <c r="Z127" i="1"/>
  <c r="Z107" i="1"/>
  <c r="Z128" i="1"/>
  <c r="Z124" i="1"/>
  <c r="Z114" i="1"/>
  <c r="Z115" i="1"/>
  <c r="Z104" i="1"/>
  <c r="Z108" i="1"/>
  <c r="Z118" i="1"/>
  <c r="Z111" i="1"/>
  <c r="Z18" i="1"/>
  <c r="Z116" i="1"/>
  <c r="Z112" i="1"/>
  <c r="Z123" i="1"/>
  <c r="Z122" i="1"/>
  <c r="Z120" i="1"/>
  <c r="Z119" i="1"/>
  <c r="Z126" i="1"/>
  <c r="W14" i="1"/>
  <c r="W110" i="1"/>
  <c r="W106" i="1"/>
  <c r="AA116" i="1"/>
  <c r="AA127" i="1"/>
  <c r="AA120" i="1"/>
  <c r="AA108" i="1"/>
  <c r="AA119" i="1"/>
  <c r="AA112" i="1"/>
  <c r="AA123" i="1"/>
  <c r="AA111" i="1"/>
  <c r="AA122" i="1"/>
  <c r="AA104" i="1"/>
  <c r="AA115" i="1"/>
  <c r="AA126" i="1"/>
  <c r="AA114" i="1"/>
  <c r="AA124" i="1"/>
  <c r="AA107" i="1"/>
  <c r="AA118" i="1"/>
  <c r="AA128" i="1"/>
  <c r="W16" i="1"/>
  <c r="W91" i="1"/>
  <c r="W58" i="1"/>
  <c r="W21" i="1"/>
  <c r="W69" i="1"/>
  <c r="W101" i="1"/>
  <c r="W64" i="1"/>
  <c r="W80" i="1"/>
  <c r="W71" i="1"/>
  <c r="W105" i="1"/>
  <c r="W121" i="1"/>
  <c r="W17" i="1"/>
  <c r="W31" i="1"/>
  <c r="W47" i="1"/>
  <c r="W79" i="1"/>
  <c r="W95" i="1"/>
  <c r="W30" i="1"/>
  <c r="W46" i="1"/>
  <c r="W62" i="1"/>
  <c r="W78" i="1"/>
  <c r="W94" i="1"/>
  <c r="W25" i="1"/>
  <c r="W41" i="1"/>
  <c r="W57" i="1"/>
  <c r="W73" i="1"/>
  <c r="W89" i="1"/>
  <c r="W20" i="1"/>
  <c r="W36" i="1"/>
  <c r="W52" i="1"/>
  <c r="W68" i="1"/>
  <c r="W84" i="1"/>
  <c r="W100" i="1"/>
  <c r="W75" i="1"/>
  <c r="W109" i="1"/>
  <c r="W125" i="1"/>
  <c r="W27" i="1"/>
  <c r="W26" i="1"/>
  <c r="W74" i="1"/>
  <c r="W90" i="1"/>
  <c r="W53" i="1"/>
  <c r="W85" i="1"/>
  <c r="W48" i="1"/>
  <c r="W96" i="1"/>
  <c r="W19" i="1"/>
  <c r="W35" i="1"/>
  <c r="W51" i="1"/>
  <c r="W83" i="1"/>
  <c r="W103" i="1"/>
  <c r="W34" i="1"/>
  <c r="W50" i="1"/>
  <c r="W66" i="1"/>
  <c r="W82" i="1"/>
  <c r="W98" i="1"/>
  <c r="W29" i="1"/>
  <c r="W45" i="1"/>
  <c r="W61" i="1"/>
  <c r="W77" i="1"/>
  <c r="W93" i="1"/>
  <c r="W24" i="1"/>
  <c r="W40" i="1"/>
  <c r="W56" i="1"/>
  <c r="W72" i="1"/>
  <c r="W88" i="1"/>
  <c r="W63" i="1"/>
  <c r="W99" i="1"/>
  <c r="W113" i="1"/>
  <c r="W129" i="1"/>
  <c r="W43" i="1"/>
  <c r="W59" i="1"/>
  <c r="W42" i="1"/>
  <c r="W37" i="1"/>
  <c r="W32" i="1"/>
  <c r="W15" i="1"/>
  <c r="W23" i="1"/>
  <c r="W39" i="1"/>
  <c r="W55" i="1"/>
  <c r="W87" i="1"/>
  <c r="W22" i="1"/>
  <c r="W38" i="1"/>
  <c r="W54" i="1"/>
  <c r="W70" i="1"/>
  <c r="W86" i="1"/>
  <c r="W102" i="1"/>
  <c r="W33" i="1"/>
  <c r="W49" i="1"/>
  <c r="W65" i="1"/>
  <c r="W81" i="1"/>
  <c r="W97" i="1"/>
  <c r="W28" i="1"/>
  <c r="W44" i="1"/>
  <c r="W60" i="1"/>
  <c r="W76" i="1"/>
  <c r="W92" i="1"/>
  <c r="W67" i="1"/>
  <c r="W117" i="1"/>
  <c r="N92" i="1"/>
  <c r="N91" i="1"/>
  <c r="N90" i="1"/>
  <c r="N89" i="1"/>
  <c r="N88" i="1"/>
  <c r="N87" i="1"/>
  <c r="N86" i="1"/>
  <c r="AB124" i="1" l="1"/>
  <c r="X130" i="1"/>
  <c r="AB107" i="1"/>
  <c r="AB123" i="1"/>
  <c r="AB116" i="1"/>
  <c r="Z130" i="1"/>
  <c r="AB108" i="1"/>
  <c r="Y130" i="1"/>
  <c r="AB130" i="1"/>
  <c r="AB119" i="1"/>
  <c r="AB126" i="1"/>
  <c r="AB120" i="1"/>
  <c r="AB118" i="1"/>
  <c r="AB128" i="1"/>
  <c r="AB127" i="1"/>
  <c r="AB131" i="1"/>
  <c r="AB132" i="1"/>
  <c r="Y28" i="1"/>
  <c r="X28" i="1"/>
  <c r="Y15" i="1"/>
  <c r="X15" i="1"/>
  <c r="Y77" i="1"/>
  <c r="X77" i="1"/>
  <c r="Y85" i="1"/>
  <c r="X85" i="1"/>
  <c r="X76" i="1"/>
  <c r="Y76" i="1"/>
  <c r="X54" i="1"/>
  <c r="Y54" i="1"/>
  <c r="Y43" i="1"/>
  <c r="X43" i="1"/>
  <c r="Y61" i="1"/>
  <c r="X61" i="1"/>
  <c r="Y19" i="1"/>
  <c r="X19" i="1"/>
  <c r="Y27" i="1"/>
  <c r="X27" i="1"/>
  <c r="Y57" i="1"/>
  <c r="X57" i="1"/>
  <c r="Y17" i="1"/>
  <c r="X17" i="1"/>
  <c r="Y117" i="1"/>
  <c r="X117" i="1"/>
  <c r="Y81" i="1"/>
  <c r="X81" i="1"/>
  <c r="X38" i="1"/>
  <c r="Y38" i="1"/>
  <c r="Y37" i="1"/>
  <c r="X37" i="1"/>
  <c r="Y88" i="1"/>
  <c r="X88" i="1"/>
  <c r="Y45" i="1"/>
  <c r="X45" i="1"/>
  <c r="X66" i="1"/>
  <c r="Y66" i="1"/>
  <c r="Y96" i="1"/>
  <c r="X96" i="1"/>
  <c r="X90" i="1"/>
  <c r="Y90" i="1"/>
  <c r="X84" i="1"/>
  <c r="Y84" i="1"/>
  <c r="Y41" i="1"/>
  <c r="X41" i="1"/>
  <c r="Y79" i="1"/>
  <c r="X79" i="1"/>
  <c r="X64" i="1"/>
  <c r="Y64" i="1"/>
  <c r="Y67" i="1"/>
  <c r="X67" i="1"/>
  <c r="X44" i="1"/>
  <c r="Y44" i="1"/>
  <c r="Y65" i="1"/>
  <c r="X65" i="1"/>
  <c r="X86" i="1"/>
  <c r="Y86" i="1"/>
  <c r="X22" i="1"/>
  <c r="Y22" i="1"/>
  <c r="Y23" i="1"/>
  <c r="X23" i="1"/>
  <c r="X42" i="1"/>
  <c r="Y42" i="1"/>
  <c r="Y113" i="1"/>
  <c r="X113" i="1"/>
  <c r="Y72" i="1"/>
  <c r="X72" i="1"/>
  <c r="Y93" i="1"/>
  <c r="X93" i="1"/>
  <c r="Y29" i="1"/>
  <c r="X29" i="1"/>
  <c r="X50" i="1"/>
  <c r="Y50" i="1"/>
  <c r="Y51" i="1"/>
  <c r="X51" i="1"/>
  <c r="Y48" i="1"/>
  <c r="X48" i="1"/>
  <c r="X74" i="1"/>
  <c r="Y74" i="1"/>
  <c r="Y109" i="1"/>
  <c r="X109" i="1"/>
  <c r="Y68" i="1"/>
  <c r="X68" i="1"/>
  <c r="Y89" i="1"/>
  <c r="X89" i="1"/>
  <c r="Y25" i="1"/>
  <c r="X25" i="1"/>
  <c r="X46" i="1"/>
  <c r="Y46" i="1"/>
  <c r="Y47" i="1"/>
  <c r="X47" i="1"/>
  <c r="Y105" i="1"/>
  <c r="X105" i="1"/>
  <c r="Y101" i="1"/>
  <c r="X101" i="1"/>
  <c r="Y91" i="1"/>
  <c r="X91" i="1"/>
  <c r="X106" i="1"/>
  <c r="Y106" i="1"/>
  <c r="Y49" i="1"/>
  <c r="X49" i="1"/>
  <c r="Y59" i="1"/>
  <c r="X59" i="1"/>
  <c r="X98" i="1"/>
  <c r="Y98" i="1"/>
  <c r="X26" i="1"/>
  <c r="Y26" i="1"/>
  <c r="Y52" i="1"/>
  <c r="X52" i="1"/>
  <c r="Y73" i="1"/>
  <c r="X73" i="1"/>
  <c r="X94" i="1"/>
  <c r="Y94" i="1"/>
  <c r="X30" i="1"/>
  <c r="Y30" i="1"/>
  <c r="Y31" i="1"/>
  <c r="X31" i="1"/>
  <c r="Y71" i="1"/>
  <c r="X71" i="1"/>
  <c r="Y69" i="1"/>
  <c r="X69" i="1"/>
  <c r="Y16" i="1"/>
  <c r="X16" i="1"/>
  <c r="X110" i="1"/>
  <c r="Y110" i="1"/>
  <c r="Y87" i="1"/>
  <c r="X87" i="1"/>
  <c r="X56" i="1"/>
  <c r="Y56" i="1"/>
  <c r="Y35" i="1"/>
  <c r="X35" i="1"/>
  <c r="Y97" i="1"/>
  <c r="X97" i="1"/>
  <c r="Y55" i="1"/>
  <c r="X55" i="1"/>
  <c r="Y63" i="1"/>
  <c r="X63" i="1"/>
  <c r="Y103" i="1"/>
  <c r="X103" i="1"/>
  <c r="Y100" i="1"/>
  <c r="X100" i="1"/>
  <c r="X78" i="1"/>
  <c r="Y78" i="1"/>
  <c r="Y80" i="1"/>
  <c r="X80" i="1"/>
  <c r="Y14" i="1"/>
  <c r="X14" i="1"/>
  <c r="X92" i="1"/>
  <c r="Y92" i="1"/>
  <c r="X70" i="1"/>
  <c r="Y70" i="1"/>
  <c r="Y99" i="1"/>
  <c r="X99" i="1"/>
  <c r="X34" i="1"/>
  <c r="Y34" i="1"/>
  <c r="Y75" i="1"/>
  <c r="X75" i="1"/>
  <c r="Y33" i="1"/>
  <c r="X33" i="1"/>
  <c r="Y32" i="1"/>
  <c r="X32" i="1"/>
  <c r="Y40" i="1"/>
  <c r="X40" i="1"/>
  <c r="X82" i="1"/>
  <c r="Y82" i="1"/>
  <c r="Y53" i="1"/>
  <c r="X53" i="1"/>
  <c r="X36" i="1"/>
  <c r="Y36" i="1"/>
  <c r="Y95" i="1"/>
  <c r="X95" i="1"/>
  <c r="Y21" i="1"/>
  <c r="X21" i="1"/>
  <c r="Y60" i="1"/>
  <c r="X60" i="1"/>
  <c r="X102" i="1"/>
  <c r="Y102" i="1"/>
  <c r="Y39" i="1"/>
  <c r="X39" i="1"/>
  <c r="Y129" i="1"/>
  <c r="X129" i="1"/>
  <c r="X24" i="1"/>
  <c r="Y24" i="1"/>
  <c r="Y83" i="1"/>
  <c r="X83" i="1"/>
  <c r="Y125" i="1"/>
  <c r="X125" i="1"/>
  <c r="Y20" i="1"/>
  <c r="X20" i="1"/>
  <c r="X62" i="1"/>
  <c r="Y62" i="1"/>
  <c r="Y121" i="1"/>
  <c r="X121" i="1"/>
  <c r="X58" i="1"/>
  <c r="Y58" i="1"/>
  <c r="AB115" i="1"/>
  <c r="AB18" i="1"/>
  <c r="Z60" i="1"/>
  <c r="AB38" i="1"/>
  <c r="Z38" i="1"/>
  <c r="AA37" i="1"/>
  <c r="Z37" i="1"/>
  <c r="Z24" i="1"/>
  <c r="Z66" i="1"/>
  <c r="AB96" i="1"/>
  <c r="Z96" i="1"/>
  <c r="AB125" i="1"/>
  <c r="Z125" i="1"/>
  <c r="Z20" i="1"/>
  <c r="Z62" i="1"/>
  <c r="AB121" i="1"/>
  <c r="Z121" i="1"/>
  <c r="Z64" i="1"/>
  <c r="AA92" i="1"/>
  <c r="Z92" i="1"/>
  <c r="Z49" i="1"/>
  <c r="AB87" i="1"/>
  <c r="Z87" i="1"/>
  <c r="AA76" i="1"/>
  <c r="Z76" i="1"/>
  <c r="AB97" i="1"/>
  <c r="Z97" i="1"/>
  <c r="Z33" i="1"/>
  <c r="AB54" i="1"/>
  <c r="Z54" i="1"/>
  <c r="Z55" i="1"/>
  <c r="AB32" i="1"/>
  <c r="Z32" i="1"/>
  <c r="AB43" i="1"/>
  <c r="Z43" i="1"/>
  <c r="Z63" i="1"/>
  <c r="AA40" i="1"/>
  <c r="Z40" i="1"/>
  <c r="Z61" i="1"/>
  <c r="Z82" i="1"/>
  <c r="AB103" i="1"/>
  <c r="Z103" i="1"/>
  <c r="AB19" i="1"/>
  <c r="Z19" i="1"/>
  <c r="Z53" i="1"/>
  <c r="AA27" i="1"/>
  <c r="Z27" i="1"/>
  <c r="AB100" i="1"/>
  <c r="Z100" i="1"/>
  <c r="Z36" i="1"/>
  <c r="Z57" i="1"/>
  <c r="AA78" i="1"/>
  <c r="Z78" i="1"/>
  <c r="AB95" i="1"/>
  <c r="Z95" i="1"/>
  <c r="AB17" i="1"/>
  <c r="Z17" i="1"/>
  <c r="AA80" i="1"/>
  <c r="Z80" i="1"/>
  <c r="AA21" i="1"/>
  <c r="Z21" i="1"/>
  <c r="AB110" i="1"/>
  <c r="Z110" i="1"/>
  <c r="AB117" i="1"/>
  <c r="Z117" i="1"/>
  <c r="AB102" i="1"/>
  <c r="Z102" i="1"/>
  <c r="AB88" i="1"/>
  <c r="Z88" i="1"/>
  <c r="Z58" i="1"/>
  <c r="Z67" i="1"/>
  <c r="AA44" i="1"/>
  <c r="Z44" i="1"/>
  <c r="Z65" i="1"/>
  <c r="AB86" i="1"/>
  <c r="Z86" i="1"/>
  <c r="AB22" i="1"/>
  <c r="Z22" i="1"/>
  <c r="AB23" i="1"/>
  <c r="Z23" i="1"/>
  <c r="Z42" i="1"/>
  <c r="AB113" i="1"/>
  <c r="Z113" i="1"/>
  <c r="AA72" i="1"/>
  <c r="Z72" i="1"/>
  <c r="AA93" i="1"/>
  <c r="Z93" i="1"/>
  <c r="Z29" i="1"/>
  <c r="Z50" i="1"/>
  <c r="Z51" i="1"/>
  <c r="Z48" i="1"/>
  <c r="AA74" i="1"/>
  <c r="Z74" i="1"/>
  <c r="AB109" i="1"/>
  <c r="Z109" i="1"/>
  <c r="AA68" i="1"/>
  <c r="Z68" i="1"/>
  <c r="AB89" i="1"/>
  <c r="Z89" i="1"/>
  <c r="AB25" i="1"/>
  <c r="Z25" i="1"/>
  <c r="Z46" i="1"/>
  <c r="Z47" i="1"/>
  <c r="AB105" i="1"/>
  <c r="Z105" i="1"/>
  <c r="AB101" i="1"/>
  <c r="Z101" i="1"/>
  <c r="AA91" i="1"/>
  <c r="Z91" i="1"/>
  <c r="AA81" i="1"/>
  <c r="Z81" i="1"/>
  <c r="AB39" i="1"/>
  <c r="Z39" i="1"/>
  <c r="AB129" i="1"/>
  <c r="Z129" i="1"/>
  <c r="Z45" i="1"/>
  <c r="AA83" i="1"/>
  <c r="Z83" i="1"/>
  <c r="AB90" i="1"/>
  <c r="Z90" i="1"/>
  <c r="AA84" i="1"/>
  <c r="Z84" i="1"/>
  <c r="AB41" i="1"/>
  <c r="Z41" i="1"/>
  <c r="AA79" i="1"/>
  <c r="Z79" i="1"/>
  <c r="AB14" i="1"/>
  <c r="Z14" i="1"/>
  <c r="AB104" i="1"/>
  <c r="AB28" i="1"/>
  <c r="Z28" i="1"/>
  <c r="Z70" i="1"/>
  <c r="Z15" i="1"/>
  <c r="Z59" i="1"/>
  <c r="AB99" i="1"/>
  <c r="Z99" i="1"/>
  <c r="Z56" i="1"/>
  <c r="AA77" i="1"/>
  <c r="Z77" i="1"/>
  <c r="AB98" i="1"/>
  <c r="Z98" i="1"/>
  <c r="AB34" i="1"/>
  <c r="Z34" i="1"/>
  <c r="AB35" i="1"/>
  <c r="Z35" i="1"/>
  <c r="AA85" i="1"/>
  <c r="Z85" i="1"/>
  <c r="AB26" i="1"/>
  <c r="Z26" i="1"/>
  <c r="AA75" i="1"/>
  <c r="Z75" i="1"/>
  <c r="Z52" i="1"/>
  <c r="Z73" i="1"/>
  <c r="AB94" i="1"/>
  <c r="Z94" i="1"/>
  <c r="Z30" i="1"/>
  <c r="AB31" i="1"/>
  <c r="Z31" i="1"/>
  <c r="AA71" i="1"/>
  <c r="Z71" i="1"/>
  <c r="Z69" i="1"/>
  <c r="Z16" i="1"/>
  <c r="AB106" i="1"/>
  <c r="Z106" i="1"/>
  <c r="AB114" i="1"/>
  <c r="AA32" i="1"/>
  <c r="AA19" i="1"/>
  <c r="AA31" i="1"/>
  <c r="AA43" i="1"/>
  <c r="AA106" i="1"/>
  <c r="AA94" i="1"/>
  <c r="AA103" i="1"/>
  <c r="AB70" i="1"/>
  <c r="AB112" i="1"/>
  <c r="AA113" i="1"/>
  <c r="AA100" i="1"/>
  <c r="AA95" i="1"/>
  <c r="AA17" i="1"/>
  <c r="AA105" i="1"/>
  <c r="AB30" i="1"/>
  <c r="AB16" i="1"/>
  <c r="AA99" i="1"/>
  <c r="AA125" i="1"/>
  <c r="AA41" i="1"/>
  <c r="AA90" i="1"/>
  <c r="AA26" i="1"/>
  <c r="AA87" i="1"/>
  <c r="AA23" i="1"/>
  <c r="AA117" i="1"/>
  <c r="AA35" i="1"/>
  <c r="AA109" i="1"/>
  <c r="AA89" i="1"/>
  <c r="AA25" i="1"/>
  <c r="AA96" i="1"/>
  <c r="AA98" i="1"/>
  <c r="AA22" i="1"/>
  <c r="AA102" i="1"/>
  <c r="AA129" i="1"/>
  <c r="AA88" i="1"/>
  <c r="AA14" i="1"/>
  <c r="AA121" i="1"/>
  <c r="AA101" i="1"/>
  <c r="AA70" i="1"/>
  <c r="AA110" i="1"/>
  <c r="AA39" i="1"/>
  <c r="AB20" i="1"/>
  <c r="AA34" i="1"/>
  <c r="AA86" i="1"/>
  <c r="AA97" i="1"/>
  <c r="AA28" i="1"/>
  <c r="AB84" i="1"/>
  <c r="AB73" i="1"/>
  <c r="AB62" i="1"/>
  <c r="AB21" i="1"/>
  <c r="AB92" i="1"/>
  <c r="AB81" i="1"/>
  <c r="AB37" i="1"/>
  <c r="AB53" i="1"/>
  <c r="AB67" i="1"/>
  <c r="AB76" i="1"/>
  <c r="AB44" i="1"/>
  <c r="AB65" i="1"/>
  <c r="AB33" i="1"/>
  <c r="AB55" i="1"/>
  <c r="AB72" i="1"/>
  <c r="AB40" i="1"/>
  <c r="AB93" i="1"/>
  <c r="AB61" i="1"/>
  <c r="AB29" i="1"/>
  <c r="AB82" i="1"/>
  <c r="AB50" i="1"/>
  <c r="AB47" i="1"/>
  <c r="AB63" i="1"/>
  <c r="AB91" i="1"/>
  <c r="AB85" i="1"/>
  <c r="AB122" i="1"/>
  <c r="AB80" i="1"/>
  <c r="AB49" i="1"/>
  <c r="AB59" i="1"/>
  <c r="AB56" i="1"/>
  <c r="AB77" i="1"/>
  <c r="AB45" i="1"/>
  <c r="AB66" i="1"/>
  <c r="AB74" i="1"/>
  <c r="AB75" i="1"/>
  <c r="AB79" i="1"/>
  <c r="AB58" i="1"/>
  <c r="AB51" i="1"/>
  <c r="AB52" i="1"/>
  <c r="AB60" i="1"/>
  <c r="AB15" i="1"/>
  <c r="AB24" i="1"/>
  <c r="AB42" i="1"/>
  <c r="AB83" i="1"/>
  <c r="AB48" i="1"/>
  <c r="AB27" i="1"/>
  <c r="AB111" i="1"/>
  <c r="AB68" i="1"/>
  <c r="AB36" i="1"/>
  <c r="AB57" i="1"/>
  <c r="AB78" i="1"/>
  <c r="AB46" i="1"/>
  <c r="AB71" i="1"/>
  <c r="AB64" i="1"/>
  <c r="AB69" i="1"/>
  <c r="N53" i="1"/>
  <c r="AA53" i="1" s="1"/>
  <c r="N36" i="1"/>
  <c r="AA36" i="1" s="1"/>
  <c r="N37" i="1"/>
  <c r="N38" i="1"/>
  <c r="AA38" i="1" s="1"/>
  <c r="N39" i="1"/>
  <c r="N40" i="1"/>
  <c r="N41" i="1"/>
  <c r="N42" i="1"/>
  <c r="AA42" i="1" s="1"/>
  <c r="N43" i="1"/>
  <c r="N44" i="1"/>
  <c r="N45" i="1"/>
  <c r="AA45" i="1" s="1"/>
  <c r="N46" i="1"/>
  <c r="AA46" i="1" s="1"/>
  <c r="N47" i="1"/>
  <c r="AA47" i="1" s="1"/>
  <c r="N48" i="1"/>
  <c r="AA48" i="1" s="1"/>
  <c r="N49" i="1"/>
  <c r="AA49" i="1" s="1"/>
  <c r="N50" i="1"/>
  <c r="AA50" i="1" s="1"/>
  <c r="N51" i="1"/>
  <c r="AA51" i="1" s="1"/>
  <c r="N52" i="1"/>
  <c r="AA52" i="1" s="1"/>
  <c r="N54" i="1"/>
  <c r="AA54" i="1" s="1"/>
  <c r="N55" i="1"/>
  <c r="AA55" i="1" s="1"/>
  <c r="N56" i="1"/>
  <c r="AA56" i="1" s="1"/>
  <c r="N57" i="1"/>
  <c r="AA57" i="1" s="1"/>
  <c r="N58" i="1"/>
  <c r="AA58" i="1" s="1"/>
  <c r="N59" i="1"/>
  <c r="AA59" i="1" s="1"/>
  <c r="N60" i="1"/>
  <c r="AA60" i="1" s="1"/>
  <c r="N61" i="1"/>
  <c r="AA61" i="1" s="1"/>
  <c r="N62" i="1"/>
  <c r="AA62" i="1" s="1"/>
  <c r="N63" i="1"/>
  <c r="AA63" i="1" s="1"/>
  <c r="N64" i="1"/>
  <c r="AA64" i="1" s="1"/>
  <c r="N65" i="1"/>
  <c r="AA65" i="1" s="1"/>
  <c r="N66" i="1"/>
  <c r="AA66" i="1" s="1"/>
  <c r="N67" i="1"/>
  <c r="AA67" i="1" s="1"/>
  <c r="N68" i="1"/>
  <c r="N69" i="1"/>
  <c r="AA69" i="1" s="1"/>
  <c r="N70" i="1"/>
  <c r="N71" i="1"/>
  <c r="N72" i="1"/>
  <c r="N73" i="1"/>
  <c r="AA73" i="1" s="1"/>
  <c r="N74" i="1"/>
  <c r="N75" i="1"/>
  <c r="N76" i="1"/>
  <c r="N77" i="1"/>
  <c r="N78" i="1"/>
  <c r="N79" i="1"/>
  <c r="N80" i="1"/>
  <c r="N81" i="1"/>
  <c r="N82" i="1"/>
  <c r="AA82" i="1" s="1"/>
  <c r="N83" i="1"/>
  <c r="N84" i="1"/>
  <c r="N85" i="1"/>
  <c r="N35" i="1"/>
  <c r="N20" i="1"/>
  <c r="AA20" i="1" s="1"/>
  <c r="N21" i="1"/>
  <c r="N22" i="1"/>
  <c r="N23" i="1"/>
  <c r="N24" i="1"/>
  <c r="AA24" i="1" s="1"/>
  <c r="N25" i="1"/>
  <c r="N26" i="1"/>
  <c r="N27" i="1"/>
  <c r="N28" i="1"/>
  <c r="N29" i="1"/>
  <c r="AA29" i="1" s="1"/>
  <c r="N30" i="1"/>
  <c r="AA30" i="1" s="1"/>
  <c r="N31" i="1"/>
  <c r="N32" i="1"/>
  <c r="N33" i="1"/>
  <c r="AA33" i="1" s="1"/>
  <c r="N34" i="1"/>
  <c r="N15" i="1"/>
  <c r="AA15" i="1" s="1"/>
  <c r="N16" i="1"/>
  <c r="AA16" i="1" s="1"/>
  <c r="N17" i="1"/>
  <c r="N18" i="1"/>
  <c r="AA18" i="1" s="1"/>
  <c r="N19" i="1"/>
  <c r="N14" i="1"/>
</calcChain>
</file>

<file path=xl/sharedStrings.xml><?xml version="1.0" encoding="utf-8"?>
<sst xmlns="http://schemas.openxmlformats.org/spreadsheetml/2006/main" count="758" uniqueCount="207">
  <si>
    <t>X</t>
  </si>
  <si>
    <t>Y</t>
  </si>
  <si>
    <t>Z</t>
  </si>
  <si>
    <t>2.8</t>
  </si>
  <si>
    <t>3.2</t>
  </si>
  <si>
    <t>3.3</t>
  </si>
  <si>
    <t>3.5</t>
  </si>
  <si>
    <t>3.8</t>
  </si>
  <si>
    <t>3.9</t>
  </si>
  <si>
    <t>Prefix</t>
  </si>
  <si>
    <t>UPF</t>
  </si>
  <si>
    <t>Model #</t>
  </si>
  <si>
    <t>mAh min</t>
  </si>
  <si>
    <t>mAh max</t>
  </si>
  <si>
    <t>4.1</t>
  </si>
  <si>
    <t>4.2</t>
  </si>
  <si>
    <t>4.5</t>
  </si>
  <si>
    <t>4.7</t>
  </si>
  <si>
    <t>5.1</t>
  </si>
  <si>
    <t>5.7</t>
  </si>
  <si>
    <t>6.0</t>
  </si>
  <si>
    <t>6.1</t>
  </si>
  <si>
    <t>6.5</t>
  </si>
  <si>
    <t>6.7</t>
  </si>
  <si>
    <t>8.6</t>
  </si>
  <si>
    <t>xdim:</t>
  </si>
  <si>
    <t>ydim:</t>
  </si>
  <si>
    <t>Type</t>
  </si>
  <si>
    <t>Pouch</t>
  </si>
  <si>
    <t>Prismatic</t>
  </si>
  <si>
    <t>UF</t>
  </si>
  <si>
    <t>7.5</t>
  </si>
  <si>
    <t>4.6</t>
  </si>
  <si>
    <t>5.5</t>
  </si>
  <si>
    <t>5.8</t>
  </si>
  <si>
    <t>7.0</t>
  </si>
  <si>
    <t>5.0</t>
  </si>
  <si>
    <t>6.6</t>
  </si>
  <si>
    <t>10</t>
  </si>
  <si>
    <t>5.9</t>
  </si>
  <si>
    <t>5.3</t>
  </si>
  <si>
    <t>4.9</t>
  </si>
  <si>
    <t>4.3</t>
  </si>
  <si>
    <t>6.3</t>
  </si>
  <si>
    <t>4.0</t>
  </si>
  <si>
    <t>5.6</t>
  </si>
  <si>
    <t>6.2</t>
  </si>
  <si>
    <t>4.8</t>
  </si>
  <si>
    <t>6.4</t>
  </si>
  <si>
    <t>zdim:</t>
  </si>
  <si>
    <t>Vmin</t>
  </si>
  <si>
    <t>Vmax</t>
  </si>
  <si>
    <t>Vnom</t>
  </si>
  <si>
    <t>Manufacturer</t>
  </si>
  <si>
    <t>Panasonic</t>
  </si>
  <si>
    <t>Dow Kokam</t>
  </si>
  <si>
    <t>SLPB</t>
  </si>
  <si>
    <t>SLPB653496H5(iWalk)</t>
  </si>
  <si>
    <t>Cylindrical</t>
  </si>
  <si>
    <t>UR</t>
  </si>
  <si>
    <t>NCR</t>
  </si>
  <si>
    <t>Suffix</t>
  </si>
  <si>
    <t>P</t>
  </si>
  <si>
    <t>L</t>
  </si>
  <si>
    <t>F</t>
  </si>
  <si>
    <t>H</t>
  </si>
  <si>
    <t>ZY</t>
  </si>
  <si>
    <t>E</t>
  </si>
  <si>
    <t>EA</t>
  </si>
  <si>
    <t>A</t>
  </si>
  <si>
    <t>B</t>
  </si>
  <si>
    <t>D</t>
  </si>
  <si>
    <t>18</t>
  </si>
  <si>
    <t>14</t>
  </si>
  <si>
    <t>ZT</t>
  </si>
  <si>
    <t>ZTA</t>
  </si>
  <si>
    <t>16</t>
  </si>
  <si>
    <t>S</t>
  </si>
  <si>
    <t>SA</t>
  </si>
  <si>
    <t>AX</t>
  </si>
  <si>
    <t>W</t>
  </si>
  <si>
    <t>WX</t>
  </si>
  <si>
    <t>R</t>
  </si>
  <si>
    <t>RX</t>
  </si>
  <si>
    <t>U</t>
  </si>
  <si>
    <t>Pack Energy (Wh)</t>
  </si>
  <si>
    <t>Pack Target Specs:</t>
  </si>
  <si>
    <t>#Cells in Pack</t>
  </si>
  <si>
    <t>Status</t>
  </si>
  <si>
    <t>series</t>
  </si>
  <si>
    <t>parallel</t>
  </si>
  <si>
    <t>total cells</t>
  </si>
  <si>
    <t>effective energy</t>
  </si>
  <si>
    <t>Rank</t>
  </si>
  <si>
    <t>Description</t>
  </si>
  <si>
    <t>Pass #1: Cell Sizing</t>
  </si>
  <si>
    <t>Pass #2: Pack Construction</t>
  </si>
  <si>
    <t>Current @1C (A)</t>
  </si>
  <si>
    <t>Voltage (V)</t>
  </si>
  <si>
    <t>Results</t>
  </si>
  <si>
    <t>Andy's Battery Pack Fitting Tool</t>
  </si>
  <si>
    <t>Notes</t>
  </si>
  <si>
    <t>Disch C (cont)</t>
  </si>
  <si>
    <t>Current @MaxC (A)</t>
  </si>
  <si>
    <t>Vmin:</t>
  </si>
  <si>
    <t>Vmax:</t>
  </si>
  <si>
    <t>mm</t>
  </si>
  <si>
    <t>Wh</t>
  </si>
  <si>
    <t>V</t>
  </si>
  <si>
    <t>Energy:</t>
  </si>
  <si>
    <t>Imax (cont):</t>
  </si>
  <si>
    <t>Imax (pulse):</t>
  </si>
  <si>
    <t>Pulse Duration:</t>
  </si>
  <si>
    <t>ms</t>
  </si>
  <si>
    <t>Mark to save (use "x")</t>
  </si>
  <si>
    <t>Boston Power</t>
  </si>
  <si>
    <t xml:space="preserve">Swing </t>
  </si>
  <si>
    <t>Sonata</t>
  </si>
  <si>
    <t>Swing 5300</t>
  </si>
  <si>
    <t>Sonata 5300</t>
  </si>
  <si>
    <t>Energy Density (Wh/L)</t>
  </si>
  <si>
    <t>Energy Density (Wh/g)</t>
  </si>
  <si>
    <t>Optimizing for VOLUME</t>
  </si>
  <si>
    <t>Filters</t>
  </si>
  <si>
    <t>Database structure:</t>
  </si>
  <si>
    <t>Table</t>
  </si>
  <si>
    <t>batdes_cells</t>
  </si>
  <si>
    <t>Field name</t>
  </si>
  <si>
    <t>Data type</t>
  </si>
  <si>
    <t>Units</t>
  </si>
  <si>
    <t>batdes_designs</t>
  </si>
  <si>
    <t>batdes_protectors</t>
  </si>
  <si>
    <t>id</t>
  </si>
  <si>
    <t>v_nom</t>
  </si>
  <si>
    <t>v_max</t>
  </si>
  <si>
    <t>v_min</t>
  </si>
  <si>
    <t>double</t>
  </si>
  <si>
    <t>ah_nom</t>
  </si>
  <si>
    <t>ah_min</t>
  </si>
  <si>
    <t>ah_max</t>
  </si>
  <si>
    <t>Ah</t>
  </si>
  <si>
    <t>dim_x</t>
  </si>
  <si>
    <t>dim_y</t>
  </si>
  <si>
    <t>dim_z</t>
  </si>
  <si>
    <t>manf</t>
  </si>
  <si>
    <t>varchar</t>
  </si>
  <si>
    <t>int</t>
  </si>
  <si>
    <t>batdes_cus</t>
  </si>
  <si>
    <t>auto</t>
  </si>
  <si>
    <t>formfactor</t>
  </si>
  <si>
    <t>i_cont</t>
  </si>
  <si>
    <t>i_pulse</t>
  </si>
  <si>
    <t>i_pulse_dur</t>
  </si>
  <si>
    <t>sec</t>
  </si>
  <si>
    <t>chemistry</t>
  </si>
  <si>
    <t>boolean</t>
  </si>
  <si>
    <t>cellid</t>
  </si>
  <si>
    <t>numpar</t>
  </si>
  <si>
    <t>numser</t>
  </si>
  <si>
    <t>protid</t>
  </si>
  <si>
    <t>protqty</t>
  </si>
  <si>
    <t>cusid</t>
  </si>
  <si>
    <t>quotenum</t>
  </si>
  <si>
    <t>notes</t>
  </si>
  <si>
    <t>text</t>
  </si>
  <si>
    <t>cell_v_min</t>
  </si>
  <si>
    <t>cell_v_max</t>
  </si>
  <si>
    <t>datasheet_url</t>
  </si>
  <si>
    <t>nrnd</t>
  </si>
  <si>
    <t>as400_cusnum</t>
  </si>
  <si>
    <t>insidesales</t>
  </si>
  <si>
    <t>temp_op_max</t>
  </si>
  <si>
    <t>C</t>
  </si>
  <si>
    <t>temp_op_min</t>
  </si>
  <si>
    <t>temp_st_max</t>
  </si>
  <si>
    <t>temp_st_min</t>
  </si>
  <si>
    <t>i_dis_cont</t>
  </si>
  <si>
    <t>i_dis_pulse</t>
  </si>
  <si>
    <t>i_dis_pulse_dur</t>
  </si>
  <si>
    <t>i_chg_cont</t>
  </si>
  <si>
    <t>i_chg_pulse</t>
  </si>
  <si>
    <t>i_chg_pulse_dur</t>
  </si>
  <si>
    <t>temp_ah_curve</t>
  </si>
  <si>
    <t>temp_v_curve</t>
  </si>
  <si>
    <t>Units/nots</t>
  </si>
  <si>
    <t>could be lookup</t>
  </si>
  <si>
    <t>iec62133-1_cert</t>
  </si>
  <si>
    <t>iec62133-2_cert</t>
  </si>
  <si>
    <t>datasheet_url1</t>
  </si>
  <si>
    <t>datasheet_url2</t>
  </si>
  <si>
    <t>y=f(t)</t>
  </si>
  <si>
    <t>date_created</t>
  </si>
  <si>
    <t>date</t>
  </si>
  <si>
    <t>date_modified</t>
  </si>
  <si>
    <t>num_x</t>
  </si>
  <si>
    <t>num_y</t>
  </si>
  <si>
    <t>num_z</t>
  </si>
  <si>
    <t>energy</t>
  </si>
  <si>
    <t>isvalid</t>
  </si>
  <si>
    <t>time_op_min</t>
  </si>
  <si>
    <t>min</t>
  </si>
  <si>
    <t>time_st_max</t>
  </si>
  <si>
    <t>months</t>
  </si>
  <si>
    <t>weight_max</t>
  </si>
  <si>
    <t>kg</t>
  </si>
  <si>
    <t>name</t>
  </si>
  <si>
    <t>name_oem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</si>
</sst>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20"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8"/>
  <sheetViews>
    <sheetView workbookViewId="0">
      <pane ySplit="13" topLeftCell="A98" activePane="bottomLeft" state="frozen"/>
      <selection pane="bottomLeft" activeCell="F126" sqref="F126"/>
    </sheetView>
  </sheetViews>
  <sheetFormatPr defaultRowHeight="15" x14ac:dyDescent="0.25"/>
  <cols>
    <col min="1" max="1" width="18.140625" customWidth="1"/>
    <col min="5" max="5" width="9.140625" style="2" customWidth="1"/>
    <col min="6" max="13" width="9.140625" customWidth="1"/>
    <col min="14" max="14" width="18.140625" customWidth="1"/>
    <col min="15" max="16" width="11.7109375" customWidth="1"/>
    <col min="17" max="17" width="9.140625" style="14"/>
    <col min="18" max="18" width="9.5703125" bestFit="1" customWidth="1"/>
    <col min="19" max="19" width="9.5703125" style="14" customWidth="1"/>
    <col min="20" max="22" width="9.140625" style="14"/>
    <col min="23" max="23" width="9.5703125" bestFit="1" customWidth="1"/>
    <col min="27" max="27" width="94.85546875" style="1" bestFit="1" customWidth="1"/>
    <col min="28" max="28" width="9.140625" style="14"/>
    <col min="29" max="29" width="12" style="14" customWidth="1"/>
    <col min="30" max="30" width="54.85546875" bestFit="1" customWidth="1"/>
  </cols>
  <sheetData>
    <row r="1" spans="1:30" ht="18.75" x14ac:dyDescent="0.3">
      <c r="A1" s="7" t="s">
        <v>100</v>
      </c>
      <c r="E1" s="2" t="s">
        <v>122</v>
      </c>
      <c r="V1" s="28"/>
    </row>
    <row r="2" spans="1:30" ht="18.75" x14ac:dyDescent="0.3">
      <c r="A2" s="7"/>
      <c r="B2" s="5" t="s">
        <v>86</v>
      </c>
      <c r="M2" s="4"/>
      <c r="R2" s="4"/>
      <c r="S2" s="15"/>
      <c r="U2" s="4" t="s">
        <v>123</v>
      </c>
      <c r="V2" s="28"/>
    </row>
    <row r="3" spans="1:30" ht="18.75" x14ac:dyDescent="0.3">
      <c r="A3" s="6" t="s">
        <v>25</v>
      </c>
      <c r="B3" s="4">
        <v>100</v>
      </c>
      <c r="C3" s="6" t="s">
        <v>106</v>
      </c>
      <c r="D3" s="4"/>
      <c r="E3" s="26"/>
      <c r="F3" s="4"/>
      <c r="G3" s="6"/>
      <c r="H3" s="4"/>
      <c r="I3" s="6"/>
      <c r="J3" s="4"/>
      <c r="K3" s="6"/>
      <c r="L3" s="4"/>
      <c r="M3" s="4"/>
      <c r="N3" s="6"/>
      <c r="O3" s="6"/>
      <c r="P3" s="6"/>
      <c r="Q3" s="4"/>
      <c r="R3" s="4"/>
      <c r="S3" s="26"/>
      <c r="U3" s="4">
        <v>1</v>
      </c>
      <c r="V3" s="28" t="s">
        <v>58</v>
      </c>
    </row>
    <row r="4" spans="1:30" ht="18.75" x14ac:dyDescent="0.3">
      <c r="A4" s="6" t="s">
        <v>26</v>
      </c>
      <c r="B4" s="4">
        <v>100</v>
      </c>
      <c r="C4" s="6" t="s">
        <v>106</v>
      </c>
      <c r="D4" s="4"/>
      <c r="E4" s="6"/>
      <c r="F4" s="4"/>
      <c r="G4" s="6"/>
      <c r="H4" s="4"/>
      <c r="I4" s="6"/>
      <c r="J4" s="4"/>
      <c r="K4" s="6"/>
      <c r="L4" s="4"/>
      <c r="M4" s="4"/>
      <c r="N4" s="6"/>
      <c r="O4" s="6"/>
      <c r="P4" s="6"/>
      <c r="Q4" s="4"/>
      <c r="R4" s="4"/>
      <c r="S4" s="26"/>
      <c r="U4" s="4">
        <v>1</v>
      </c>
      <c r="V4" s="28" t="s">
        <v>29</v>
      </c>
    </row>
    <row r="5" spans="1:30" ht="18.75" x14ac:dyDescent="0.3">
      <c r="A5" s="6" t="s">
        <v>49</v>
      </c>
      <c r="B5" s="4">
        <v>100</v>
      </c>
      <c r="C5" s="6" t="s">
        <v>106</v>
      </c>
      <c r="D5" s="4"/>
      <c r="E5" s="6"/>
      <c r="F5" s="4"/>
      <c r="G5" s="6"/>
      <c r="H5" s="4"/>
      <c r="I5" s="6"/>
      <c r="J5" s="4"/>
      <c r="K5" s="6"/>
      <c r="L5" s="4"/>
      <c r="M5" s="4"/>
      <c r="N5" s="6"/>
      <c r="O5" s="6"/>
      <c r="P5" s="6"/>
      <c r="Q5" s="4"/>
      <c r="R5" s="4"/>
      <c r="S5" s="26"/>
      <c r="U5" s="4">
        <v>1</v>
      </c>
      <c r="V5" s="28" t="s">
        <v>28</v>
      </c>
    </row>
    <row r="6" spans="1:30" ht="18.75" x14ac:dyDescent="0.3">
      <c r="A6" s="6" t="s">
        <v>109</v>
      </c>
      <c r="B6" s="4">
        <v>15</v>
      </c>
      <c r="C6" s="6" t="s">
        <v>107</v>
      </c>
      <c r="D6" s="4"/>
      <c r="E6" s="6"/>
      <c r="F6" s="4"/>
      <c r="G6" s="6"/>
      <c r="H6" s="4"/>
      <c r="I6" s="6"/>
      <c r="J6" s="4"/>
      <c r="K6" s="6"/>
      <c r="L6" s="4"/>
      <c r="M6" s="4"/>
      <c r="N6" s="6"/>
      <c r="O6" s="6"/>
      <c r="P6" s="6"/>
      <c r="Q6" s="4"/>
      <c r="R6" s="4"/>
      <c r="S6" s="26"/>
      <c r="U6" s="4"/>
      <c r="V6" s="28"/>
    </row>
    <row r="7" spans="1:30" ht="18.75" x14ac:dyDescent="0.3">
      <c r="A7" s="6" t="s">
        <v>104</v>
      </c>
      <c r="B7" s="4">
        <v>11</v>
      </c>
      <c r="C7" s="6" t="s">
        <v>108</v>
      </c>
      <c r="D7" s="4"/>
      <c r="E7" s="6"/>
      <c r="F7" s="4"/>
      <c r="G7" s="6"/>
      <c r="H7" s="4"/>
      <c r="I7" s="6"/>
      <c r="J7" s="4"/>
      <c r="K7" s="6"/>
      <c r="L7" s="4"/>
      <c r="M7" s="4"/>
      <c r="N7" s="6"/>
      <c r="O7" s="6"/>
      <c r="P7" s="6"/>
      <c r="Q7" s="4"/>
      <c r="R7" s="4"/>
      <c r="S7" s="27"/>
      <c r="U7" s="4"/>
      <c r="V7" s="28"/>
    </row>
    <row r="8" spans="1:30" ht="18.75" x14ac:dyDescent="0.3">
      <c r="A8" s="6" t="s">
        <v>105</v>
      </c>
      <c r="B8" s="4">
        <v>14.8</v>
      </c>
      <c r="C8" s="6" t="s">
        <v>108</v>
      </c>
      <c r="D8" s="4"/>
      <c r="E8" s="6"/>
      <c r="F8" s="4"/>
      <c r="G8" s="6"/>
      <c r="H8" s="4"/>
      <c r="I8" s="6"/>
      <c r="J8" s="4"/>
      <c r="K8" s="6"/>
      <c r="L8" s="4"/>
      <c r="M8" s="4"/>
      <c r="N8" s="6"/>
      <c r="O8" s="6"/>
      <c r="P8" s="6"/>
      <c r="Q8" s="4"/>
      <c r="R8" s="4"/>
      <c r="S8" s="27"/>
      <c r="U8" s="4"/>
      <c r="V8" s="28"/>
    </row>
    <row r="9" spans="1:30" ht="18.75" x14ac:dyDescent="0.3">
      <c r="A9" s="6" t="s">
        <v>110</v>
      </c>
      <c r="B9" s="4">
        <v>4</v>
      </c>
      <c r="C9" s="6" t="s">
        <v>69</v>
      </c>
      <c r="D9" s="4"/>
      <c r="E9" s="6"/>
      <c r="F9" s="4"/>
      <c r="G9" s="6"/>
      <c r="H9" s="4"/>
      <c r="I9" s="6"/>
      <c r="J9" s="4"/>
      <c r="K9" s="6"/>
      <c r="L9" s="4"/>
      <c r="M9" s="4"/>
      <c r="N9" s="6"/>
      <c r="O9" s="6"/>
      <c r="P9" s="6"/>
      <c r="Q9" s="4"/>
      <c r="R9" s="4"/>
      <c r="S9" s="27"/>
      <c r="U9" s="4"/>
      <c r="V9" s="28"/>
    </row>
    <row r="10" spans="1:30" ht="18.75" x14ac:dyDescent="0.3">
      <c r="A10" s="6" t="s">
        <v>111</v>
      </c>
      <c r="B10" s="4">
        <v>7</v>
      </c>
      <c r="C10" s="6" t="s">
        <v>69</v>
      </c>
      <c r="D10" s="4"/>
      <c r="E10" s="6"/>
      <c r="F10" s="4"/>
      <c r="G10" s="6"/>
      <c r="H10" s="4"/>
      <c r="I10" s="6"/>
      <c r="J10" s="4"/>
      <c r="K10" s="6"/>
      <c r="L10" s="4"/>
      <c r="M10" s="4"/>
      <c r="N10" s="6"/>
      <c r="O10" s="6"/>
      <c r="P10" s="6"/>
      <c r="Q10" s="4"/>
      <c r="R10" s="4"/>
      <c r="S10" s="27"/>
      <c r="U10" s="4"/>
      <c r="V10" s="28"/>
    </row>
    <row r="11" spans="1:30" ht="19.5" thickBot="1" x14ac:dyDescent="0.35">
      <c r="A11" s="6" t="s">
        <v>112</v>
      </c>
      <c r="B11" s="4">
        <v>12000</v>
      </c>
      <c r="C11" s="6" t="s">
        <v>113</v>
      </c>
      <c r="D11" s="4"/>
      <c r="E11" s="6"/>
      <c r="F11" s="4"/>
      <c r="G11" s="6"/>
      <c r="H11" s="4"/>
      <c r="I11" s="6"/>
      <c r="J11" s="4"/>
      <c r="K11" s="6"/>
      <c r="L11" s="4"/>
      <c r="M11" s="4"/>
      <c r="N11" s="6"/>
      <c r="O11" s="6"/>
      <c r="P11" s="6"/>
      <c r="Q11" s="4"/>
      <c r="R11" s="4"/>
      <c r="S11" s="15"/>
    </row>
    <row r="12" spans="1:30" ht="19.5" thickBot="1" x14ac:dyDescent="0.35">
      <c r="C12" s="6"/>
      <c r="D12" s="4"/>
      <c r="E12" s="6"/>
      <c r="F12" s="4"/>
      <c r="G12" s="6"/>
      <c r="H12" s="4"/>
      <c r="I12" s="6"/>
      <c r="J12" s="4"/>
      <c r="K12" s="6"/>
      <c r="L12" s="4"/>
      <c r="M12" s="4"/>
      <c r="N12" s="6"/>
      <c r="O12" s="6"/>
      <c r="P12" s="6"/>
      <c r="Q12" s="16" t="s">
        <v>95</v>
      </c>
      <c r="R12" s="17"/>
      <c r="S12" s="23"/>
      <c r="T12" s="18" t="s">
        <v>96</v>
      </c>
      <c r="U12" s="19"/>
      <c r="V12" s="19"/>
      <c r="W12" s="21"/>
      <c r="X12" s="21"/>
      <c r="Y12" s="21"/>
      <c r="Z12" s="20"/>
      <c r="AA12" s="18" t="s">
        <v>99</v>
      </c>
      <c r="AB12" s="22"/>
      <c r="AC12" s="25"/>
    </row>
    <row r="13" spans="1:30" s="13" customFormat="1" ht="45" x14ac:dyDescent="0.25">
      <c r="A13" s="10" t="s">
        <v>53</v>
      </c>
      <c r="B13" s="11" t="s">
        <v>27</v>
      </c>
      <c r="C13" s="11" t="s">
        <v>9</v>
      </c>
      <c r="D13" s="11" t="s">
        <v>61</v>
      </c>
      <c r="E13" s="12" t="s">
        <v>0</v>
      </c>
      <c r="F13" s="11" t="s">
        <v>1</v>
      </c>
      <c r="G13" s="11" t="s">
        <v>2</v>
      </c>
      <c r="H13" s="11" t="s">
        <v>12</v>
      </c>
      <c r="I13" s="11" t="s">
        <v>13</v>
      </c>
      <c r="J13" s="11" t="s">
        <v>50</v>
      </c>
      <c r="K13" s="11" t="s">
        <v>52</v>
      </c>
      <c r="L13" s="11" t="s">
        <v>51</v>
      </c>
      <c r="M13" s="11" t="s">
        <v>102</v>
      </c>
      <c r="N13" s="11" t="s">
        <v>11</v>
      </c>
      <c r="O13" s="11" t="s">
        <v>121</v>
      </c>
      <c r="P13" s="11" t="s">
        <v>120</v>
      </c>
      <c r="Q13" s="11" t="s">
        <v>87</v>
      </c>
      <c r="R13" s="11" t="s">
        <v>85</v>
      </c>
      <c r="S13" s="11" t="s">
        <v>88</v>
      </c>
      <c r="T13" s="11" t="s">
        <v>89</v>
      </c>
      <c r="U13" s="11" t="s">
        <v>90</v>
      </c>
      <c r="V13" s="11" t="s">
        <v>91</v>
      </c>
      <c r="W13" s="11" t="s">
        <v>92</v>
      </c>
      <c r="X13" s="11" t="s">
        <v>97</v>
      </c>
      <c r="Y13" s="11" t="s">
        <v>103</v>
      </c>
      <c r="Z13" s="11" t="s">
        <v>98</v>
      </c>
      <c r="AA13" s="11" t="s">
        <v>94</v>
      </c>
      <c r="AB13" s="11" t="s">
        <v>93</v>
      </c>
      <c r="AC13" s="11" t="s">
        <v>114</v>
      </c>
      <c r="AD13" s="24" t="s">
        <v>101</v>
      </c>
    </row>
    <row r="14" spans="1:30" x14ac:dyDescent="0.25">
      <c r="A14" t="s">
        <v>54</v>
      </c>
      <c r="B14" t="s">
        <v>28</v>
      </c>
      <c r="C14" t="s">
        <v>10</v>
      </c>
      <c r="E14" s="2" t="s">
        <v>3</v>
      </c>
      <c r="F14">
        <v>65</v>
      </c>
      <c r="G14">
        <v>114</v>
      </c>
      <c r="H14">
        <v>2340</v>
      </c>
      <c r="I14">
        <v>2410</v>
      </c>
      <c r="J14" s="9">
        <v>2.75</v>
      </c>
      <c r="K14" s="9">
        <v>3.7</v>
      </c>
      <c r="L14" s="9">
        <v>4.2</v>
      </c>
      <c r="M14" s="9">
        <v>2</v>
      </c>
      <c r="N14" t="str">
        <f t="shared" ref="N14:N52" si="0">C14&amp;(E14*10)&amp;F14&amp;G14</f>
        <v>UPF2865114</v>
      </c>
      <c r="Q14" s="14">
        <f>MAX(IF(AND(FLOOR($B$3/E14,1)&gt;0,FLOOR($B$3/F14,1)&gt;0,FLOOR($B$4/G14,1)&gt;0),FLOOR($B$5/E14,1)*FLOOR($B$3/F14,1)*FLOOR($B$4/G14,1),0),IF(AND(FLOOR($B$3/E14,1)&gt;0,FLOOR($B$3/G14,1)&gt;0,FLOOR($B$4/F14,1)&gt;0),FLOOR($B$5/E14,1)*FLOOR($B$3/G14,1)*FLOOR($B$4/F14,1),0),IF(AND(FLOOR($B$3/F14,1)&gt;0,FLOOR($B$3/E14,1)&gt;0,FLOOR($B$4/G14,1)&gt;0),FLOOR($B$5/F14,1)*FLOOR($B$3/E14,1)*FLOOR($B$4/G14,1),0),IF(AND(FLOOR($B$3/F14,1)&gt;0,FLOOR($B$3/G14,1)&gt;0,FLOOR($B$4/E14,1)&gt;0),FLOOR($B$5/F14,1)*FLOOR($B$3/G14,1)*FLOOR($B$4/E14,1),0),IF(AND(FLOOR($B$3/G14,1)&gt;0,FLOOR($B$3/E14,1)&gt;0,FLOOR($B$4/F14,1)&gt;0),FLOOR($B$5/G14,1)*FLOOR($B$3/E14,1)*FLOOR($B$4/F14,1),0),IF(AND(FLOOR($B$3/G14,1)&gt;0,FLOOR($B$3/F14,1)&gt;0,FLOOR($B$4/E14,1)&gt;0),FLOOR($B$5/G14,1)*FLOOR($B$3/F14,1)*FLOOR($B$4/E14,1),0))</f>
        <v>0</v>
      </c>
      <c r="R14" s="9" t="str">
        <f t="shared" ref="R14:R45" si="1">IF(AND(Q14&gt;0,((K14*H14*Q14)/1000)&gt;=$B$6),(K14*H14*Q14)/1000,"")</f>
        <v/>
      </c>
      <c r="S14" s="14" t="str">
        <f t="shared" ref="S14:S45" si="2">IF(Q14=0,"TOO BIG",IF((K14*H14*Q14)/1000&lt;$B$6,"ENERGY TOO LOW","FIT"))</f>
        <v>TOO BIG</v>
      </c>
      <c r="T14" s="14">
        <f t="shared" ref="T14:T77" si="3">IF(AND(Q14&lt;(IF(FLOOR($B$8/K14,1)*L14&gt;=$B$7,FLOOR($B$8/L14,1),FLOOR($B$8/K14,1))),Q14&gt;0),IF(Q14*K14&gt;=$B$7,Q14,0),(IF(FLOOR($B$8/K14,1)*L14&gt;=$B$7,FLOOR($B$8/L14,1),FLOOR($B$8/K14,1))))</f>
        <v>3</v>
      </c>
      <c r="U14" s="14">
        <f>IF(T14&gt;0,FLOOR(Q14/T14,1),0)</f>
        <v>0</v>
      </c>
      <c r="V14" s="14">
        <f>IF(OR(AND($U$3=1,B14=$V$3),AND($U$4=1,B14=$V$4),AND($U$5=1,B14=$V$5)),T14*U14,0)</f>
        <v>0</v>
      </c>
      <c r="W14" s="9" t="str">
        <f t="shared" ref="W14:W45" si="4">IF(AND(V14&gt;0,((K14*H14*V14)/1000)&gt;=$B$6),(K14*H14*V14)/1000,"")</f>
        <v/>
      </c>
      <c r="X14" s="9" t="str">
        <f>IF($W14="","",$U14*$I14/1000)</f>
        <v/>
      </c>
      <c r="Y14" s="9" t="str">
        <f>IF($W14="","",$M14*$U14*$I14/1000)</f>
        <v/>
      </c>
      <c r="Z14" s="9" t="str">
        <f t="shared" ref="Z14:Z45" si="5">IF(W14="","",T14*K14)</f>
        <v/>
      </c>
      <c r="AA14" s="1" t="str">
        <f t="shared" ref="AA14:AA45" si="6">IF(AND(V14&gt;0,NOT(W14="")),A14&amp;" "&amp;N14&amp;" "&amp;B14&amp;" cells in a "&amp;T14&amp;"s"&amp;U14&amp;"p arrangement for a total of "&amp;U14*H14/1000&amp;" Ah at "&amp;T14*K14&amp;" V nominal","")</f>
        <v/>
      </c>
      <c r="AB14" s="14" t="str">
        <f>IF(W14="","",RANK(W14,$W$13:$W$1008,0))</f>
        <v/>
      </c>
    </row>
    <row r="15" spans="1:30" x14ac:dyDescent="0.25">
      <c r="A15" t="s">
        <v>54</v>
      </c>
      <c r="B15" t="s">
        <v>28</v>
      </c>
      <c r="C15" t="s">
        <v>10</v>
      </c>
      <c r="E15" s="2" t="s">
        <v>4</v>
      </c>
      <c r="F15">
        <v>49</v>
      </c>
      <c r="G15">
        <v>94</v>
      </c>
      <c r="H15">
        <v>1550</v>
      </c>
      <c r="I15">
        <v>1600</v>
      </c>
      <c r="J15" s="9">
        <v>2.75</v>
      </c>
      <c r="K15" s="9">
        <v>3.7</v>
      </c>
      <c r="L15" s="9">
        <v>4.2</v>
      </c>
      <c r="M15" s="9">
        <v>2</v>
      </c>
      <c r="N15" t="str">
        <f t="shared" si="0"/>
        <v>UPF324994</v>
      </c>
      <c r="Q15" s="14">
        <f t="shared" ref="Q15:Q78" si="7">MAX(IF(AND(FLOOR($B$3/E15,1)&gt;0,FLOOR($B$3/F15,1)&gt;0,FLOOR($B$4/G15,1)&gt;0),FLOOR($B$5/E15,1)*FLOOR($B$3/F15,1)*FLOOR($B$4/G15,1),0),IF(AND(FLOOR($B$3/E15,1)&gt;0,FLOOR($B$3/G15,1)&gt;0,FLOOR($B$4/F15,1)&gt;0),FLOOR($B$5/E15,1)*FLOOR($B$3/G15,1)*FLOOR($B$4/F15,1),0),IF(AND(FLOOR($B$3/F15,1)&gt;0,FLOOR($B$3/E15,1)&gt;0,FLOOR($B$4/G15,1)&gt;0),FLOOR($B$5/F15,1)*FLOOR($B$3/E15,1)*FLOOR($B$4/G15,1),0),IF(AND(FLOOR($B$3/F15,1)&gt;0,FLOOR($B$3/G15,1)&gt;0,FLOOR($B$4/E15,1)&gt;0),FLOOR($B$5/F15,1)*FLOOR($B$3/G15,1)*FLOOR($B$4/E15,1),0),IF(AND(FLOOR($B$3/G15,1)&gt;0,FLOOR($B$3/E15,1)&gt;0,FLOOR($B$4/F15,1)&gt;0),FLOOR($B$5/G15,1)*FLOOR($B$3/E15,1)*FLOOR($B$4/F15,1),0),IF(AND(FLOOR($B$3/G15,1)&gt;0,FLOOR($B$3/F15,1)&gt;0,FLOOR($B$4/E15,1)&gt;0),FLOOR($B$5/G15,1)*FLOOR($B$3/F15,1)*FLOOR($B$4/E15,1),0))</f>
        <v>62</v>
      </c>
      <c r="R15" s="9">
        <f t="shared" si="1"/>
        <v>355.57</v>
      </c>
      <c r="S15" s="14" t="str">
        <f t="shared" si="2"/>
        <v>FIT</v>
      </c>
      <c r="T15" s="14">
        <f t="shared" si="3"/>
        <v>3</v>
      </c>
      <c r="U15" s="14">
        <f t="shared" ref="U15:U78" si="8">IF(T15&gt;0,FLOOR(Q15/T15,1),0)</f>
        <v>20</v>
      </c>
      <c r="V15" s="14">
        <f t="shared" ref="V15:V78" si="9">IF(OR(AND($U$3=1,B15=$V$3),AND($U$4=1,B15=$V$4),AND($U$5=1,B15=$V$5)),T15*U15,0)</f>
        <v>60</v>
      </c>
      <c r="W15" s="9">
        <f t="shared" si="4"/>
        <v>344.1</v>
      </c>
      <c r="X15" s="9">
        <f t="shared" ref="X15:X78" si="10">IF($W15="","",$U15*$I15/1000)</f>
        <v>32</v>
      </c>
      <c r="Y15" s="9">
        <f t="shared" ref="Y15:Y78" si="11">IF($W15="","",$M15*$U15*$I15/1000)</f>
        <v>64</v>
      </c>
      <c r="Z15" s="9">
        <f t="shared" si="5"/>
        <v>11.100000000000001</v>
      </c>
      <c r="AA15" s="1" t="str">
        <f t="shared" si="6"/>
        <v>Panasonic UPF324994 Pouch cells in a 3s20p arrangement for a total of 31 Ah at 11.1 V nominal</v>
      </c>
      <c r="AB15" s="14">
        <f t="shared" ref="AB15:AB78" si="12">IF(W15="","",RANK(W15,$W$13:$W$1008,0))</f>
        <v>4</v>
      </c>
    </row>
    <row r="16" spans="1:30" x14ac:dyDescent="0.25">
      <c r="A16" t="s">
        <v>54</v>
      </c>
      <c r="B16" t="s">
        <v>28</v>
      </c>
      <c r="C16" t="s">
        <v>10</v>
      </c>
      <c r="E16" s="2" t="s">
        <v>5</v>
      </c>
      <c r="F16">
        <v>64</v>
      </c>
      <c r="G16">
        <v>89</v>
      </c>
      <c r="H16">
        <v>1720</v>
      </c>
      <c r="I16">
        <v>1800</v>
      </c>
      <c r="J16" s="9">
        <v>2.75</v>
      </c>
      <c r="K16" s="9">
        <v>3.7</v>
      </c>
      <c r="L16" s="9">
        <v>4.2</v>
      </c>
      <c r="M16" s="9">
        <v>2</v>
      </c>
      <c r="N16" t="str">
        <f t="shared" si="0"/>
        <v>UPF336489</v>
      </c>
      <c r="Q16" s="14">
        <f t="shared" si="7"/>
        <v>30</v>
      </c>
      <c r="R16" s="9">
        <f t="shared" si="1"/>
        <v>190.92</v>
      </c>
      <c r="S16" s="14" t="str">
        <f t="shared" si="2"/>
        <v>FIT</v>
      </c>
      <c r="T16" s="14">
        <f t="shared" si="3"/>
        <v>3</v>
      </c>
      <c r="U16" s="14">
        <f t="shared" si="8"/>
        <v>10</v>
      </c>
      <c r="V16" s="14">
        <f t="shared" si="9"/>
        <v>30</v>
      </c>
      <c r="W16" s="9">
        <f t="shared" si="4"/>
        <v>190.92</v>
      </c>
      <c r="X16" s="9">
        <f t="shared" si="10"/>
        <v>18</v>
      </c>
      <c r="Y16" s="9">
        <f t="shared" si="11"/>
        <v>36</v>
      </c>
      <c r="Z16" s="9">
        <f t="shared" si="5"/>
        <v>11.100000000000001</v>
      </c>
      <c r="AA16" s="1" t="str">
        <f t="shared" si="6"/>
        <v>Panasonic UPF336489 Pouch cells in a 3s10p arrangement for a total of 17.2 Ah at 11.1 V nominal</v>
      </c>
      <c r="AB16" s="14">
        <f t="shared" si="12"/>
        <v>82</v>
      </c>
    </row>
    <row r="17" spans="1:28" x14ac:dyDescent="0.25">
      <c r="A17" t="s">
        <v>54</v>
      </c>
      <c r="B17" t="s">
        <v>28</v>
      </c>
      <c r="C17" t="s">
        <v>10</v>
      </c>
      <c r="E17" s="2" t="s">
        <v>6</v>
      </c>
      <c r="F17">
        <v>67</v>
      </c>
      <c r="G17">
        <v>90</v>
      </c>
      <c r="H17">
        <v>2310</v>
      </c>
      <c r="I17">
        <v>2400</v>
      </c>
      <c r="J17" s="9">
        <v>2.75</v>
      </c>
      <c r="K17" s="9">
        <v>3.7</v>
      </c>
      <c r="L17" s="9">
        <v>4.2</v>
      </c>
      <c r="M17" s="9">
        <v>2</v>
      </c>
      <c r="N17" t="str">
        <f t="shared" si="0"/>
        <v>UPF356790</v>
      </c>
      <c r="Q17" s="14">
        <f t="shared" si="7"/>
        <v>28</v>
      </c>
      <c r="R17" s="9">
        <f t="shared" si="1"/>
        <v>239.316</v>
      </c>
      <c r="S17" s="14" t="str">
        <f t="shared" si="2"/>
        <v>FIT</v>
      </c>
      <c r="T17" s="14">
        <f t="shared" si="3"/>
        <v>3</v>
      </c>
      <c r="U17" s="14">
        <f t="shared" si="8"/>
        <v>9</v>
      </c>
      <c r="V17" s="14">
        <f t="shared" si="9"/>
        <v>27</v>
      </c>
      <c r="W17" s="9">
        <f t="shared" si="4"/>
        <v>230.76900000000001</v>
      </c>
      <c r="X17" s="9">
        <f t="shared" si="10"/>
        <v>21.6</v>
      </c>
      <c r="Y17" s="9">
        <f t="shared" si="11"/>
        <v>43.2</v>
      </c>
      <c r="Z17" s="9">
        <f t="shared" si="5"/>
        <v>11.100000000000001</v>
      </c>
      <c r="AA17" s="1" t="str">
        <f t="shared" si="6"/>
        <v>Panasonic UPF356790 Pouch cells in a 3s9p arrangement for a total of 20.79 Ah at 11.1 V nominal</v>
      </c>
      <c r="AB17" s="14">
        <f t="shared" si="12"/>
        <v>55</v>
      </c>
    </row>
    <row r="18" spans="1:28" x14ac:dyDescent="0.25">
      <c r="A18" t="s">
        <v>54</v>
      </c>
      <c r="B18" t="s">
        <v>28</v>
      </c>
      <c r="C18" t="s">
        <v>10</v>
      </c>
      <c r="E18" s="2" t="s">
        <v>7</v>
      </c>
      <c r="F18">
        <v>52</v>
      </c>
      <c r="G18">
        <v>69</v>
      </c>
      <c r="H18">
        <v>1300</v>
      </c>
      <c r="I18">
        <v>1350</v>
      </c>
      <c r="J18" s="9">
        <v>2.75</v>
      </c>
      <c r="K18" s="9">
        <v>3.7</v>
      </c>
      <c r="L18" s="9">
        <v>4.2</v>
      </c>
      <c r="M18" s="9">
        <v>2</v>
      </c>
      <c r="N18" t="str">
        <f t="shared" si="0"/>
        <v>UPF385269</v>
      </c>
      <c r="Q18" s="14">
        <f t="shared" si="7"/>
        <v>26</v>
      </c>
      <c r="R18" s="9">
        <f t="shared" si="1"/>
        <v>125.06</v>
      </c>
      <c r="S18" s="14" t="str">
        <f t="shared" si="2"/>
        <v>FIT</v>
      </c>
      <c r="T18" s="14">
        <f t="shared" si="3"/>
        <v>3</v>
      </c>
      <c r="U18" s="14">
        <f t="shared" si="8"/>
        <v>8</v>
      </c>
      <c r="V18" s="14">
        <f t="shared" si="9"/>
        <v>24</v>
      </c>
      <c r="W18" s="9">
        <f t="shared" si="4"/>
        <v>115.44</v>
      </c>
      <c r="X18" s="9">
        <f t="shared" si="10"/>
        <v>10.8</v>
      </c>
      <c r="Y18" s="9">
        <f t="shared" si="11"/>
        <v>21.6</v>
      </c>
      <c r="Z18" s="9">
        <f t="shared" si="5"/>
        <v>11.100000000000001</v>
      </c>
      <c r="AA18" s="1" t="str">
        <f t="shared" si="6"/>
        <v>Panasonic UPF385269 Pouch cells in a 3s8p arrangement for a total of 10.4 Ah at 11.1 V nominal</v>
      </c>
      <c r="AB18" s="14">
        <f t="shared" si="12"/>
        <v>103</v>
      </c>
    </row>
    <row r="19" spans="1:28" x14ac:dyDescent="0.25">
      <c r="A19" t="s">
        <v>54</v>
      </c>
      <c r="B19" t="s">
        <v>28</v>
      </c>
      <c r="C19" t="s">
        <v>10</v>
      </c>
      <c r="E19" s="2" t="s">
        <v>8</v>
      </c>
      <c r="F19">
        <v>76</v>
      </c>
      <c r="G19">
        <v>108</v>
      </c>
      <c r="H19">
        <v>3880</v>
      </c>
      <c r="I19">
        <v>4000</v>
      </c>
      <c r="J19" s="9">
        <v>2.75</v>
      </c>
      <c r="K19" s="9">
        <v>3.7</v>
      </c>
      <c r="L19" s="9">
        <v>4.2</v>
      </c>
      <c r="M19" s="9">
        <v>2</v>
      </c>
      <c r="N19" t="str">
        <f t="shared" si="0"/>
        <v>UPF3976108</v>
      </c>
      <c r="Q19" s="14">
        <f t="shared" si="7"/>
        <v>0</v>
      </c>
      <c r="R19" s="9" t="str">
        <f t="shared" si="1"/>
        <v/>
      </c>
      <c r="S19" s="14" t="str">
        <f t="shared" si="2"/>
        <v>TOO BIG</v>
      </c>
      <c r="T19" s="14">
        <f t="shared" si="3"/>
        <v>3</v>
      </c>
      <c r="U19" s="14">
        <f t="shared" si="8"/>
        <v>0</v>
      </c>
      <c r="V19" s="14">
        <f t="shared" si="9"/>
        <v>0</v>
      </c>
      <c r="W19" s="9" t="str">
        <f t="shared" si="4"/>
        <v/>
      </c>
      <c r="X19" s="9" t="str">
        <f t="shared" si="10"/>
        <v/>
      </c>
      <c r="Y19" s="9" t="str">
        <f t="shared" si="11"/>
        <v/>
      </c>
      <c r="Z19" s="9" t="str">
        <f t="shared" si="5"/>
        <v/>
      </c>
      <c r="AA19" s="1" t="str">
        <f t="shared" si="6"/>
        <v/>
      </c>
      <c r="AB19" s="14" t="str">
        <f t="shared" si="12"/>
        <v/>
      </c>
    </row>
    <row r="20" spans="1:28" x14ac:dyDescent="0.25">
      <c r="A20" t="s">
        <v>54</v>
      </c>
      <c r="B20" t="s">
        <v>28</v>
      </c>
      <c r="C20" t="s">
        <v>10</v>
      </c>
      <c r="E20" s="2" t="s">
        <v>14</v>
      </c>
      <c r="F20">
        <v>78</v>
      </c>
      <c r="G20">
        <v>63</v>
      </c>
      <c r="H20">
        <v>2300</v>
      </c>
      <c r="I20">
        <v>2380</v>
      </c>
      <c r="J20" s="9">
        <v>2.75</v>
      </c>
      <c r="K20" s="9">
        <v>3.7</v>
      </c>
      <c r="L20" s="9">
        <v>4.2</v>
      </c>
      <c r="M20" s="9">
        <v>2</v>
      </c>
      <c r="N20" t="str">
        <f t="shared" si="0"/>
        <v>UPF417863</v>
      </c>
      <c r="Q20" s="14">
        <f t="shared" si="7"/>
        <v>24</v>
      </c>
      <c r="R20" s="9">
        <f t="shared" si="1"/>
        <v>204.24</v>
      </c>
      <c r="S20" s="14" t="str">
        <f t="shared" si="2"/>
        <v>FIT</v>
      </c>
      <c r="T20" s="14">
        <f t="shared" si="3"/>
        <v>3</v>
      </c>
      <c r="U20" s="14">
        <f t="shared" si="8"/>
        <v>8</v>
      </c>
      <c r="V20" s="14">
        <f t="shared" si="9"/>
        <v>24</v>
      </c>
      <c r="W20" s="9">
        <f t="shared" si="4"/>
        <v>204.24</v>
      </c>
      <c r="X20" s="9">
        <f t="shared" si="10"/>
        <v>19.04</v>
      </c>
      <c r="Y20" s="9">
        <f t="shared" si="11"/>
        <v>38.08</v>
      </c>
      <c r="Z20" s="9">
        <f t="shared" si="5"/>
        <v>11.100000000000001</v>
      </c>
      <c r="AA20" s="1" t="str">
        <f t="shared" si="6"/>
        <v>Panasonic UPF417863 Pouch cells in a 3s8p arrangement for a total of 18.4 Ah at 11.1 V nominal</v>
      </c>
      <c r="AB20" s="14">
        <f t="shared" si="12"/>
        <v>74</v>
      </c>
    </row>
    <row r="21" spans="1:28" x14ac:dyDescent="0.25">
      <c r="A21" t="s">
        <v>54</v>
      </c>
      <c r="B21" t="s">
        <v>28</v>
      </c>
      <c r="C21" t="s">
        <v>10</v>
      </c>
      <c r="E21" s="2" t="s">
        <v>15</v>
      </c>
      <c r="F21">
        <v>44</v>
      </c>
      <c r="G21">
        <v>97</v>
      </c>
      <c r="H21">
        <v>1970</v>
      </c>
      <c r="I21">
        <v>2030</v>
      </c>
      <c r="J21" s="9">
        <v>2.75</v>
      </c>
      <c r="K21" s="9">
        <v>3.7</v>
      </c>
      <c r="L21" s="9">
        <v>4.2</v>
      </c>
      <c r="M21" s="9">
        <v>2</v>
      </c>
      <c r="N21" t="str">
        <f t="shared" si="0"/>
        <v>UPF424497</v>
      </c>
      <c r="Q21" s="14">
        <f t="shared" si="7"/>
        <v>46</v>
      </c>
      <c r="R21" s="9">
        <f t="shared" si="1"/>
        <v>335.29399999999998</v>
      </c>
      <c r="S21" s="14" t="str">
        <f t="shared" si="2"/>
        <v>FIT</v>
      </c>
      <c r="T21" s="14">
        <f t="shared" si="3"/>
        <v>3</v>
      </c>
      <c r="U21" s="14">
        <f t="shared" si="8"/>
        <v>15</v>
      </c>
      <c r="V21" s="14">
        <f t="shared" si="9"/>
        <v>45</v>
      </c>
      <c r="W21" s="9">
        <f t="shared" si="4"/>
        <v>328.005</v>
      </c>
      <c r="X21" s="9">
        <f t="shared" si="10"/>
        <v>30.45</v>
      </c>
      <c r="Y21" s="9">
        <f t="shared" si="11"/>
        <v>60.9</v>
      </c>
      <c r="Z21" s="9">
        <f t="shared" si="5"/>
        <v>11.100000000000001</v>
      </c>
      <c r="AA21" s="1" t="str">
        <f t="shared" si="6"/>
        <v>Panasonic UPF424497 Pouch cells in a 3s15p arrangement for a total of 29.55 Ah at 11.1 V nominal</v>
      </c>
      <c r="AB21" s="14">
        <f t="shared" si="12"/>
        <v>9</v>
      </c>
    </row>
    <row r="22" spans="1:28" x14ac:dyDescent="0.25">
      <c r="A22" t="s">
        <v>54</v>
      </c>
      <c r="B22" t="s">
        <v>28</v>
      </c>
      <c r="C22" t="s">
        <v>10</v>
      </c>
      <c r="E22" s="2" t="s">
        <v>15</v>
      </c>
      <c r="F22">
        <v>56</v>
      </c>
      <c r="G22">
        <v>120</v>
      </c>
      <c r="H22">
        <v>3180</v>
      </c>
      <c r="I22">
        <v>3300</v>
      </c>
      <c r="J22" s="9">
        <v>2.75</v>
      </c>
      <c r="K22" s="9">
        <v>3.7</v>
      </c>
      <c r="L22" s="9">
        <v>4.2</v>
      </c>
      <c r="M22" s="9">
        <v>2</v>
      </c>
      <c r="N22" t="str">
        <f t="shared" si="0"/>
        <v>UPF4256120</v>
      </c>
      <c r="Q22" s="14">
        <f t="shared" si="7"/>
        <v>0</v>
      </c>
      <c r="R22" s="9" t="str">
        <f t="shared" si="1"/>
        <v/>
      </c>
      <c r="S22" s="14" t="str">
        <f t="shared" si="2"/>
        <v>TOO BIG</v>
      </c>
      <c r="T22" s="14">
        <f t="shared" si="3"/>
        <v>3</v>
      </c>
      <c r="U22" s="14">
        <f t="shared" si="8"/>
        <v>0</v>
      </c>
      <c r="V22" s="14">
        <f t="shared" si="9"/>
        <v>0</v>
      </c>
      <c r="W22" s="9" t="str">
        <f t="shared" si="4"/>
        <v/>
      </c>
      <c r="X22" s="9" t="str">
        <f t="shared" si="10"/>
        <v/>
      </c>
      <c r="Y22" s="9" t="str">
        <f t="shared" si="11"/>
        <v/>
      </c>
      <c r="Z22" s="9" t="str">
        <f t="shared" si="5"/>
        <v/>
      </c>
      <c r="AA22" s="1" t="str">
        <f t="shared" si="6"/>
        <v/>
      </c>
      <c r="AB22" s="14" t="str">
        <f t="shared" si="12"/>
        <v/>
      </c>
    </row>
    <row r="23" spans="1:28" x14ac:dyDescent="0.25">
      <c r="A23" t="s">
        <v>54</v>
      </c>
      <c r="B23" t="s">
        <v>28</v>
      </c>
      <c r="C23" t="s">
        <v>10</v>
      </c>
      <c r="E23" s="2" t="s">
        <v>15</v>
      </c>
      <c r="F23">
        <v>61</v>
      </c>
      <c r="G23">
        <v>123</v>
      </c>
      <c r="H23">
        <v>3610</v>
      </c>
      <c r="I23">
        <v>3730</v>
      </c>
      <c r="J23" s="9">
        <v>2.75</v>
      </c>
      <c r="K23" s="9">
        <v>3.7</v>
      </c>
      <c r="L23" s="9">
        <v>4.2</v>
      </c>
      <c r="M23" s="9">
        <v>2</v>
      </c>
      <c r="N23" t="str">
        <f t="shared" si="0"/>
        <v>UPF4261123</v>
      </c>
      <c r="Q23" s="14">
        <f t="shared" si="7"/>
        <v>0</v>
      </c>
      <c r="R23" s="9" t="str">
        <f t="shared" si="1"/>
        <v/>
      </c>
      <c r="S23" s="14" t="str">
        <f t="shared" si="2"/>
        <v>TOO BIG</v>
      </c>
      <c r="T23" s="14">
        <f t="shared" si="3"/>
        <v>3</v>
      </c>
      <c r="U23" s="14">
        <f t="shared" si="8"/>
        <v>0</v>
      </c>
      <c r="V23" s="14">
        <f t="shared" si="9"/>
        <v>0</v>
      </c>
      <c r="W23" s="9" t="str">
        <f t="shared" si="4"/>
        <v/>
      </c>
      <c r="X23" s="9" t="str">
        <f t="shared" si="10"/>
        <v/>
      </c>
      <c r="Y23" s="9" t="str">
        <f t="shared" si="11"/>
        <v/>
      </c>
      <c r="Z23" s="9" t="str">
        <f t="shared" si="5"/>
        <v/>
      </c>
      <c r="AA23" s="1" t="str">
        <f t="shared" si="6"/>
        <v/>
      </c>
      <c r="AB23" s="14" t="str">
        <f t="shared" si="12"/>
        <v/>
      </c>
    </row>
    <row r="24" spans="1:28" x14ac:dyDescent="0.25">
      <c r="A24" t="s">
        <v>54</v>
      </c>
      <c r="B24" t="s">
        <v>28</v>
      </c>
      <c r="C24" t="s">
        <v>10</v>
      </c>
      <c r="E24" s="2" t="s">
        <v>16</v>
      </c>
      <c r="F24">
        <v>42</v>
      </c>
      <c r="G24">
        <v>61</v>
      </c>
      <c r="H24">
        <v>1450</v>
      </c>
      <c r="I24">
        <v>1500</v>
      </c>
      <c r="J24" s="9">
        <v>2.75</v>
      </c>
      <c r="K24" s="9">
        <v>3.7</v>
      </c>
      <c r="L24" s="9">
        <v>4.2</v>
      </c>
      <c r="M24" s="9">
        <v>2</v>
      </c>
      <c r="N24" t="str">
        <f t="shared" si="0"/>
        <v>UPF454261</v>
      </c>
      <c r="Q24" s="14">
        <f t="shared" si="7"/>
        <v>44</v>
      </c>
      <c r="R24" s="9">
        <f t="shared" si="1"/>
        <v>236.06</v>
      </c>
      <c r="S24" s="14" t="str">
        <f t="shared" si="2"/>
        <v>FIT</v>
      </c>
      <c r="T24" s="14">
        <f t="shared" si="3"/>
        <v>3</v>
      </c>
      <c r="U24" s="14">
        <f t="shared" si="8"/>
        <v>14</v>
      </c>
      <c r="V24" s="14">
        <f t="shared" si="9"/>
        <v>42</v>
      </c>
      <c r="W24" s="9">
        <f t="shared" si="4"/>
        <v>225.33</v>
      </c>
      <c r="X24" s="9">
        <f t="shared" si="10"/>
        <v>21</v>
      </c>
      <c r="Y24" s="9">
        <f t="shared" si="11"/>
        <v>42</v>
      </c>
      <c r="Z24" s="9">
        <f t="shared" si="5"/>
        <v>11.100000000000001</v>
      </c>
      <c r="AA24" s="1" t="str">
        <f t="shared" si="6"/>
        <v>Panasonic UPF454261 Pouch cells in a 3s14p arrangement for a total of 20.3 Ah at 11.1 V nominal</v>
      </c>
      <c r="AB24" s="14">
        <f t="shared" si="12"/>
        <v>59</v>
      </c>
    </row>
    <row r="25" spans="1:28" x14ac:dyDescent="0.25">
      <c r="A25" t="s">
        <v>54</v>
      </c>
      <c r="B25" t="s">
        <v>28</v>
      </c>
      <c r="C25" t="s">
        <v>10</v>
      </c>
      <c r="E25" s="2" t="s">
        <v>17</v>
      </c>
      <c r="F25">
        <v>67</v>
      </c>
      <c r="G25">
        <v>90</v>
      </c>
      <c r="H25">
        <v>3280</v>
      </c>
      <c r="I25">
        <v>3400</v>
      </c>
      <c r="J25" s="9">
        <v>2.75</v>
      </c>
      <c r="K25" s="9">
        <v>3.7</v>
      </c>
      <c r="L25" s="9">
        <v>4.2</v>
      </c>
      <c r="M25" s="9">
        <v>2</v>
      </c>
      <c r="N25" t="str">
        <f t="shared" si="0"/>
        <v>UPF476790</v>
      </c>
      <c r="Q25" s="14">
        <f t="shared" si="7"/>
        <v>21</v>
      </c>
      <c r="R25" s="9">
        <f t="shared" si="1"/>
        <v>254.85599999999999</v>
      </c>
      <c r="S25" s="14" t="str">
        <f t="shared" si="2"/>
        <v>FIT</v>
      </c>
      <c r="T25" s="14">
        <f t="shared" si="3"/>
        <v>3</v>
      </c>
      <c r="U25" s="14">
        <f t="shared" si="8"/>
        <v>7</v>
      </c>
      <c r="V25" s="14">
        <f t="shared" si="9"/>
        <v>21</v>
      </c>
      <c r="W25" s="9">
        <f t="shared" si="4"/>
        <v>254.85599999999999</v>
      </c>
      <c r="X25" s="9">
        <f t="shared" si="10"/>
        <v>23.8</v>
      </c>
      <c r="Y25" s="9">
        <f t="shared" si="11"/>
        <v>47.6</v>
      </c>
      <c r="Z25" s="9">
        <f t="shared" si="5"/>
        <v>11.100000000000001</v>
      </c>
      <c r="AA25" s="1" t="str">
        <f t="shared" si="6"/>
        <v>Panasonic UPF476790 Pouch cells in a 3s7p arrangement for a total of 22.96 Ah at 11.1 V nominal</v>
      </c>
      <c r="AB25" s="14">
        <f t="shared" si="12"/>
        <v>36</v>
      </c>
    </row>
    <row r="26" spans="1:28" x14ac:dyDescent="0.25">
      <c r="A26" t="s">
        <v>54</v>
      </c>
      <c r="B26" t="s">
        <v>28</v>
      </c>
      <c r="C26" t="s">
        <v>10</v>
      </c>
      <c r="E26" s="2" t="s">
        <v>18</v>
      </c>
      <c r="F26">
        <v>81</v>
      </c>
      <c r="G26">
        <v>75</v>
      </c>
      <c r="H26">
        <v>3600</v>
      </c>
      <c r="I26">
        <v>3710</v>
      </c>
      <c r="J26" s="9">
        <v>2.75</v>
      </c>
      <c r="K26" s="9">
        <v>3.7</v>
      </c>
      <c r="L26" s="9">
        <v>4.2</v>
      </c>
      <c r="M26" s="9">
        <v>2</v>
      </c>
      <c r="N26" t="str">
        <f t="shared" si="0"/>
        <v>UPF518175</v>
      </c>
      <c r="Q26" s="14">
        <f t="shared" si="7"/>
        <v>19</v>
      </c>
      <c r="R26" s="9">
        <f t="shared" si="1"/>
        <v>253.08</v>
      </c>
      <c r="S26" s="14" t="str">
        <f t="shared" si="2"/>
        <v>FIT</v>
      </c>
      <c r="T26" s="14">
        <f t="shared" si="3"/>
        <v>3</v>
      </c>
      <c r="U26" s="14">
        <f t="shared" si="8"/>
        <v>6</v>
      </c>
      <c r="V26" s="14">
        <f t="shared" si="9"/>
        <v>18</v>
      </c>
      <c r="W26" s="9">
        <f t="shared" si="4"/>
        <v>239.76</v>
      </c>
      <c r="X26" s="9">
        <f t="shared" si="10"/>
        <v>22.26</v>
      </c>
      <c r="Y26" s="9">
        <f t="shared" si="11"/>
        <v>44.52</v>
      </c>
      <c r="Z26" s="9">
        <f t="shared" si="5"/>
        <v>11.100000000000001</v>
      </c>
      <c r="AA26" s="1" t="str">
        <f t="shared" si="6"/>
        <v>Panasonic UPF518175 Pouch cells in a 3s6p arrangement for a total of 21.6 Ah at 11.1 V nominal</v>
      </c>
      <c r="AB26" s="14">
        <f t="shared" si="12"/>
        <v>44</v>
      </c>
    </row>
    <row r="27" spans="1:28" x14ac:dyDescent="0.25">
      <c r="A27" t="s">
        <v>54</v>
      </c>
      <c r="B27" t="s">
        <v>28</v>
      </c>
      <c r="C27" t="s">
        <v>10</v>
      </c>
      <c r="E27" s="2" t="s">
        <v>19</v>
      </c>
      <c r="F27">
        <v>41</v>
      </c>
      <c r="G27">
        <v>99</v>
      </c>
      <c r="H27">
        <v>2150</v>
      </c>
      <c r="I27">
        <v>2250</v>
      </c>
      <c r="J27" s="9">
        <v>2.75</v>
      </c>
      <c r="K27" s="9">
        <v>3.7</v>
      </c>
      <c r="L27" s="9">
        <v>4.2</v>
      </c>
      <c r="M27" s="9">
        <v>2</v>
      </c>
      <c r="N27" t="str">
        <f t="shared" si="0"/>
        <v>UPF574199</v>
      </c>
      <c r="Q27" s="14">
        <f t="shared" si="7"/>
        <v>34</v>
      </c>
      <c r="R27" s="9">
        <f t="shared" si="1"/>
        <v>270.47000000000003</v>
      </c>
      <c r="S27" s="14" t="str">
        <f t="shared" si="2"/>
        <v>FIT</v>
      </c>
      <c r="T27" s="14">
        <f t="shared" si="3"/>
        <v>3</v>
      </c>
      <c r="U27" s="14">
        <f t="shared" si="8"/>
        <v>11</v>
      </c>
      <c r="V27" s="14">
        <f t="shared" si="9"/>
        <v>33</v>
      </c>
      <c r="W27" s="9">
        <f t="shared" si="4"/>
        <v>262.51499999999999</v>
      </c>
      <c r="X27" s="9">
        <f t="shared" si="10"/>
        <v>24.75</v>
      </c>
      <c r="Y27" s="9">
        <f t="shared" si="11"/>
        <v>49.5</v>
      </c>
      <c r="Z27" s="9">
        <f t="shared" si="5"/>
        <v>11.100000000000001</v>
      </c>
      <c r="AA27" s="1" t="str">
        <f t="shared" si="6"/>
        <v>Panasonic UPF574199 Pouch cells in a 3s11p arrangement for a total of 23.65 Ah at 11.1 V nominal</v>
      </c>
      <c r="AB27" s="14">
        <f t="shared" si="12"/>
        <v>31</v>
      </c>
    </row>
    <row r="28" spans="1:28" x14ac:dyDescent="0.25">
      <c r="A28" t="s">
        <v>54</v>
      </c>
      <c r="B28" t="s">
        <v>28</v>
      </c>
      <c r="C28" t="s">
        <v>10</v>
      </c>
      <c r="E28" s="2" t="s">
        <v>20</v>
      </c>
      <c r="F28">
        <v>48</v>
      </c>
      <c r="G28">
        <v>68</v>
      </c>
      <c r="H28">
        <v>2100</v>
      </c>
      <c r="I28">
        <v>2200</v>
      </c>
      <c r="J28" s="9">
        <v>2.75</v>
      </c>
      <c r="K28" s="9">
        <v>3.7</v>
      </c>
      <c r="L28" s="9">
        <v>4.2</v>
      </c>
      <c r="M28" s="9">
        <v>2</v>
      </c>
      <c r="N28" t="str">
        <f t="shared" si="0"/>
        <v>UPF604868</v>
      </c>
      <c r="Q28" s="14">
        <f t="shared" si="7"/>
        <v>32</v>
      </c>
      <c r="R28" s="9">
        <f t="shared" si="1"/>
        <v>248.64</v>
      </c>
      <c r="S28" s="14" t="str">
        <f t="shared" si="2"/>
        <v>FIT</v>
      </c>
      <c r="T28" s="14">
        <f t="shared" si="3"/>
        <v>3</v>
      </c>
      <c r="U28" s="14">
        <f t="shared" si="8"/>
        <v>10</v>
      </c>
      <c r="V28" s="14">
        <f t="shared" si="9"/>
        <v>30</v>
      </c>
      <c r="W28" s="9">
        <f t="shared" si="4"/>
        <v>233.1</v>
      </c>
      <c r="X28" s="9">
        <f t="shared" si="10"/>
        <v>22</v>
      </c>
      <c r="Y28" s="9">
        <f t="shared" si="11"/>
        <v>44</v>
      </c>
      <c r="Z28" s="9">
        <f t="shared" si="5"/>
        <v>11.100000000000001</v>
      </c>
      <c r="AA28" s="1" t="str">
        <f t="shared" si="6"/>
        <v>Panasonic UPF604868 Pouch cells in a 3s10p arrangement for a total of 21 Ah at 11.1 V nominal</v>
      </c>
      <c r="AB28" s="14">
        <f t="shared" si="12"/>
        <v>51</v>
      </c>
    </row>
    <row r="29" spans="1:28" x14ac:dyDescent="0.25">
      <c r="A29" t="s">
        <v>54</v>
      </c>
      <c r="B29" t="s">
        <v>28</v>
      </c>
      <c r="C29" t="s">
        <v>10</v>
      </c>
      <c r="E29" s="2" t="s">
        <v>21</v>
      </c>
      <c r="F29">
        <v>44</v>
      </c>
      <c r="G29">
        <v>96</v>
      </c>
      <c r="H29">
        <v>2700</v>
      </c>
      <c r="I29">
        <v>2820</v>
      </c>
      <c r="J29" s="9">
        <v>2.75</v>
      </c>
      <c r="K29" s="9">
        <v>3.7</v>
      </c>
      <c r="L29" s="9">
        <v>4.2</v>
      </c>
      <c r="M29" s="9">
        <v>2</v>
      </c>
      <c r="N29" t="str">
        <f t="shared" si="0"/>
        <v>UPF614496</v>
      </c>
      <c r="Q29" s="14">
        <f t="shared" si="7"/>
        <v>32</v>
      </c>
      <c r="R29" s="9">
        <f t="shared" si="1"/>
        <v>319.68</v>
      </c>
      <c r="S29" s="14" t="str">
        <f t="shared" si="2"/>
        <v>FIT</v>
      </c>
      <c r="T29" s="14">
        <f t="shared" si="3"/>
        <v>3</v>
      </c>
      <c r="U29" s="14">
        <f t="shared" si="8"/>
        <v>10</v>
      </c>
      <c r="V29" s="14">
        <f t="shared" si="9"/>
        <v>30</v>
      </c>
      <c r="W29" s="9">
        <f t="shared" si="4"/>
        <v>299.7</v>
      </c>
      <c r="X29" s="9">
        <f t="shared" si="10"/>
        <v>28.2</v>
      </c>
      <c r="Y29" s="9">
        <f t="shared" si="11"/>
        <v>56.4</v>
      </c>
      <c r="Z29" s="9">
        <f t="shared" si="5"/>
        <v>11.100000000000001</v>
      </c>
      <c r="AA29" s="1" t="str">
        <f t="shared" si="6"/>
        <v>Panasonic UPF614496 Pouch cells in a 3s10p arrangement for a total of 27 Ah at 11.1 V nominal</v>
      </c>
      <c r="AB29" s="14">
        <f t="shared" si="12"/>
        <v>14</v>
      </c>
    </row>
    <row r="30" spans="1:28" x14ac:dyDescent="0.25">
      <c r="A30" t="s">
        <v>54</v>
      </c>
      <c r="B30" t="s">
        <v>28</v>
      </c>
      <c r="C30" t="s">
        <v>10</v>
      </c>
      <c r="E30" s="2" t="s">
        <v>21</v>
      </c>
      <c r="F30">
        <v>65</v>
      </c>
      <c r="G30">
        <v>85</v>
      </c>
      <c r="H30">
        <v>4090</v>
      </c>
      <c r="I30">
        <v>4220</v>
      </c>
      <c r="J30" s="9">
        <v>2.75</v>
      </c>
      <c r="K30" s="9">
        <v>3.7</v>
      </c>
      <c r="L30" s="9">
        <v>4.2</v>
      </c>
      <c r="M30" s="9">
        <v>2</v>
      </c>
      <c r="N30" t="str">
        <f t="shared" si="0"/>
        <v>UPF616585</v>
      </c>
      <c r="Q30" s="14">
        <f t="shared" si="7"/>
        <v>16</v>
      </c>
      <c r="R30" s="9">
        <f t="shared" si="1"/>
        <v>242.12799999999999</v>
      </c>
      <c r="S30" s="14" t="str">
        <f t="shared" si="2"/>
        <v>FIT</v>
      </c>
      <c r="T30" s="14">
        <f t="shared" si="3"/>
        <v>3</v>
      </c>
      <c r="U30" s="14">
        <f t="shared" si="8"/>
        <v>5</v>
      </c>
      <c r="V30" s="14">
        <f t="shared" si="9"/>
        <v>15</v>
      </c>
      <c r="W30" s="9">
        <f t="shared" si="4"/>
        <v>226.995</v>
      </c>
      <c r="X30" s="9">
        <f t="shared" si="10"/>
        <v>21.1</v>
      </c>
      <c r="Y30" s="9">
        <f t="shared" si="11"/>
        <v>42.2</v>
      </c>
      <c r="Z30" s="9">
        <f t="shared" si="5"/>
        <v>11.100000000000001</v>
      </c>
      <c r="AA30" s="1" t="str">
        <f t="shared" si="6"/>
        <v>Panasonic UPF616585 Pouch cells in a 3s5p arrangement for a total of 20.45 Ah at 11.1 V nominal</v>
      </c>
      <c r="AB30" s="14">
        <f t="shared" si="12"/>
        <v>56</v>
      </c>
    </row>
    <row r="31" spans="1:28" x14ac:dyDescent="0.25">
      <c r="A31" t="s">
        <v>54</v>
      </c>
      <c r="B31" t="s">
        <v>28</v>
      </c>
      <c r="C31" t="s">
        <v>10</v>
      </c>
      <c r="E31" s="2" t="s">
        <v>21</v>
      </c>
      <c r="F31">
        <v>67</v>
      </c>
      <c r="G31">
        <v>89</v>
      </c>
      <c r="H31">
        <v>3950</v>
      </c>
      <c r="I31">
        <v>4100</v>
      </c>
      <c r="J31" s="9">
        <v>2.75</v>
      </c>
      <c r="K31" s="9">
        <v>3.7</v>
      </c>
      <c r="L31" s="9">
        <v>4.2</v>
      </c>
      <c r="M31" s="9">
        <v>2</v>
      </c>
      <c r="N31" t="str">
        <f t="shared" si="0"/>
        <v>UPF616789</v>
      </c>
      <c r="Q31" s="14">
        <f t="shared" si="7"/>
        <v>16</v>
      </c>
      <c r="R31" s="9">
        <f t="shared" si="1"/>
        <v>233.84</v>
      </c>
      <c r="S31" s="14" t="str">
        <f t="shared" si="2"/>
        <v>FIT</v>
      </c>
      <c r="T31" s="14">
        <f t="shared" si="3"/>
        <v>3</v>
      </c>
      <c r="U31" s="14">
        <f t="shared" si="8"/>
        <v>5</v>
      </c>
      <c r="V31" s="14">
        <f t="shared" si="9"/>
        <v>15</v>
      </c>
      <c r="W31" s="9">
        <f t="shared" si="4"/>
        <v>219.22499999999999</v>
      </c>
      <c r="X31" s="9">
        <f t="shared" si="10"/>
        <v>20.5</v>
      </c>
      <c r="Y31" s="9">
        <f t="shared" si="11"/>
        <v>41</v>
      </c>
      <c r="Z31" s="9">
        <f t="shared" si="5"/>
        <v>11.100000000000001</v>
      </c>
      <c r="AA31" s="1" t="str">
        <f t="shared" si="6"/>
        <v>Panasonic UPF616789 Pouch cells in a 3s5p arrangement for a total of 19.75 Ah at 11.1 V nominal</v>
      </c>
      <c r="AB31" s="14">
        <f t="shared" si="12"/>
        <v>63</v>
      </c>
    </row>
    <row r="32" spans="1:28" x14ac:dyDescent="0.25">
      <c r="A32" t="s">
        <v>54</v>
      </c>
      <c r="B32" t="s">
        <v>28</v>
      </c>
      <c r="C32" t="s">
        <v>10</v>
      </c>
      <c r="E32" s="2" t="s">
        <v>22</v>
      </c>
      <c r="F32">
        <v>67</v>
      </c>
      <c r="G32">
        <v>90</v>
      </c>
      <c r="H32">
        <v>4850</v>
      </c>
      <c r="I32">
        <v>5000</v>
      </c>
      <c r="J32" s="9">
        <v>2.75</v>
      </c>
      <c r="K32" s="9">
        <v>3.7</v>
      </c>
      <c r="L32" s="9">
        <v>4.2</v>
      </c>
      <c r="M32" s="9">
        <v>2</v>
      </c>
      <c r="N32" t="str">
        <f t="shared" si="0"/>
        <v>UPF656790</v>
      </c>
      <c r="Q32" s="14">
        <f t="shared" si="7"/>
        <v>15</v>
      </c>
      <c r="R32" s="9">
        <f t="shared" si="1"/>
        <v>269.17500000000001</v>
      </c>
      <c r="S32" s="14" t="str">
        <f t="shared" si="2"/>
        <v>FIT</v>
      </c>
      <c r="T32" s="14">
        <f t="shared" si="3"/>
        <v>3</v>
      </c>
      <c r="U32" s="14">
        <f t="shared" si="8"/>
        <v>5</v>
      </c>
      <c r="V32" s="14">
        <f t="shared" si="9"/>
        <v>15</v>
      </c>
      <c r="W32" s="9">
        <f t="shared" si="4"/>
        <v>269.17500000000001</v>
      </c>
      <c r="X32" s="9">
        <f t="shared" si="10"/>
        <v>25</v>
      </c>
      <c r="Y32" s="9">
        <f t="shared" si="11"/>
        <v>50</v>
      </c>
      <c r="Z32" s="9">
        <f t="shared" si="5"/>
        <v>11.100000000000001</v>
      </c>
      <c r="AA32" s="1" t="str">
        <f t="shared" si="6"/>
        <v>Panasonic UPF656790 Pouch cells in a 3s5p arrangement for a total of 24.25 Ah at 11.1 V nominal</v>
      </c>
      <c r="AB32" s="14">
        <f t="shared" si="12"/>
        <v>26</v>
      </c>
    </row>
    <row r="33" spans="1:28" x14ac:dyDescent="0.25">
      <c r="A33" t="s">
        <v>54</v>
      </c>
      <c r="B33" t="s">
        <v>28</v>
      </c>
      <c r="C33" t="s">
        <v>10</v>
      </c>
      <c r="E33" s="2" t="s">
        <v>23</v>
      </c>
      <c r="F33">
        <v>37</v>
      </c>
      <c r="G33">
        <v>91</v>
      </c>
      <c r="H33">
        <v>2780</v>
      </c>
      <c r="I33">
        <v>2900</v>
      </c>
      <c r="J33" s="9">
        <v>2.75</v>
      </c>
      <c r="K33" s="9">
        <v>3.7</v>
      </c>
      <c r="L33" s="9">
        <v>4.2</v>
      </c>
      <c r="M33" s="9">
        <v>2</v>
      </c>
      <c r="N33" t="str">
        <f t="shared" si="0"/>
        <v>UPF673791</v>
      </c>
      <c r="Q33" s="14">
        <f t="shared" si="7"/>
        <v>28</v>
      </c>
      <c r="R33" s="9">
        <f t="shared" si="1"/>
        <v>288.00799999999998</v>
      </c>
      <c r="S33" s="14" t="str">
        <f t="shared" si="2"/>
        <v>FIT</v>
      </c>
      <c r="T33" s="14">
        <f t="shared" si="3"/>
        <v>3</v>
      </c>
      <c r="U33" s="14">
        <f t="shared" si="8"/>
        <v>9</v>
      </c>
      <c r="V33" s="14">
        <f t="shared" si="9"/>
        <v>27</v>
      </c>
      <c r="W33" s="9">
        <f t="shared" si="4"/>
        <v>277.72199999999998</v>
      </c>
      <c r="X33" s="9">
        <f t="shared" si="10"/>
        <v>26.1</v>
      </c>
      <c r="Y33" s="9">
        <f t="shared" si="11"/>
        <v>52.2</v>
      </c>
      <c r="Z33" s="9">
        <f t="shared" si="5"/>
        <v>11.100000000000001</v>
      </c>
      <c r="AA33" s="1" t="str">
        <f t="shared" si="6"/>
        <v>Panasonic UPF673791 Pouch cells in a 3s9p arrangement for a total of 25.02 Ah at 11.1 V nominal</v>
      </c>
      <c r="AB33" s="14">
        <f t="shared" si="12"/>
        <v>21</v>
      </c>
    </row>
    <row r="34" spans="1:28" x14ac:dyDescent="0.25">
      <c r="A34" t="s">
        <v>54</v>
      </c>
      <c r="B34" t="s">
        <v>28</v>
      </c>
      <c r="C34" t="s">
        <v>10</v>
      </c>
      <c r="E34" s="2" t="s">
        <v>24</v>
      </c>
      <c r="F34">
        <v>65</v>
      </c>
      <c r="G34">
        <v>261</v>
      </c>
      <c r="H34">
        <v>3170</v>
      </c>
      <c r="I34">
        <v>3300</v>
      </c>
      <c r="J34" s="9">
        <v>2.75</v>
      </c>
      <c r="K34" s="9">
        <v>3.7</v>
      </c>
      <c r="L34" s="9">
        <v>4.2</v>
      </c>
      <c r="M34" s="9">
        <v>2</v>
      </c>
      <c r="N34" t="str">
        <f t="shared" si="0"/>
        <v>UPF8665261</v>
      </c>
      <c r="Q34" s="14">
        <f t="shared" si="7"/>
        <v>0</v>
      </c>
      <c r="R34" s="9" t="str">
        <f t="shared" si="1"/>
        <v/>
      </c>
      <c r="S34" s="14" t="str">
        <f t="shared" si="2"/>
        <v>TOO BIG</v>
      </c>
      <c r="T34" s="14">
        <f t="shared" si="3"/>
        <v>3</v>
      </c>
      <c r="U34" s="14">
        <f t="shared" si="8"/>
        <v>0</v>
      </c>
      <c r="V34" s="14">
        <f t="shared" si="9"/>
        <v>0</v>
      </c>
      <c r="W34" s="9" t="str">
        <f t="shared" si="4"/>
        <v/>
      </c>
      <c r="X34" s="9" t="str">
        <f t="shared" si="10"/>
        <v/>
      </c>
      <c r="Y34" s="9" t="str">
        <f t="shared" si="11"/>
        <v/>
      </c>
      <c r="Z34" s="9" t="str">
        <f t="shared" si="5"/>
        <v/>
      </c>
      <c r="AA34" s="1" t="str">
        <f t="shared" si="6"/>
        <v/>
      </c>
      <c r="AB34" s="14" t="str">
        <f t="shared" si="12"/>
        <v/>
      </c>
    </row>
    <row r="35" spans="1:28" x14ac:dyDescent="0.25">
      <c r="A35" t="s">
        <v>54</v>
      </c>
      <c r="B35" t="s">
        <v>29</v>
      </c>
      <c r="C35" t="s">
        <v>30</v>
      </c>
      <c r="E35" s="2" t="s">
        <v>31</v>
      </c>
      <c r="F35">
        <v>28</v>
      </c>
      <c r="G35">
        <v>36</v>
      </c>
      <c r="H35">
        <v>850</v>
      </c>
      <c r="I35">
        <v>890</v>
      </c>
      <c r="J35" s="9">
        <v>2.75</v>
      </c>
      <c r="K35" s="9">
        <v>3.7</v>
      </c>
      <c r="L35" s="9">
        <v>4.2</v>
      </c>
      <c r="M35" s="9">
        <v>2</v>
      </c>
      <c r="N35" t="str">
        <f t="shared" si="0"/>
        <v>UF752836</v>
      </c>
      <c r="Q35" s="14">
        <f t="shared" si="7"/>
        <v>78</v>
      </c>
      <c r="R35" s="9">
        <f t="shared" si="1"/>
        <v>245.31</v>
      </c>
      <c r="S35" s="14" t="str">
        <f t="shared" si="2"/>
        <v>FIT</v>
      </c>
      <c r="T35" s="14">
        <f t="shared" si="3"/>
        <v>3</v>
      </c>
      <c r="U35" s="14">
        <f t="shared" si="8"/>
        <v>26</v>
      </c>
      <c r="V35" s="14">
        <f t="shared" si="9"/>
        <v>78</v>
      </c>
      <c r="W35" s="9">
        <f t="shared" si="4"/>
        <v>245.31</v>
      </c>
      <c r="X35" s="9">
        <f t="shared" si="10"/>
        <v>23.14</v>
      </c>
      <c r="Y35" s="9">
        <f t="shared" si="11"/>
        <v>46.28</v>
      </c>
      <c r="Z35" s="9">
        <f t="shared" si="5"/>
        <v>11.100000000000001</v>
      </c>
      <c r="AA35" s="1" t="str">
        <f t="shared" si="6"/>
        <v>Panasonic UF752836 Prismatic cells in a 3s26p arrangement for a total of 22.1 Ah at 11.1 V nominal</v>
      </c>
      <c r="AB35" s="14">
        <f t="shared" si="12"/>
        <v>40</v>
      </c>
    </row>
    <row r="36" spans="1:28" x14ac:dyDescent="0.25">
      <c r="A36" t="s">
        <v>54</v>
      </c>
      <c r="B36" t="s">
        <v>29</v>
      </c>
      <c r="C36" t="s">
        <v>30</v>
      </c>
      <c r="E36" s="2" t="s">
        <v>22</v>
      </c>
      <c r="F36">
        <v>30</v>
      </c>
      <c r="G36">
        <v>39</v>
      </c>
      <c r="H36">
        <v>920</v>
      </c>
      <c r="I36">
        <v>960</v>
      </c>
      <c r="J36" s="9">
        <v>2.75</v>
      </c>
      <c r="K36" s="9">
        <v>3.7</v>
      </c>
      <c r="L36" s="9">
        <v>4.2</v>
      </c>
      <c r="M36" s="9">
        <v>2</v>
      </c>
      <c r="N36" t="str">
        <f t="shared" si="0"/>
        <v>UF653039</v>
      </c>
      <c r="Q36" s="14">
        <f t="shared" si="7"/>
        <v>90</v>
      </c>
      <c r="R36" s="9">
        <f t="shared" si="1"/>
        <v>306.36</v>
      </c>
      <c r="S36" s="14" t="str">
        <f t="shared" si="2"/>
        <v>FIT</v>
      </c>
      <c r="T36" s="14">
        <f t="shared" si="3"/>
        <v>3</v>
      </c>
      <c r="U36" s="14">
        <f t="shared" si="8"/>
        <v>30</v>
      </c>
      <c r="V36" s="14">
        <f t="shared" si="9"/>
        <v>90</v>
      </c>
      <c r="W36" s="9">
        <f t="shared" si="4"/>
        <v>306.36</v>
      </c>
      <c r="X36" s="9">
        <f t="shared" si="10"/>
        <v>28.8</v>
      </c>
      <c r="Y36" s="9">
        <f t="shared" si="11"/>
        <v>57.6</v>
      </c>
      <c r="Z36" s="9">
        <f t="shared" si="5"/>
        <v>11.100000000000001</v>
      </c>
      <c r="AA36" s="1" t="str">
        <f t="shared" si="6"/>
        <v>Panasonic UF653039 Prismatic cells in a 3s30p arrangement for a total of 27.6 Ah at 11.1 V nominal</v>
      </c>
      <c r="AB36" s="14">
        <f t="shared" si="12"/>
        <v>12</v>
      </c>
    </row>
    <row r="37" spans="1:28" x14ac:dyDescent="0.25">
      <c r="A37" t="s">
        <v>54</v>
      </c>
      <c r="B37" t="s">
        <v>29</v>
      </c>
      <c r="C37" t="s">
        <v>30</v>
      </c>
      <c r="E37" s="2" t="s">
        <v>32</v>
      </c>
      <c r="F37">
        <v>30</v>
      </c>
      <c r="G37">
        <v>48</v>
      </c>
      <c r="H37">
        <v>720</v>
      </c>
      <c r="I37">
        <v>750</v>
      </c>
      <c r="J37" s="9">
        <v>2.75</v>
      </c>
      <c r="K37" s="9">
        <v>3.7</v>
      </c>
      <c r="L37" s="9">
        <v>4.2</v>
      </c>
      <c r="M37" s="9">
        <v>2</v>
      </c>
      <c r="N37" t="str">
        <f t="shared" si="0"/>
        <v>UF463048</v>
      </c>
      <c r="Q37" s="14">
        <f t="shared" si="7"/>
        <v>126</v>
      </c>
      <c r="R37" s="9">
        <f t="shared" si="1"/>
        <v>335.66399999999999</v>
      </c>
      <c r="S37" s="14" t="str">
        <f t="shared" si="2"/>
        <v>FIT</v>
      </c>
      <c r="T37" s="14">
        <f t="shared" si="3"/>
        <v>3</v>
      </c>
      <c r="U37" s="14">
        <f t="shared" si="8"/>
        <v>42</v>
      </c>
      <c r="V37" s="14">
        <f t="shared" si="9"/>
        <v>126</v>
      </c>
      <c r="W37" s="9">
        <f t="shared" si="4"/>
        <v>335.66399999999999</v>
      </c>
      <c r="X37" s="9">
        <f t="shared" si="10"/>
        <v>31.5</v>
      </c>
      <c r="Y37" s="9">
        <f t="shared" si="11"/>
        <v>63</v>
      </c>
      <c r="Z37" s="9">
        <f t="shared" si="5"/>
        <v>11.100000000000001</v>
      </c>
      <c r="AA37" s="1" t="str">
        <f t="shared" si="6"/>
        <v>Panasonic UF463048 Prismatic cells in a 3s42p arrangement for a total of 30.24 Ah at 11.1 V nominal</v>
      </c>
      <c r="AB37" s="14">
        <f t="shared" si="12"/>
        <v>6</v>
      </c>
    </row>
    <row r="38" spans="1:28" x14ac:dyDescent="0.25">
      <c r="A38" t="s">
        <v>54</v>
      </c>
      <c r="B38" t="s">
        <v>29</v>
      </c>
      <c r="C38" t="s">
        <v>30</v>
      </c>
      <c r="E38" s="2" t="s">
        <v>33</v>
      </c>
      <c r="F38">
        <v>30</v>
      </c>
      <c r="G38">
        <v>48</v>
      </c>
      <c r="H38">
        <v>900</v>
      </c>
      <c r="I38">
        <v>930</v>
      </c>
      <c r="J38" s="9">
        <v>2.75</v>
      </c>
      <c r="K38" s="9">
        <v>3.7</v>
      </c>
      <c r="L38" s="9">
        <v>4.2</v>
      </c>
      <c r="M38" s="9">
        <v>2</v>
      </c>
      <c r="N38" t="str">
        <f t="shared" si="0"/>
        <v>UF553048</v>
      </c>
      <c r="Q38" s="14">
        <f t="shared" si="7"/>
        <v>108</v>
      </c>
      <c r="R38" s="9">
        <f t="shared" si="1"/>
        <v>359.64</v>
      </c>
      <c r="S38" s="14" t="str">
        <f t="shared" si="2"/>
        <v>FIT</v>
      </c>
      <c r="T38" s="14">
        <f t="shared" si="3"/>
        <v>3</v>
      </c>
      <c r="U38" s="14">
        <f t="shared" si="8"/>
        <v>36</v>
      </c>
      <c r="V38" s="14">
        <f t="shared" si="9"/>
        <v>108</v>
      </c>
      <c r="W38" s="9">
        <f t="shared" si="4"/>
        <v>359.64</v>
      </c>
      <c r="X38" s="9">
        <f t="shared" si="10"/>
        <v>33.479999999999997</v>
      </c>
      <c r="Y38" s="9">
        <f t="shared" si="11"/>
        <v>66.959999999999994</v>
      </c>
      <c r="Z38" s="9">
        <f t="shared" si="5"/>
        <v>11.100000000000001</v>
      </c>
      <c r="AA38" s="1" t="str">
        <f t="shared" si="6"/>
        <v>Panasonic UF553048 Prismatic cells in a 3s36p arrangement for a total of 32.4 Ah at 11.1 V nominal</v>
      </c>
      <c r="AB38" s="14">
        <f t="shared" si="12"/>
        <v>1</v>
      </c>
    </row>
    <row r="39" spans="1:28" x14ac:dyDescent="0.25">
      <c r="A39" t="s">
        <v>54</v>
      </c>
      <c r="B39" t="s">
        <v>29</v>
      </c>
      <c r="C39" t="s">
        <v>30</v>
      </c>
      <c r="E39" s="2" t="s">
        <v>34</v>
      </c>
      <c r="F39">
        <v>31</v>
      </c>
      <c r="G39">
        <v>36</v>
      </c>
      <c r="H39">
        <v>700</v>
      </c>
      <c r="I39">
        <v>740</v>
      </c>
      <c r="J39" s="9">
        <v>2.75</v>
      </c>
      <c r="K39" s="9">
        <v>3.7</v>
      </c>
      <c r="L39" s="9">
        <v>4.2</v>
      </c>
      <c r="M39" s="9">
        <v>2</v>
      </c>
      <c r="N39" t="str">
        <f t="shared" si="0"/>
        <v>UF583136</v>
      </c>
      <c r="Q39" s="14">
        <f t="shared" si="7"/>
        <v>102</v>
      </c>
      <c r="R39" s="9">
        <f t="shared" si="1"/>
        <v>264.18</v>
      </c>
      <c r="S39" s="14" t="str">
        <f t="shared" si="2"/>
        <v>FIT</v>
      </c>
      <c r="T39" s="14">
        <f t="shared" si="3"/>
        <v>3</v>
      </c>
      <c r="U39" s="14">
        <f t="shared" si="8"/>
        <v>34</v>
      </c>
      <c r="V39" s="14">
        <f t="shared" si="9"/>
        <v>102</v>
      </c>
      <c r="W39" s="9">
        <f t="shared" si="4"/>
        <v>264.18</v>
      </c>
      <c r="X39" s="9">
        <f t="shared" si="10"/>
        <v>25.16</v>
      </c>
      <c r="Y39" s="9">
        <f t="shared" si="11"/>
        <v>50.32</v>
      </c>
      <c r="Z39" s="9">
        <f t="shared" si="5"/>
        <v>11.100000000000001</v>
      </c>
      <c r="AA39" s="1" t="str">
        <f t="shared" si="6"/>
        <v>Panasonic UF583136 Prismatic cells in a 3s34p arrangement for a total of 23.8 Ah at 11.1 V nominal</v>
      </c>
      <c r="AB39" s="14">
        <f t="shared" si="12"/>
        <v>29</v>
      </c>
    </row>
    <row r="40" spans="1:28" x14ac:dyDescent="0.25">
      <c r="A40" t="s">
        <v>54</v>
      </c>
      <c r="B40" t="s">
        <v>29</v>
      </c>
      <c r="C40" t="s">
        <v>30</v>
      </c>
      <c r="E40" s="2" t="s">
        <v>35</v>
      </c>
      <c r="F40">
        <v>31</v>
      </c>
      <c r="G40">
        <v>41</v>
      </c>
      <c r="H40">
        <v>1050</v>
      </c>
      <c r="I40">
        <v>1090</v>
      </c>
      <c r="J40" s="9">
        <v>2.75</v>
      </c>
      <c r="K40" s="9">
        <v>3.7</v>
      </c>
      <c r="L40" s="9">
        <v>4.2</v>
      </c>
      <c r="M40" s="9">
        <v>2</v>
      </c>
      <c r="N40" t="str">
        <f t="shared" si="0"/>
        <v>UF703141</v>
      </c>
      <c r="Q40" s="14">
        <f t="shared" si="7"/>
        <v>84</v>
      </c>
      <c r="R40" s="9">
        <f t="shared" si="1"/>
        <v>326.33999999999997</v>
      </c>
      <c r="S40" s="14" t="str">
        <f t="shared" si="2"/>
        <v>FIT</v>
      </c>
      <c r="T40" s="14">
        <f t="shared" si="3"/>
        <v>3</v>
      </c>
      <c r="U40" s="14">
        <f t="shared" si="8"/>
        <v>28</v>
      </c>
      <c r="V40" s="14">
        <f t="shared" si="9"/>
        <v>84</v>
      </c>
      <c r="W40" s="9">
        <f t="shared" si="4"/>
        <v>326.33999999999997</v>
      </c>
      <c r="X40" s="9">
        <f t="shared" si="10"/>
        <v>30.52</v>
      </c>
      <c r="Y40" s="9">
        <f t="shared" si="11"/>
        <v>61.04</v>
      </c>
      <c r="Z40" s="9">
        <f t="shared" si="5"/>
        <v>11.100000000000001</v>
      </c>
      <c r="AA40" s="1" t="str">
        <f t="shared" si="6"/>
        <v>Panasonic UF703141 Prismatic cells in a 3s28p arrangement for a total of 29.4 Ah at 11.1 V nominal</v>
      </c>
      <c r="AB40" s="14">
        <f t="shared" si="12"/>
        <v>10</v>
      </c>
    </row>
    <row r="41" spans="1:28" x14ac:dyDescent="0.25">
      <c r="A41" t="s">
        <v>54</v>
      </c>
      <c r="B41" t="s">
        <v>29</v>
      </c>
      <c r="C41" t="s">
        <v>30</v>
      </c>
      <c r="E41" s="2" t="s">
        <v>36</v>
      </c>
      <c r="F41">
        <v>34</v>
      </c>
      <c r="G41">
        <v>36</v>
      </c>
      <c r="H41">
        <v>670</v>
      </c>
      <c r="I41">
        <v>700</v>
      </c>
      <c r="J41" s="9">
        <v>2.75</v>
      </c>
      <c r="K41" s="9">
        <v>3.7</v>
      </c>
      <c r="L41" s="9">
        <v>4.2</v>
      </c>
      <c r="M41" s="9">
        <v>2</v>
      </c>
      <c r="N41" t="str">
        <f t="shared" si="0"/>
        <v>UF503436</v>
      </c>
      <c r="Q41" s="14">
        <f t="shared" si="7"/>
        <v>80</v>
      </c>
      <c r="R41" s="9">
        <f t="shared" si="1"/>
        <v>198.32</v>
      </c>
      <c r="S41" s="14" t="str">
        <f t="shared" si="2"/>
        <v>FIT</v>
      </c>
      <c r="T41" s="14">
        <f t="shared" si="3"/>
        <v>3</v>
      </c>
      <c r="U41" s="14">
        <f t="shared" si="8"/>
        <v>26</v>
      </c>
      <c r="V41" s="14">
        <f t="shared" si="9"/>
        <v>78</v>
      </c>
      <c r="W41" s="9">
        <f t="shared" si="4"/>
        <v>193.36199999999999</v>
      </c>
      <c r="X41" s="9">
        <f t="shared" si="10"/>
        <v>18.2</v>
      </c>
      <c r="Y41" s="9">
        <f t="shared" si="11"/>
        <v>36.4</v>
      </c>
      <c r="Z41" s="9">
        <f t="shared" si="5"/>
        <v>11.100000000000001</v>
      </c>
      <c r="AA41" s="1" t="str">
        <f t="shared" si="6"/>
        <v>Panasonic UF503436 Prismatic cells in a 3s26p arrangement for a total of 17.42 Ah at 11.1 V nominal</v>
      </c>
      <c r="AB41" s="14">
        <f t="shared" si="12"/>
        <v>81</v>
      </c>
    </row>
    <row r="42" spans="1:28" x14ac:dyDescent="0.25">
      <c r="A42" t="s">
        <v>54</v>
      </c>
      <c r="B42" t="s">
        <v>29</v>
      </c>
      <c r="C42" t="s">
        <v>30</v>
      </c>
      <c r="E42" s="2" t="s">
        <v>33</v>
      </c>
      <c r="F42">
        <v>34</v>
      </c>
      <c r="G42">
        <v>36</v>
      </c>
      <c r="H42">
        <v>800</v>
      </c>
      <c r="I42">
        <v>830</v>
      </c>
      <c r="J42" s="9">
        <v>2.75</v>
      </c>
      <c r="K42" s="9">
        <v>3.7</v>
      </c>
      <c r="L42" s="9">
        <v>4.2</v>
      </c>
      <c r="M42" s="9">
        <v>2</v>
      </c>
      <c r="N42" t="str">
        <f t="shared" si="0"/>
        <v>UF553436</v>
      </c>
      <c r="Q42" s="14">
        <f t="shared" si="7"/>
        <v>72</v>
      </c>
      <c r="R42" s="9">
        <f t="shared" si="1"/>
        <v>213.12</v>
      </c>
      <c r="S42" s="14" t="str">
        <f t="shared" si="2"/>
        <v>FIT</v>
      </c>
      <c r="T42" s="14">
        <f t="shared" si="3"/>
        <v>3</v>
      </c>
      <c r="U42" s="14">
        <f t="shared" si="8"/>
        <v>24</v>
      </c>
      <c r="V42" s="14">
        <f t="shared" si="9"/>
        <v>72</v>
      </c>
      <c r="W42" s="9">
        <f t="shared" si="4"/>
        <v>213.12</v>
      </c>
      <c r="X42" s="9">
        <f t="shared" si="10"/>
        <v>19.920000000000002</v>
      </c>
      <c r="Y42" s="9">
        <f t="shared" si="11"/>
        <v>39.840000000000003</v>
      </c>
      <c r="Z42" s="9">
        <f t="shared" si="5"/>
        <v>11.100000000000001</v>
      </c>
      <c r="AA42" s="1" t="str">
        <f t="shared" si="6"/>
        <v>Panasonic UF553436 Prismatic cells in a 3s24p arrangement for a total of 19.2 Ah at 11.1 V nominal</v>
      </c>
      <c r="AB42" s="14">
        <f t="shared" si="12"/>
        <v>68</v>
      </c>
    </row>
    <row r="43" spans="1:28" x14ac:dyDescent="0.25">
      <c r="A43" t="s">
        <v>54</v>
      </c>
      <c r="B43" t="s">
        <v>29</v>
      </c>
      <c r="C43" t="s">
        <v>30</v>
      </c>
      <c r="E43" s="2" t="s">
        <v>22</v>
      </c>
      <c r="F43">
        <v>34</v>
      </c>
      <c r="G43">
        <v>36</v>
      </c>
      <c r="H43">
        <v>900</v>
      </c>
      <c r="I43">
        <v>930</v>
      </c>
      <c r="J43" s="9">
        <v>2.75</v>
      </c>
      <c r="K43" s="9">
        <v>3.7</v>
      </c>
      <c r="L43" s="9">
        <v>4.2</v>
      </c>
      <c r="M43" s="9">
        <v>2</v>
      </c>
      <c r="N43" t="str">
        <f t="shared" si="0"/>
        <v>UF653436</v>
      </c>
      <c r="Q43" s="14">
        <f t="shared" si="7"/>
        <v>60</v>
      </c>
      <c r="R43" s="9">
        <f t="shared" si="1"/>
        <v>199.8</v>
      </c>
      <c r="S43" s="14" t="str">
        <f t="shared" si="2"/>
        <v>FIT</v>
      </c>
      <c r="T43" s="14">
        <f t="shared" si="3"/>
        <v>3</v>
      </c>
      <c r="U43" s="14">
        <f t="shared" si="8"/>
        <v>20</v>
      </c>
      <c r="V43" s="14">
        <f t="shared" si="9"/>
        <v>60</v>
      </c>
      <c r="W43" s="9">
        <f t="shared" si="4"/>
        <v>199.8</v>
      </c>
      <c r="X43" s="9">
        <f t="shared" si="10"/>
        <v>18.600000000000001</v>
      </c>
      <c r="Y43" s="9">
        <f t="shared" si="11"/>
        <v>37.200000000000003</v>
      </c>
      <c r="Z43" s="9">
        <f t="shared" si="5"/>
        <v>11.100000000000001</v>
      </c>
      <c r="AA43" s="1" t="str">
        <f t="shared" si="6"/>
        <v>Panasonic UF653436 Prismatic cells in a 3s20p arrangement for a total of 18 Ah at 11.1 V nominal</v>
      </c>
      <c r="AB43" s="14">
        <f t="shared" si="12"/>
        <v>78</v>
      </c>
    </row>
    <row r="44" spans="1:28" x14ac:dyDescent="0.25">
      <c r="A44" t="s">
        <v>54</v>
      </c>
      <c r="B44" t="s">
        <v>29</v>
      </c>
      <c r="C44" t="s">
        <v>30</v>
      </c>
      <c r="E44" s="2" t="s">
        <v>37</v>
      </c>
      <c r="F44">
        <v>34</v>
      </c>
      <c r="G44">
        <v>36</v>
      </c>
      <c r="H44">
        <v>950</v>
      </c>
      <c r="I44">
        <v>980</v>
      </c>
      <c r="J44" s="9">
        <v>2.75</v>
      </c>
      <c r="K44" s="9">
        <v>3.7</v>
      </c>
      <c r="L44" s="9">
        <v>4.2</v>
      </c>
      <c r="M44" s="9">
        <v>2</v>
      </c>
      <c r="N44" t="str">
        <f t="shared" si="0"/>
        <v>UF663436</v>
      </c>
      <c r="Q44" s="14">
        <f t="shared" si="7"/>
        <v>60</v>
      </c>
      <c r="R44" s="9">
        <f t="shared" si="1"/>
        <v>210.9</v>
      </c>
      <c r="S44" s="14" t="str">
        <f t="shared" si="2"/>
        <v>FIT</v>
      </c>
      <c r="T44" s="14">
        <f t="shared" si="3"/>
        <v>3</v>
      </c>
      <c r="U44" s="14">
        <f t="shared" si="8"/>
        <v>20</v>
      </c>
      <c r="V44" s="14">
        <f t="shared" si="9"/>
        <v>60</v>
      </c>
      <c r="W44" s="9">
        <f t="shared" si="4"/>
        <v>210.9</v>
      </c>
      <c r="X44" s="9">
        <f t="shared" si="10"/>
        <v>19.600000000000001</v>
      </c>
      <c r="Y44" s="9">
        <f t="shared" si="11"/>
        <v>39.200000000000003</v>
      </c>
      <c r="Z44" s="9">
        <f t="shared" si="5"/>
        <v>11.100000000000001</v>
      </c>
      <c r="AA44" s="1" t="str">
        <f t="shared" si="6"/>
        <v>Panasonic UF663436 Prismatic cells in a 3s20p arrangement for a total of 19 Ah at 11.1 V nominal</v>
      </c>
      <c r="AB44" s="14">
        <f t="shared" si="12"/>
        <v>70</v>
      </c>
    </row>
    <row r="45" spans="1:28" x14ac:dyDescent="0.25">
      <c r="A45" t="s">
        <v>54</v>
      </c>
      <c r="B45" t="s">
        <v>29</v>
      </c>
      <c r="C45" t="s">
        <v>30</v>
      </c>
      <c r="E45" s="2" t="s">
        <v>32</v>
      </c>
      <c r="F45">
        <v>34</v>
      </c>
      <c r="G45">
        <v>43</v>
      </c>
      <c r="H45">
        <v>820</v>
      </c>
      <c r="I45">
        <v>850</v>
      </c>
      <c r="J45" s="9">
        <v>2.75</v>
      </c>
      <c r="K45" s="9">
        <v>3.7</v>
      </c>
      <c r="L45" s="9">
        <v>4.2</v>
      </c>
      <c r="M45" s="9">
        <v>2</v>
      </c>
      <c r="N45" t="str">
        <f t="shared" si="0"/>
        <v>UF463443</v>
      </c>
      <c r="Q45" s="14">
        <f t="shared" si="7"/>
        <v>84</v>
      </c>
      <c r="R45" s="9">
        <f t="shared" si="1"/>
        <v>254.85599999999999</v>
      </c>
      <c r="S45" s="14" t="str">
        <f t="shared" si="2"/>
        <v>FIT</v>
      </c>
      <c r="T45" s="14">
        <f t="shared" si="3"/>
        <v>3</v>
      </c>
      <c r="U45" s="14">
        <f t="shared" si="8"/>
        <v>28</v>
      </c>
      <c r="V45" s="14">
        <f t="shared" si="9"/>
        <v>84</v>
      </c>
      <c r="W45" s="9">
        <f t="shared" si="4"/>
        <v>254.85599999999999</v>
      </c>
      <c r="X45" s="9">
        <f t="shared" si="10"/>
        <v>23.8</v>
      </c>
      <c r="Y45" s="9">
        <f t="shared" si="11"/>
        <v>47.6</v>
      </c>
      <c r="Z45" s="9">
        <f t="shared" si="5"/>
        <v>11.100000000000001</v>
      </c>
      <c r="AA45" s="1" t="str">
        <f t="shared" si="6"/>
        <v>Panasonic UF463443 Prismatic cells in a 3s28p arrangement for a total of 22.96 Ah at 11.1 V nominal</v>
      </c>
      <c r="AB45" s="14">
        <f t="shared" si="12"/>
        <v>36</v>
      </c>
    </row>
    <row r="46" spans="1:28" x14ac:dyDescent="0.25">
      <c r="A46" t="s">
        <v>54</v>
      </c>
      <c r="B46" t="s">
        <v>29</v>
      </c>
      <c r="C46" t="s">
        <v>30</v>
      </c>
      <c r="E46" s="2" t="s">
        <v>33</v>
      </c>
      <c r="F46">
        <v>34</v>
      </c>
      <c r="G46">
        <v>43</v>
      </c>
      <c r="H46">
        <v>1000</v>
      </c>
      <c r="I46">
        <v>1040</v>
      </c>
      <c r="J46" s="9">
        <v>2.75</v>
      </c>
      <c r="K46" s="9">
        <v>3.7</v>
      </c>
      <c r="L46" s="9">
        <v>4.2</v>
      </c>
      <c r="M46" s="9">
        <v>2</v>
      </c>
      <c r="N46" t="str">
        <f t="shared" si="0"/>
        <v>UF553443</v>
      </c>
      <c r="Q46" s="14">
        <f t="shared" si="7"/>
        <v>72</v>
      </c>
      <c r="R46" s="9">
        <f t="shared" ref="R46:R77" si="13">IF(AND(Q46&gt;0,((K46*H46*Q46)/1000)&gt;=$B$6),(K46*H46*Q46)/1000,"")</f>
        <v>266.39999999999998</v>
      </c>
      <c r="S46" s="14" t="str">
        <f t="shared" ref="S46:S77" si="14">IF(Q46=0,"TOO BIG",IF((K46*H46*Q46)/1000&lt;$B$6,"ENERGY TOO LOW","FIT"))</f>
        <v>FIT</v>
      </c>
      <c r="T46" s="14">
        <f t="shared" si="3"/>
        <v>3</v>
      </c>
      <c r="U46" s="14">
        <f t="shared" si="8"/>
        <v>24</v>
      </c>
      <c r="V46" s="14">
        <f t="shared" si="9"/>
        <v>72</v>
      </c>
      <c r="W46" s="9">
        <f t="shared" ref="W46:W77" si="15">IF(AND(V46&gt;0,((K46*H46*V46)/1000)&gt;=$B$6),(K46*H46*V46)/1000,"")</f>
        <v>266.39999999999998</v>
      </c>
      <c r="X46" s="9">
        <f t="shared" si="10"/>
        <v>24.96</v>
      </c>
      <c r="Y46" s="9">
        <f t="shared" si="11"/>
        <v>49.92</v>
      </c>
      <c r="Z46" s="9">
        <f t="shared" ref="Z46:Z77" si="16">IF(W46="","",T46*K46)</f>
        <v>11.100000000000001</v>
      </c>
      <c r="AA46" s="1" t="str">
        <f t="shared" ref="AA46:AA77" si="17">IF(AND(V46&gt;0,NOT(W46="")),A46&amp;" "&amp;N46&amp;" "&amp;B46&amp;" cells in a "&amp;T46&amp;"s"&amp;U46&amp;"p arrangement for a total of "&amp;U46*H46/1000&amp;" Ah at "&amp;T46*K46&amp;" V nominal","")</f>
        <v>Panasonic UF553443 Prismatic cells in a 3s24p arrangement for a total of 24 Ah at 11.1 V nominal</v>
      </c>
      <c r="AB46" s="14">
        <f t="shared" si="12"/>
        <v>28</v>
      </c>
    </row>
    <row r="47" spans="1:28" x14ac:dyDescent="0.25">
      <c r="A47" t="s">
        <v>54</v>
      </c>
      <c r="B47" t="s">
        <v>29</v>
      </c>
      <c r="C47" t="s">
        <v>30</v>
      </c>
      <c r="E47" s="2" t="s">
        <v>32</v>
      </c>
      <c r="F47">
        <v>34</v>
      </c>
      <c r="G47">
        <v>46</v>
      </c>
      <c r="H47">
        <v>840</v>
      </c>
      <c r="I47">
        <v>870</v>
      </c>
      <c r="J47" s="9">
        <v>2.75</v>
      </c>
      <c r="K47" s="9">
        <v>3.7</v>
      </c>
      <c r="L47" s="9">
        <v>4.2</v>
      </c>
      <c r="M47" s="9">
        <v>2</v>
      </c>
      <c r="N47" t="str">
        <f t="shared" si="0"/>
        <v>UF463446</v>
      </c>
      <c r="Q47" s="14">
        <f t="shared" si="7"/>
        <v>84</v>
      </c>
      <c r="R47" s="9">
        <f t="shared" si="13"/>
        <v>261.072</v>
      </c>
      <c r="S47" s="14" t="str">
        <f t="shared" si="14"/>
        <v>FIT</v>
      </c>
      <c r="T47" s="14">
        <f t="shared" si="3"/>
        <v>3</v>
      </c>
      <c r="U47" s="14">
        <f t="shared" si="8"/>
        <v>28</v>
      </c>
      <c r="V47" s="14">
        <f t="shared" si="9"/>
        <v>84</v>
      </c>
      <c r="W47" s="9">
        <f t="shared" si="15"/>
        <v>261.072</v>
      </c>
      <c r="X47" s="9">
        <f t="shared" si="10"/>
        <v>24.36</v>
      </c>
      <c r="Y47" s="9">
        <f t="shared" si="11"/>
        <v>48.72</v>
      </c>
      <c r="Z47" s="9">
        <f t="shared" si="16"/>
        <v>11.100000000000001</v>
      </c>
      <c r="AA47" s="1" t="str">
        <f t="shared" si="17"/>
        <v>Panasonic UF463446 Prismatic cells in a 3s28p arrangement for a total of 23.52 Ah at 11.1 V nominal</v>
      </c>
      <c r="AB47" s="14">
        <f t="shared" si="12"/>
        <v>32</v>
      </c>
    </row>
    <row r="48" spans="1:28" x14ac:dyDescent="0.25">
      <c r="A48" t="s">
        <v>54</v>
      </c>
      <c r="B48" t="s">
        <v>29</v>
      </c>
      <c r="C48" t="s">
        <v>30</v>
      </c>
      <c r="E48" s="2" t="s">
        <v>33</v>
      </c>
      <c r="F48">
        <v>34</v>
      </c>
      <c r="G48">
        <v>46</v>
      </c>
      <c r="H48">
        <v>1030</v>
      </c>
      <c r="I48">
        <v>1080</v>
      </c>
      <c r="J48" s="9">
        <v>2.75</v>
      </c>
      <c r="K48" s="9">
        <v>3.7</v>
      </c>
      <c r="L48" s="9">
        <v>4.2</v>
      </c>
      <c r="M48" s="9">
        <v>2</v>
      </c>
      <c r="N48" t="str">
        <f t="shared" si="0"/>
        <v>UF553446</v>
      </c>
      <c r="Q48" s="14">
        <f t="shared" si="7"/>
        <v>72</v>
      </c>
      <c r="R48" s="9">
        <f t="shared" si="13"/>
        <v>274.392</v>
      </c>
      <c r="S48" s="14" t="str">
        <f t="shared" si="14"/>
        <v>FIT</v>
      </c>
      <c r="T48" s="14">
        <f t="shared" si="3"/>
        <v>3</v>
      </c>
      <c r="U48" s="14">
        <f t="shared" si="8"/>
        <v>24</v>
      </c>
      <c r="V48" s="14">
        <f t="shared" si="9"/>
        <v>72</v>
      </c>
      <c r="W48" s="9">
        <f t="shared" si="15"/>
        <v>274.392</v>
      </c>
      <c r="X48" s="9">
        <f t="shared" si="10"/>
        <v>25.92</v>
      </c>
      <c r="Y48" s="9">
        <f t="shared" si="11"/>
        <v>51.84</v>
      </c>
      <c r="Z48" s="9">
        <f t="shared" si="16"/>
        <v>11.100000000000001</v>
      </c>
      <c r="AA48" s="1" t="str">
        <f t="shared" si="17"/>
        <v>Panasonic UF553446 Prismatic cells in a 3s24p arrangement for a total of 24.72 Ah at 11.1 V nominal</v>
      </c>
      <c r="AB48" s="14">
        <f t="shared" si="12"/>
        <v>23</v>
      </c>
    </row>
    <row r="49" spans="1:28" x14ac:dyDescent="0.25">
      <c r="A49" t="s">
        <v>54</v>
      </c>
      <c r="B49" t="s">
        <v>29</v>
      </c>
      <c r="C49" t="s">
        <v>30</v>
      </c>
      <c r="E49" s="2" t="s">
        <v>32</v>
      </c>
      <c r="F49">
        <v>34</v>
      </c>
      <c r="G49">
        <v>50</v>
      </c>
      <c r="H49">
        <v>920</v>
      </c>
      <c r="I49">
        <v>960</v>
      </c>
      <c r="J49" s="9">
        <v>2.75</v>
      </c>
      <c r="K49" s="9">
        <v>3.7</v>
      </c>
      <c r="L49" s="9">
        <v>4.2</v>
      </c>
      <c r="M49" s="9">
        <v>2</v>
      </c>
      <c r="N49" t="str">
        <f t="shared" si="0"/>
        <v>UF463450</v>
      </c>
      <c r="Q49" s="14">
        <f t="shared" si="7"/>
        <v>84</v>
      </c>
      <c r="R49" s="9">
        <f t="shared" si="13"/>
        <v>285.93599999999998</v>
      </c>
      <c r="S49" s="14" t="str">
        <f t="shared" si="14"/>
        <v>FIT</v>
      </c>
      <c r="T49" s="14">
        <f t="shared" si="3"/>
        <v>3</v>
      </c>
      <c r="U49" s="14">
        <f t="shared" si="8"/>
        <v>28</v>
      </c>
      <c r="V49" s="14">
        <f t="shared" si="9"/>
        <v>84</v>
      </c>
      <c r="W49" s="9">
        <f t="shared" si="15"/>
        <v>285.93599999999998</v>
      </c>
      <c r="X49" s="9">
        <f t="shared" si="10"/>
        <v>26.88</v>
      </c>
      <c r="Y49" s="9">
        <f t="shared" si="11"/>
        <v>53.76</v>
      </c>
      <c r="Z49" s="9">
        <f t="shared" si="16"/>
        <v>11.100000000000001</v>
      </c>
      <c r="AA49" s="1" t="str">
        <f t="shared" si="17"/>
        <v>Panasonic UF463450 Prismatic cells in a 3s28p arrangement for a total of 25.76 Ah at 11.1 V nominal</v>
      </c>
      <c r="AB49" s="14">
        <f t="shared" si="12"/>
        <v>16</v>
      </c>
    </row>
    <row r="50" spans="1:28" x14ac:dyDescent="0.25">
      <c r="A50" t="s">
        <v>54</v>
      </c>
      <c r="B50" t="s">
        <v>29</v>
      </c>
      <c r="C50" t="s">
        <v>30</v>
      </c>
      <c r="E50" s="2" t="s">
        <v>33</v>
      </c>
      <c r="F50">
        <v>34</v>
      </c>
      <c r="G50">
        <v>50</v>
      </c>
      <c r="H50">
        <v>1150</v>
      </c>
      <c r="I50">
        <v>1200</v>
      </c>
      <c r="J50" s="9">
        <v>2.75</v>
      </c>
      <c r="K50" s="9">
        <v>3.7</v>
      </c>
      <c r="L50" s="9">
        <v>4.2</v>
      </c>
      <c r="M50" s="9">
        <v>2</v>
      </c>
      <c r="N50" t="str">
        <f t="shared" si="0"/>
        <v>UF553450</v>
      </c>
      <c r="Q50" s="14">
        <f t="shared" si="7"/>
        <v>72</v>
      </c>
      <c r="R50" s="9">
        <f t="shared" si="13"/>
        <v>306.36</v>
      </c>
      <c r="S50" s="14" t="str">
        <f t="shared" si="14"/>
        <v>FIT</v>
      </c>
      <c r="T50" s="14">
        <f t="shared" si="3"/>
        <v>3</v>
      </c>
      <c r="U50" s="14">
        <f t="shared" si="8"/>
        <v>24</v>
      </c>
      <c r="V50" s="14">
        <f t="shared" si="9"/>
        <v>72</v>
      </c>
      <c r="W50" s="9">
        <f t="shared" si="15"/>
        <v>306.36</v>
      </c>
      <c r="X50" s="9">
        <f t="shared" si="10"/>
        <v>28.8</v>
      </c>
      <c r="Y50" s="9">
        <f t="shared" si="11"/>
        <v>57.6</v>
      </c>
      <c r="Z50" s="9">
        <f t="shared" si="16"/>
        <v>11.100000000000001</v>
      </c>
      <c r="AA50" s="1" t="str">
        <f t="shared" si="17"/>
        <v>Panasonic UF553450 Prismatic cells in a 3s24p arrangement for a total of 27.6 Ah at 11.1 V nominal</v>
      </c>
      <c r="AB50" s="14">
        <f t="shared" si="12"/>
        <v>12</v>
      </c>
    </row>
    <row r="51" spans="1:28" x14ac:dyDescent="0.25">
      <c r="A51" t="s">
        <v>54</v>
      </c>
      <c r="B51" t="s">
        <v>29</v>
      </c>
      <c r="C51" t="s">
        <v>30</v>
      </c>
      <c r="E51" s="2" t="s">
        <v>22</v>
      </c>
      <c r="F51">
        <v>34</v>
      </c>
      <c r="G51">
        <v>50</v>
      </c>
      <c r="H51">
        <v>1250</v>
      </c>
      <c r="I51">
        <v>1300</v>
      </c>
      <c r="J51" s="9">
        <v>2.75</v>
      </c>
      <c r="K51" s="9">
        <v>3.7</v>
      </c>
      <c r="L51" s="9">
        <v>4.2</v>
      </c>
      <c r="M51" s="9">
        <v>2</v>
      </c>
      <c r="N51" t="str">
        <f t="shared" si="0"/>
        <v>UF653450</v>
      </c>
      <c r="Q51" s="14">
        <f t="shared" si="7"/>
        <v>60</v>
      </c>
      <c r="R51" s="9">
        <f t="shared" si="13"/>
        <v>277.5</v>
      </c>
      <c r="S51" s="14" t="str">
        <f t="shared" si="14"/>
        <v>FIT</v>
      </c>
      <c r="T51" s="14">
        <f t="shared" si="3"/>
        <v>3</v>
      </c>
      <c r="U51" s="14">
        <f t="shared" si="8"/>
        <v>20</v>
      </c>
      <c r="V51" s="14">
        <f t="shared" si="9"/>
        <v>60</v>
      </c>
      <c r="W51" s="9">
        <f t="shared" si="15"/>
        <v>277.5</v>
      </c>
      <c r="X51" s="9">
        <f t="shared" si="10"/>
        <v>26</v>
      </c>
      <c r="Y51" s="9">
        <f t="shared" si="11"/>
        <v>52</v>
      </c>
      <c r="Z51" s="9">
        <f t="shared" si="16"/>
        <v>11.100000000000001</v>
      </c>
      <c r="AA51" s="1" t="str">
        <f t="shared" si="17"/>
        <v>Panasonic UF653450 Prismatic cells in a 3s20p arrangement for a total of 25 Ah at 11.1 V nominal</v>
      </c>
      <c r="AB51" s="14">
        <f t="shared" si="12"/>
        <v>22</v>
      </c>
    </row>
    <row r="52" spans="1:28" x14ac:dyDescent="0.25">
      <c r="A52" t="s">
        <v>54</v>
      </c>
      <c r="B52" t="s">
        <v>29</v>
      </c>
      <c r="C52" t="s">
        <v>30</v>
      </c>
      <c r="E52" s="2" t="s">
        <v>35</v>
      </c>
      <c r="F52">
        <v>34</v>
      </c>
      <c r="G52">
        <v>50</v>
      </c>
      <c r="H52">
        <v>1430</v>
      </c>
      <c r="I52">
        <v>1480</v>
      </c>
      <c r="J52" s="9">
        <v>2.75</v>
      </c>
      <c r="K52" s="9">
        <v>3.7</v>
      </c>
      <c r="L52" s="9">
        <v>4.2</v>
      </c>
      <c r="M52" s="9">
        <v>2</v>
      </c>
      <c r="N52" t="str">
        <f t="shared" si="0"/>
        <v>UF703450</v>
      </c>
      <c r="Q52" s="14">
        <f t="shared" si="7"/>
        <v>56</v>
      </c>
      <c r="R52" s="9">
        <f t="shared" si="13"/>
        <v>296.29599999999999</v>
      </c>
      <c r="S52" s="14" t="str">
        <f t="shared" si="14"/>
        <v>FIT</v>
      </c>
      <c r="T52" s="14">
        <f t="shared" si="3"/>
        <v>3</v>
      </c>
      <c r="U52" s="14">
        <f t="shared" si="8"/>
        <v>18</v>
      </c>
      <c r="V52" s="14">
        <f t="shared" si="9"/>
        <v>54</v>
      </c>
      <c r="W52" s="9">
        <f t="shared" si="15"/>
        <v>285.714</v>
      </c>
      <c r="X52" s="9">
        <f t="shared" si="10"/>
        <v>26.64</v>
      </c>
      <c r="Y52" s="9">
        <f t="shared" si="11"/>
        <v>53.28</v>
      </c>
      <c r="Z52" s="9">
        <f t="shared" si="16"/>
        <v>11.100000000000001</v>
      </c>
      <c r="AA52" s="1" t="str">
        <f t="shared" si="17"/>
        <v>Panasonic UF703450 Prismatic cells in a 3s18p arrangement for a total of 25.74 Ah at 11.1 V nominal</v>
      </c>
      <c r="AB52" s="14">
        <f t="shared" si="12"/>
        <v>17</v>
      </c>
    </row>
    <row r="53" spans="1:28" x14ac:dyDescent="0.25">
      <c r="A53" t="s">
        <v>54</v>
      </c>
      <c r="B53" t="s">
        <v>29</v>
      </c>
      <c r="C53" t="s">
        <v>30</v>
      </c>
      <c r="E53" s="3" t="s">
        <v>38</v>
      </c>
      <c r="F53">
        <v>34</v>
      </c>
      <c r="G53">
        <v>50</v>
      </c>
      <c r="H53">
        <v>1880</v>
      </c>
      <c r="I53">
        <v>2000</v>
      </c>
      <c r="J53" s="9">
        <v>2.75</v>
      </c>
      <c r="K53" s="9">
        <v>3.7</v>
      </c>
      <c r="L53" s="9">
        <v>4.2</v>
      </c>
      <c r="M53" s="9">
        <v>2</v>
      </c>
      <c r="N53" t="str">
        <f>C53&amp;(E53)&amp;F53&amp;G53</f>
        <v>UF103450</v>
      </c>
      <c r="Q53" s="14">
        <f t="shared" si="7"/>
        <v>40</v>
      </c>
      <c r="R53" s="9">
        <f t="shared" si="13"/>
        <v>278.24</v>
      </c>
      <c r="S53" s="14" t="str">
        <f t="shared" si="14"/>
        <v>FIT</v>
      </c>
      <c r="T53" s="14">
        <f t="shared" si="3"/>
        <v>3</v>
      </c>
      <c r="U53" s="14">
        <f t="shared" si="8"/>
        <v>13</v>
      </c>
      <c r="V53" s="14">
        <f t="shared" si="9"/>
        <v>39</v>
      </c>
      <c r="W53" s="9">
        <f t="shared" si="15"/>
        <v>271.28399999999999</v>
      </c>
      <c r="X53" s="9">
        <f t="shared" si="10"/>
        <v>26</v>
      </c>
      <c r="Y53" s="9">
        <f t="shared" si="11"/>
        <v>52</v>
      </c>
      <c r="Z53" s="9">
        <f t="shared" si="16"/>
        <v>11.100000000000001</v>
      </c>
      <c r="AA53" s="1" t="str">
        <f t="shared" si="17"/>
        <v>Panasonic UF103450 Prismatic cells in a 3s13p arrangement for a total of 24.44 Ah at 11.1 V nominal</v>
      </c>
      <c r="AB53" s="14">
        <f t="shared" si="12"/>
        <v>25</v>
      </c>
    </row>
    <row r="54" spans="1:28" x14ac:dyDescent="0.25">
      <c r="A54" t="s">
        <v>54</v>
      </c>
      <c r="B54" t="s">
        <v>29</v>
      </c>
      <c r="C54" t="s">
        <v>30</v>
      </c>
      <c r="E54" s="2" t="s">
        <v>39</v>
      </c>
      <c r="F54">
        <v>35</v>
      </c>
      <c r="G54">
        <v>36</v>
      </c>
      <c r="H54">
        <v>880</v>
      </c>
      <c r="I54">
        <v>920</v>
      </c>
      <c r="J54" s="9">
        <v>2.75</v>
      </c>
      <c r="K54" s="9">
        <v>3.7</v>
      </c>
      <c r="L54" s="9">
        <v>4.2</v>
      </c>
      <c r="M54" s="9">
        <v>2</v>
      </c>
      <c r="N54" t="str">
        <f t="shared" ref="N54:N85" si="18">C54&amp;(E54*10)&amp;F54&amp;G54</f>
        <v>UF593536</v>
      </c>
      <c r="Q54" s="14">
        <f t="shared" si="7"/>
        <v>64</v>
      </c>
      <c r="R54" s="9">
        <f t="shared" si="13"/>
        <v>208.38399999999999</v>
      </c>
      <c r="S54" s="14" t="str">
        <f t="shared" si="14"/>
        <v>FIT</v>
      </c>
      <c r="T54" s="14">
        <f t="shared" si="3"/>
        <v>3</v>
      </c>
      <c r="U54" s="14">
        <f t="shared" si="8"/>
        <v>21</v>
      </c>
      <c r="V54" s="14">
        <f t="shared" si="9"/>
        <v>63</v>
      </c>
      <c r="W54" s="9">
        <f t="shared" si="15"/>
        <v>205.12799999999999</v>
      </c>
      <c r="X54" s="9">
        <f t="shared" si="10"/>
        <v>19.32</v>
      </c>
      <c r="Y54" s="9">
        <f t="shared" si="11"/>
        <v>38.64</v>
      </c>
      <c r="Z54" s="9">
        <f t="shared" si="16"/>
        <v>11.100000000000001</v>
      </c>
      <c r="AA54" s="1" t="str">
        <f t="shared" si="17"/>
        <v>Panasonic UF593536 Prismatic cells in a 3s21p arrangement for a total of 18.48 Ah at 11.1 V nominal</v>
      </c>
      <c r="AB54" s="14">
        <f t="shared" si="12"/>
        <v>73</v>
      </c>
    </row>
    <row r="55" spans="1:28" x14ac:dyDescent="0.25">
      <c r="A55" t="s">
        <v>54</v>
      </c>
      <c r="B55" t="s">
        <v>29</v>
      </c>
      <c r="C55" t="s">
        <v>30</v>
      </c>
      <c r="E55" s="2" t="s">
        <v>7</v>
      </c>
      <c r="F55">
        <v>35</v>
      </c>
      <c r="G55">
        <v>43</v>
      </c>
      <c r="H55">
        <v>650</v>
      </c>
      <c r="I55">
        <v>680</v>
      </c>
      <c r="J55" s="9">
        <v>2.75</v>
      </c>
      <c r="K55" s="9">
        <v>3.7</v>
      </c>
      <c r="L55" s="9">
        <v>4.2</v>
      </c>
      <c r="M55" s="9">
        <v>2</v>
      </c>
      <c r="N55" t="str">
        <f t="shared" si="18"/>
        <v>UF383543</v>
      </c>
      <c r="Q55" s="14">
        <f t="shared" si="7"/>
        <v>104</v>
      </c>
      <c r="R55" s="9">
        <f t="shared" si="13"/>
        <v>250.12</v>
      </c>
      <c r="S55" s="14" t="str">
        <f t="shared" si="14"/>
        <v>FIT</v>
      </c>
      <c r="T55" s="14">
        <f t="shared" si="3"/>
        <v>3</v>
      </c>
      <c r="U55" s="14">
        <f t="shared" si="8"/>
        <v>34</v>
      </c>
      <c r="V55" s="14">
        <f t="shared" si="9"/>
        <v>102</v>
      </c>
      <c r="W55" s="9">
        <f t="shared" si="15"/>
        <v>245.31</v>
      </c>
      <c r="X55" s="9">
        <f t="shared" si="10"/>
        <v>23.12</v>
      </c>
      <c r="Y55" s="9">
        <f t="shared" si="11"/>
        <v>46.24</v>
      </c>
      <c r="Z55" s="9">
        <f t="shared" si="16"/>
        <v>11.100000000000001</v>
      </c>
      <c r="AA55" s="1" t="str">
        <f t="shared" si="17"/>
        <v>Panasonic UF383543 Prismatic cells in a 3s34p arrangement for a total of 22.1 Ah at 11.1 V nominal</v>
      </c>
      <c r="AB55" s="14">
        <f t="shared" si="12"/>
        <v>40</v>
      </c>
    </row>
    <row r="56" spans="1:28" x14ac:dyDescent="0.25">
      <c r="A56" t="s">
        <v>54</v>
      </c>
      <c r="B56" t="s">
        <v>29</v>
      </c>
      <c r="C56" t="s">
        <v>30</v>
      </c>
      <c r="E56" s="3" t="s">
        <v>7</v>
      </c>
      <c r="F56">
        <v>35</v>
      </c>
      <c r="G56">
        <v>51</v>
      </c>
      <c r="H56">
        <v>820</v>
      </c>
      <c r="I56">
        <v>850</v>
      </c>
      <c r="J56" s="9">
        <v>2.75</v>
      </c>
      <c r="K56" s="9">
        <v>3.7</v>
      </c>
      <c r="L56" s="9">
        <v>4.2</v>
      </c>
      <c r="M56" s="9">
        <v>2</v>
      </c>
      <c r="N56" t="str">
        <f t="shared" si="18"/>
        <v>UF383551</v>
      </c>
      <c r="Q56" s="14">
        <f t="shared" si="7"/>
        <v>52</v>
      </c>
      <c r="R56" s="9">
        <f t="shared" si="13"/>
        <v>157.768</v>
      </c>
      <c r="S56" s="14" t="str">
        <f t="shared" si="14"/>
        <v>FIT</v>
      </c>
      <c r="T56" s="14">
        <f t="shared" si="3"/>
        <v>3</v>
      </c>
      <c r="U56" s="14">
        <f t="shared" si="8"/>
        <v>17</v>
      </c>
      <c r="V56" s="14">
        <f t="shared" si="9"/>
        <v>51</v>
      </c>
      <c r="W56" s="9">
        <f t="shared" si="15"/>
        <v>154.73400000000001</v>
      </c>
      <c r="X56" s="9">
        <f t="shared" si="10"/>
        <v>14.45</v>
      </c>
      <c r="Y56" s="9">
        <f t="shared" si="11"/>
        <v>28.9</v>
      </c>
      <c r="Z56" s="9">
        <f t="shared" si="16"/>
        <v>11.100000000000001</v>
      </c>
      <c r="AA56" s="1" t="str">
        <f t="shared" si="17"/>
        <v>Panasonic UF383551 Prismatic cells in a 3s17p arrangement for a total of 13.94 Ah at 11.1 V nominal</v>
      </c>
      <c r="AB56" s="14">
        <f t="shared" si="12"/>
        <v>99</v>
      </c>
    </row>
    <row r="57" spans="1:28" x14ac:dyDescent="0.25">
      <c r="A57" t="s">
        <v>54</v>
      </c>
      <c r="B57" t="s">
        <v>29</v>
      </c>
      <c r="C57" t="s">
        <v>30</v>
      </c>
      <c r="E57" s="2" t="s">
        <v>40</v>
      </c>
      <c r="F57">
        <v>36</v>
      </c>
      <c r="G57">
        <v>40</v>
      </c>
      <c r="H57">
        <v>900</v>
      </c>
      <c r="I57">
        <v>950</v>
      </c>
      <c r="J57" s="9">
        <v>2.75</v>
      </c>
      <c r="K57" s="9">
        <v>3.7</v>
      </c>
      <c r="L57" s="9">
        <v>4.2</v>
      </c>
      <c r="M57" s="9">
        <v>2</v>
      </c>
      <c r="N57" t="str">
        <f t="shared" si="18"/>
        <v>UF533640</v>
      </c>
      <c r="Q57" s="14">
        <f t="shared" si="7"/>
        <v>72</v>
      </c>
      <c r="R57" s="9">
        <f t="shared" si="13"/>
        <v>239.76</v>
      </c>
      <c r="S57" s="14" t="str">
        <f t="shared" si="14"/>
        <v>FIT</v>
      </c>
      <c r="T57" s="14">
        <f t="shared" si="3"/>
        <v>3</v>
      </c>
      <c r="U57" s="14">
        <f t="shared" si="8"/>
        <v>24</v>
      </c>
      <c r="V57" s="14">
        <f t="shared" si="9"/>
        <v>72</v>
      </c>
      <c r="W57" s="9">
        <f t="shared" si="15"/>
        <v>239.76</v>
      </c>
      <c r="X57" s="9">
        <f t="shared" si="10"/>
        <v>22.8</v>
      </c>
      <c r="Y57" s="9">
        <f t="shared" si="11"/>
        <v>45.6</v>
      </c>
      <c r="Z57" s="9">
        <f t="shared" si="16"/>
        <v>11.100000000000001</v>
      </c>
      <c r="AA57" s="1" t="str">
        <f t="shared" si="17"/>
        <v>Panasonic UF533640 Prismatic cells in a 3s24p arrangement for a total of 21.6 Ah at 11.1 V nominal</v>
      </c>
      <c r="AB57" s="14">
        <f t="shared" si="12"/>
        <v>44</v>
      </c>
    </row>
    <row r="58" spans="1:28" x14ac:dyDescent="0.25">
      <c r="A58" t="s">
        <v>54</v>
      </c>
      <c r="B58" t="s">
        <v>29</v>
      </c>
      <c r="C58" t="s">
        <v>30</v>
      </c>
      <c r="E58" s="2" t="s">
        <v>15</v>
      </c>
      <c r="F58">
        <v>36</v>
      </c>
      <c r="G58">
        <v>43</v>
      </c>
      <c r="H58">
        <v>700</v>
      </c>
      <c r="I58">
        <v>730</v>
      </c>
      <c r="J58" s="9">
        <v>2.75</v>
      </c>
      <c r="K58" s="9">
        <v>3.7</v>
      </c>
      <c r="L58" s="9">
        <v>4.2</v>
      </c>
      <c r="M58" s="9">
        <v>2</v>
      </c>
      <c r="N58" t="str">
        <f t="shared" si="18"/>
        <v>UF423643</v>
      </c>
      <c r="Q58" s="14">
        <f t="shared" si="7"/>
        <v>92</v>
      </c>
      <c r="R58" s="9">
        <f t="shared" si="13"/>
        <v>238.28</v>
      </c>
      <c r="S58" s="14" t="str">
        <f t="shared" si="14"/>
        <v>FIT</v>
      </c>
      <c r="T58" s="14">
        <f t="shared" si="3"/>
        <v>3</v>
      </c>
      <c r="U58" s="14">
        <f t="shared" si="8"/>
        <v>30</v>
      </c>
      <c r="V58" s="14">
        <f t="shared" si="9"/>
        <v>90</v>
      </c>
      <c r="W58" s="9">
        <f t="shared" si="15"/>
        <v>233.1</v>
      </c>
      <c r="X58" s="9">
        <f t="shared" si="10"/>
        <v>21.9</v>
      </c>
      <c r="Y58" s="9">
        <f t="shared" si="11"/>
        <v>43.8</v>
      </c>
      <c r="Z58" s="9">
        <f t="shared" si="16"/>
        <v>11.100000000000001</v>
      </c>
      <c r="AA58" s="1" t="str">
        <f t="shared" si="17"/>
        <v>Panasonic UF423643 Prismatic cells in a 3s30p arrangement for a total of 21 Ah at 11.1 V nominal</v>
      </c>
      <c r="AB58" s="14">
        <f t="shared" si="12"/>
        <v>51</v>
      </c>
    </row>
    <row r="59" spans="1:28" x14ac:dyDescent="0.25">
      <c r="A59" t="s">
        <v>54</v>
      </c>
      <c r="B59" t="s">
        <v>29</v>
      </c>
      <c r="C59" t="s">
        <v>30</v>
      </c>
      <c r="E59" s="2" t="s">
        <v>32</v>
      </c>
      <c r="F59">
        <v>36</v>
      </c>
      <c r="G59">
        <v>51</v>
      </c>
      <c r="H59">
        <v>1020</v>
      </c>
      <c r="I59">
        <v>1060</v>
      </c>
      <c r="J59" s="9">
        <v>2.75</v>
      </c>
      <c r="K59" s="9">
        <v>3.7</v>
      </c>
      <c r="L59" s="9">
        <v>4.2</v>
      </c>
      <c r="M59" s="9">
        <v>2</v>
      </c>
      <c r="N59" t="str">
        <f t="shared" si="18"/>
        <v>UF463651</v>
      </c>
      <c r="Q59" s="14">
        <f t="shared" si="7"/>
        <v>42</v>
      </c>
      <c r="R59" s="9">
        <f t="shared" si="13"/>
        <v>158.50800000000001</v>
      </c>
      <c r="S59" s="14" t="str">
        <f t="shared" si="14"/>
        <v>FIT</v>
      </c>
      <c r="T59" s="14">
        <f t="shared" si="3"/>
        <v>3</v>
      </c>
      <c r="U59" s="14">
        <f t="shared" si="8"/>
        <v>14</v>
      </c>
      <c r="V59" s="14">
        <f t="shared" si="9"/>
        <v>42</v>
      </c>
      <c r="W59" s="9">
        <f t="shared" si="15"/>
        <v>158.50800000000001</v>
      </c>
      <c r="X59" s="9">
        <f t="shared" si="10"/>
        <v>14.84</v>
      </c>
      <c r="Y59" s="9">
        <f t="shared" si="11"/>
        <v>29.68</v>
      </c>
      <c r="Z59" s="9">
        <f t="shared" si="16"/>
        <v>11.100000000000001</v>
      </c>
      <c r="AA59" s="1" t="str">
        <f t="shared" si="17"/>
        <v>Panasonic UF463651 Prismatic cells in a 3s14p arrangement for a total of 14.28 Ah at 11.1 V nominal</v>
      </c>
      <c r="AB59" s="14">
        <f t="shared" si="12"/>
        <v>97</v>
      </c>
    </row>
    <row r="60" spans="1:28" x14ac:dyDescent="0.25">
      <c r="A60" t="s">
        <v>54</v>
      </c>
      <c r="B60" t="s">
        <v>29</v>
      </c>
      <c r="C60" t="s">
        <v>30</v>
      </c>
      <c r="E60" s="2" t="s">
        <v>21</v>
      </c>
      <c r="F60">
        <v>37</v>
      </c>
      <c r="G60">
        <v>56</v>
      </c>
      <c r="H60">
        <v>1400</v>
      </c>
      <c r="I60">
        <v>1450</v>
      </c>
      <c r="J60" s="9">
        <v>2.75</v>
      </c>
      <c r="K60" s="9">
        <v>3.7</v>
      </c>
      <c r="L60" s="9">
        <v>4.2</v>
      </c>
      <c r="M60" s="9">
        <v>2</v>
      </c>
      <c r="N60" t="str">
        <f t="shared" si="18"/>
        <v>UF613756</v>
      </c>
      <c r="Q60" s="14">
        <f t="shared" si="7"/>
        <v>32</v>
      </c>
      <c r="R60" s="9">
        <f t="shared" si="13"/>
        <v>165.76</v>
      </c>
      <c r="S60" s="14" t="str">
        <f t="shared" si="14"/>
        <v>FIT</v>
      </c>
      <c r="T60" s="14">
        <f t="shared" si="3"/>
        <v>3</v>
      </c>
      <c r="U60" s="14">
        <f t="shared" si="8"/>
        <v>10</v>
      </c>
      <c r="V60" s="14">
        <f t="shared" si="9"/>
        <v>30</v>
      </c>
      <c r="W60" s="9">
        <f t="shared" si="15"/>
        <v>155.4</v>
      </c>
      <c r="X60" s="9">
        <f t="shared" si="10"/>
        <v>14.5</v>
      </c>
      <c r="Y60" s="9">
        <f t="shared" si="11"/>
        <v>29</v>
      </c>
      <c r="Z60" s="9">
        <f t="shared" si="16"/>
        <v>11.100000000000001</v>
      </c>
      <c r="AA60" s="1" t="str">
        <f t="shared" si="17"/>
        <v>Panasonic UF613756 Prismatic cells in a 3s10p arrangement for a total of 14 Ah at 11.1 V nominal</v>
      </c>
      <c r="AB60" s="14">
        <f t="shared" si="12"/>
        <v>98</v>
      </c>
    </row>
    <row r="61" spans="1:28" x14ac:dyDescent="0.25">
      <c r="A61" t="s">
        <v>54</v>
      </c>
      <c r="B61" t="s">
        <v>29</v>
      </c>
      <c r="C61" t="s">
        <v>30</v>
      </c>
      <c r="E61" s="2" t="s">
        <v>41</v>
      </c>
      <c r="F61">
        <v>38</v>
      </c>
      <c r="G61">
        <v>56</v>
      </c>
      <c r="H61">
        <v>1240</v>
      </c>
      <c r="I61">
        <v>1290</v>
      </c>
      <c r="J61" s="9">
        <v>2.75</v>
      </c>
      <c r="K61" s="9">
        <v>3.7</v>
      </c>
      <c r="L61" s="9">
        <v>4.2</v>
      </c>
      <c r="M61" s="9">
        <v>2</v>
      </c>
      <c r="N61" t="str">
        <f t="shared" si="18"/>
        <v>UF493856</v>
      </c>
      <c r="Q61" s="14">
        <f t="shared" si="7"/>
        <v>40</v>
      </c>
      <c r="R61" s="9">
        <f t="shared" si="13"/>
        <v>183.52</v>
      </c>
      <c r="S61" s="14" t="str">
        <f t="shared" si="14"/>
        <v>FIT</v>
      </c>
      <c r="T61" s="14">
        <f t="shared" si="3"/>
        <v>3</v>
      </c>
      <c r="U61" s="14">
        <f t="shared" si="8"/>
        <v>13</v>
      </c>
      <c r="V61" s="14">
        <f t="shared" si="9"/>
        <v>39</v>
      </c>
      <c r="W61" s="9">
        <f t="shared" si="15"/>
        <v>178.93199999999999</v>
      </c>
      <c r="X61" s="9">
        <f t="shared" si="10"/>
        <v>16.77</v>
      </c>
      <c r="Y61" s="9">
        <f t="shared" si="11"/>
        <v>33.54</v>
      </c>
      <c r="Z61" s="9">
        <f t="shared" si="16"/>
        <v>11.100000000000001</v>
      </c>
      <c r="AA61" s="1" t="str">
        <f t="shared" si="17"/>
        <v>Panasonic UF493856 Prismatic cells in a 3s13p arrangement for a total of 16.12 Ah at 11.1 V nominal</v>
      </c>
      <c r="AB61" s="14">
        <f t="shared" si="12"/>
        <v>87</v>
      </c>
    </row>
    <row r="62" spans="1:28" x14ac:dyDescent="0.25">
      <c r="A62" t="s">
        <v>54</v>
      </c>
      <c r="B62" t="s">
        <v>29</v>
      </c>
      <c r="C62" t="s">
        <v>30</v>
      </c>
      <c r="E62" s="2" t="s">
        <v>42</v>
      </c>
      <c r="F62">
        <v>38</v>
      </c>
      <c r="G62">
        <v>61</v>
      </c>
      <c r="H62">
        <v>1130</v>
      </c>
      <c r="I62">
        <v>1170</v>
      </c>
      <c r="J62" s="9">
        <v>2.75</v>
      </c>
      <c r="K62" s="9">
        <v>3.7</v>
      </c>
      <c r="L62" s="9">
        <v>4.2</v>
      </c>
      <c r="M62" s="9">
        <v>2</v>
      </c>
      <c r="N62" t="str">
        <f t="shared" si="18"/>
        <v>UF433861</v>
      </c>
      <c r="Q62" s="14">
        <f t="shared" si="7"/>
        <v>46</v>
      </c>
      <c r="R62" s="9">
        <f t="shared" si="13"/>
        <v>192.32599999999999</v>
      </c>
      <c r="S62" s="14" t="str">
        <f t="shared" si="14"/>
        <v>FIT</v>
      </c>
      <c r="T62" s="14">
        <f t="shared" si="3"/>
        <v>3</v>
      </c>
      <c r="U62" s="14">
        <f t="shared" si="8"/>
        <v>15</v>
      </c>
      <c r="V62" s="14">
        <f t="shared" si="9"/>
        <v>45</v>
      </c>
      <c r="W62" s="9">
        <f t="shared" si="15"/>
        <v>188.14500000000001</v>
      </c>
      <c r="X62" s="9">
        <f t="shared" si="10"/>
        <v>17.55</v>
      </c>
      <c r="Y62" s="9">
        <f t="shared" si="11"/>
        <v>35.1</v>
      </c>
      <c r="Z62" s="9">
        <f t="shared" si="16"/>
        <v>11.100000000000001</v>
      </c>
      <c r="AA62" s="1" t="str">
        <f t="shared" si="17"/>
        <v>Panasonic UF433861 Prismatic cells in a 3s15p arrangement for a total of 16.95 Ah at 11.1 V nominal</v>
      </c>
      <c r="AB62" s="14">
        <f t="shared" si="12"/>
        <v>83</v>
      </c>
    </row>
    <row r="63" spans="1:28" x14ac:dyDescent="0.25">
      <c r="A63" t="s">
        <v>54</v>
      </c>
      <c r="B63" t="s">
        <v>29</v>
      </c>
      <c r="C63" t="s">
        <v>30</v>
      </c>
      <c r="E63" s="2" t="s">
        <v>36</v>
      </c>
      <c r="F63">
        <v>38</v>
      </c>
      <c r="G63">
        <v>61</v>
      </c>
      <c r="H63">
        <v>1380</v>
      </c>
      <c r="I63">
        <v>1420</v>
      </c>
      <c r="J63" s="9">
        <v>2.75</v>
      </c>
      <c r="K63" s="9">
        <v>3.7</v>
      </c>
      <c r="L63" s="9">
        <v>4.2</v>
      </c>
      <c r="M63" s="9">
        <v>2</v>
      </c>
      <c r="N63" t="str">
        <f t="shared" si="18"/>
        <v>UF503861</v>
      </c>
      <c r="Q63" s="14">
        <f t="shared" si="7"/>
        <v>40</v>
      </c>
      <c r="R63" s="9">
        <f t="shared" si="13"/>
        <v>204.24</v>
      </c>
      <c r="S63" s="14" t="str">
        <f t="shared" si="14"/>
        <v>FIT</v>
      </c>
      <c r="T63" s="14">
        <f t="shared" si="3"/>
        <v>3</v>
      </c>
      <c r="U63" s="14">
        <f t="shared" si="8"/>
        <v>13</v>
      </c>
      <c r="V63" s="14">
        <f t="shared" si="9"/>
        <v>39</v>
      </c>
      <c r="W63" s="9">
        <f t="shared" si="15"/>
        <v>199.13399999999999</v>
      </c>
      <c r="X63" s="9">
        <f t="shared" si="10"/>
        <v>18.46</v>
      </c>
      <c r="Y63" s="9">
        <f t="shared" si="11"/>
        <v>36.92</v>
      </c>
      <c r="Z63" s="9">
        <f t="shared" si="16"/>
        <v>11.100000000000001</v>
      </c>
      <c r="AA63" s="1" t="str">
        <f t="shared" si="17"/>
        <v>Panasonic UF503861 Prismatic cells in a 3s13p arrangement for a total of 17.94 Ah at 11.1 V nominal</v>
      </c>
      <c r="AB63" s="14">
        <f t="shared" si="12"/>
        <v>79</v>
      </c>
    </row>
    <row r="64" spans="1:28" x14ac:dyDescent="0.25">
      <c r="A64" t="s">
        <v>54</v>
      </c>
      <c r="B64" t="s">
        <v>29</v>
      </c>
      <c r="C64" t="s">
        <v>30</v>
      </c>
      <c r="E64" s="2" t="s">
        <v>22</v>
      </c>
      <c r="F64">
        <v>38</v>
      </c>
      <c r="G64">
        <v>64</v>
      </c>
      <c r="H64">
        <v>2040</v>
      </c>
      <c r="I64">
        <v>2100</v>
      </c>
      <c r="J64" s="9">
        <v>2.75</v>
      </c>
      <c r="K64" s="9">
        <v>3.7</v>
      </c>
      <c r="L64" s="9">
        <v>4.2</v>
      </c>
      <c r="M64" s="9">
        <v>2</v>
      </c>
      <c r="N64" t="str">
        <f t="shared" si="18"/>
        <v>UF653864</v>
      </c>
      <c r="Q64" s="14">
        <f t="shared" si="7"/>
        <v>30</v>
      </c>
      <c r="R64" s="9">
        <f t="shared" si="13"/>
        <v>226.44</v>
      </c>
      <c r="S64" s="14" t="str">
        <f t="shared" si="14"/>
        <v>FIT</v>
      </c>
      <c r="T64" s="14">
        <f t="shared" si="3"/>
        <v>3</v>
      </c>
      <c r="U64" s="14">
        <f t="shared" si="8"/>
        <v>10</v>
      </c>
      <c r="V64" s="14">
        <f t="shared" si="9"/>
        <v>30</v>
      </c>
      <c r="W64" s="9">
        <f t="shared" si="15"/>
        <v>226.44</v>
      </c>
      <c r="X64" s="9">
        <f t="shared" si="10"/>
        <v>21</v>
      </c>
      <c r="Y64" s="9">
        <f t="shared" si="11"/>
        <v>42</v>
      </c>
      <c r="Z64" s="9">
        <f t="shared" si="16"/>
        <v>11.100000000000001</v>
      </c>
      <c r="AA64" s="1" t="str">
        <f t="shared" si="17"/>
        <v>Panasonic UF653864 Prismatic cells in a 3s10p arrangement for a total of 20.4 Ah at 11.1 V nominal</v>
      </c>
      <c r="AB64" s="14">
        <f t="shared" si="12"/>
        <v>58</v>
      </c>
    </row>
    <row r="65" spans="1:28" x14ac:dyDescent="0.25">
      <c r="A65" t="s">
        <v>54</v>
      </c>
      <c r="B65" t="s">
        <v>29</v>
      </c>
      <c r="C65" t="s">
        <v>30</v>
      </c>
      <c r="E65" s="2" t="s">
        <v>33</v>
      </c>
      <c r="F65">
        <v>39</v>
      </c>
      <c r="G65">
        <v>39</v>
      </c>
      <c r="H65">
        <v>1010</v>
      </c>
      <c r="I65">
        <v>1050</v>
      </c>
      <c r="J65" s="9">
        <v>2.75</v>
      </c>
      <c r="K65" s="9">
        <v>3.7</v>
      </c>
      <c r="L65" s="9">
        <v>4.2</v>
      </c>
      <c r="M65" s="9">
        <v>2</v>
      </c>
      <c r="N65" t="str">
        <f t="shared" si="18"/>
        <v>UF553939</v>
      </c>
      <c r="Q65" s="14">
        <f t="shared" si="7"/>
        <v>72</v>
      </c>
      <c r="R65" s="9">
        <f t="shared" si="13"/>
        <v>269.06400000000002</v>
      </c>
      <c r="S65" s="14" t="str">
        <f t="shared" si="14"/>
        <v>FIT</v>
      </c>
      <c r="T65" s="14">
        <f t="shared" si="3"/>
        <v>3</v>
      </c>
      <c r="U65" s="14">
        <f t="shared" si="8"/>
        <v>24</v>
      </c>
      <c r="V65" s="14">
        <f t="shared" si="9"/>
        <v>72</v>
      </c>
      <c r="W65" s="9">
        <f t="shared" si="15"/>
        <v>269.06400000000002</v>
      </c>
      <c r="X65" s="9">
        <f t="shared" si="10"/>
        <v>25.2</v>
      </c>
      <c r="Y65" s="9">
        <f t="shared" si="11"/>
        <v>50.4</v>
      </c>
      <c r="Z65" s="9">
        <f t="shared" si="16"/>
        <v>11.100000000000001</v>
      </c>
      <c r="AA65" s="1" t="str">
        <f t="shared" si="17"/>
        <v>Panasonic UF553939 Prismatic cells in a 3s24p arrangement for a total of 24.24 Ah at 11.1 V nominal</v>
      </c>
      <c r="AB65" s="14">
        <f t="shared" si="12"/>
        <v>27</v>
      </c>
    </row>
    <row r="66" spans="1:28" x14ac:dyDescent="0.25">
      <c r="A66" t="s">
        <v>54</v>
      </c>
      <c r="B66" t="s">
        <v>29</v>
      </c>
      <c r="C66" t="s">
        <v>30</v>
      </c>
      <c r="E66" s="2" t="s">
        <v>43</v>
      </c>
      <c r="F66">
        <v>40</v>
      </c>
      <c r="G66">
        <v>42</v>
      </c>
      <c r="H66">
        <v>1230</v>
      </c>
      <c r="I66">
        <v>1270</v>
      </c>
      <c r="J66" s="9">
        <v>2.75</v>
      </c>
      <c r="K66" s="9">
        <v>3.7</v>
      </c>
      <c r="L66" s="9">
        <v>4.2</v>
      </c>
      <c r="M66" s="9">
        <v>2</v>
      </c>
      <c r="N66" t="str">
        <f t="shared" si="18"/>
        <v>UF634042</v>
      </c>
      <c r="Q66" s="14">
        <f t="shared" si="7"/>
        <v>60</v>
      </c>
      <c r="R66" s="9">
        <f t="shared" si="13"/>
        <v>273.06</v>
      </c>
      <c r="S66" s="14" t="str">
        <f t="shared" si="14"/>
        <v>FIT</v>
      </c>
      <c r="T66" s="14">
        <f t="shared" si="3"/>
        <v>3</v>
      </c>
      <c r="U66" s="14">
        <f t="shared" si="8"/>
        <v>20</v>
      </c>
      <c r="V66" s="14">
        <f t="shared" si="9"/>
        <v>60</v>
      </c>
      <c r="W66" s="9">
        <f t="shared" si="15"/>
        <v>273.06</v>
      </c>
      <c r="X66" s="9">
        <f t="shared" si="10"/>
        <v>25.4</v>
      </c>
      <c r="Y66" s="9">
        <f t="shared" si="11"/>
        <v>50.8</v>
      </c>
      <c r="Z66" s="9">
        <f t="shared" si="16"/>
        <v>11.100000000000001</v>
      </c>
      <c r="AA66" s="1" t="str">
        <f t="shared" si="17"/>
        <v>Panasonic UF634042 Prismatic cells in a 3s20p arrangement for a total of 24.6 Ah at 11.1 V nominal</v>
      </c>
      <c r="AB66" s="14">
        <f t="shared" si="12"/>
        <v>24</v>
      </c>
    </row>
    <row r="67" spans="1:28" x14ac:dyDescent="0.25">
      <c r="A67" t="s">
        <v>54</v>
      </c>
      <c r="B67" t="s">
        <v>29</v>
      </c>
      <c r="C67" t="s">
        <v>30</v>
      </c>
      <c r="E67" s="2" t="s">
        <v>18</v>
      </c>
      <c r="F67">
        <v>40</v>
      </c>
      <c r="G67">
        <v>50</v>
      </c>
      <c r="H67">
        <v>1220</v>
      </c>
      <c r="I67">
        <v>1260</v>
      </c>
      <c r="J67" s="9">
        <v>2.75</v>
      </c>
      <c r="K67" s="9">
        <v>3.7</v>
      </c>
      <c r="L67" s="9">
        <v>4.2</v>
      </c>
      <c r="M67" s="9">
        <v>2</v>
      </c>
      <c r="N67" t="str">
        <f t="shared" si="18"/>
        <v>UF514050</v>
      </c>
      <c r="Q67" s="14">
        <f t="shared" si="7"/>
        <v>76</v>
      </c>
      <c r="R67" s="9">
        <f t="shared" si="13"/>
        <v>343.06400000000002</v>
      </c>
      <c r="S67" s="14" t="str">
        <f t="shared" si="14"/>
        <v>FIT</v>
      </c>
      <c r="T67" s="14">
        <f t="shared" si="3"/>
        <v>3</v>
      </c>
      <c r="U67" s="14">
        <f t="shared" si="8"/>
        <v>25</v>
      </c>
      <c r="V67" s="14">
        <f t="shared" si="9"/>
        <v>75</v>
      </c>
      <c r="W67" s="9">
        <f t="shared" si="15"/>
        <v>338.55</v>
      </c>
      <c r="X67" s="9">
        <f t="shared" si="10"/>
        <v>31.5</v>
      </c>
      <c r="Y67" s="9">
        <f t="shared" si="11"/>
        <v>63</v>
      </c>
      <c r="Z67" s="9">
        <f t="shared" si="16"/>
        <v>11.100000000000001</v>
      </c>
      <c r="AA67" s="1" t="str">
        <f t="shared" si="17"/>
        <v>Panasonic UF514050 Prismatic cells in a 3s25p arrangement for a total of 30.5 Ah at 11.1 V nominal</v>
      </c>
      <c r="AB67" s="14">
        <f t="shared" si="12"/>
        <v>5</v>
      </c>
    </row>
    <row r="68" spans="1:28" x14ac:dyDescent="0.25">
      <c r="A68" t="s">
        <v>54</v>
      </c>
      <c r="B68" t="s">
        <v>29</v>
      </c>
      <c r="C68" t="s">
        <v>30</v>
      </c>
      <c r="E68" s="2" t="s">
        <v>44</v>
      </c>
      <c r="F68">
        <v>42</v>
      </c>
      <c r="G68">
        <v>51</v>
      </c>
      <c r="H68">
        <v>1020</v>
      </c>
      <c r="I68">
        <v>1060</v>
      </c>
      <c r="J68" s="9">
        <v>2.75</v>
      </c>
      <c r="K68" s="9">
        <v>3.7</v>
      </c>
      <c r="L68" s="9">
        <v>4.2</v>
      </c>
      <c r="M68" s="9">
        <v>2</v>
      </c>
      <c r="N68" t="str">
        <f t="shared" si="18"/>
        <v>UF404251</v>
      </c>
      <c r="Q68" s="14">
        <f t="shared" si="7"/>
        <v>50</v>
      </c>
      <c r="R68" s="9">
        <f t="shared" si="13"/>
        <v>188.7</v>
      </c>
      <c r="S68" s="14" t="str">
        <f t="shared" si="14"/>
        <v>FIT</v>
      </c>
      <c r="T68" s="14">
        <f t="shared" si="3"/>
        <v>3</v>
      </c>
      <c r="U68" s="14">
        <f t="shared" si="8"/>
        <v>16</v>
      </c>
      <c r="V68" s="14">
        <f t="shared" si="9"/>
        <v>48</v>
      </c>
      <c r="W68" s="9">
        <f t="shared" si="15"/>
        <v>181.15199999999999</v>
      </c>
      <c r="X68" s="9">
        <f t="shared" si="10"/>
        <v>16.96</v>
      </c>
      <c r="Y68" s="9">
        <f t="shared" si="11"/>
        <v>33.92</v>
      </c>
      <c r="Z68" s="9">
        <f t="shared" si="16"/>
        <v>11.100000000000001</v>
      </c>
      <c r="AA68" s="1" t="str">
        <f t="shared" si="17"/>
        <v>Panasonic UF404251 Prismatic cells in a 3s16p arrangement for a total of 16.32 Ah at 11.1 V nominal</v>
      </c>
      <c r="AB68" s="14">
        <f t="shared" si="12"/>
        <v>86</v>
      </c>
    </row>
    <row r="69" spans="1:28" x14ac:dyDescent="0.25">
      <c r="A69" t="s">
        <v>54</v>
      </c>
      <c r="B69" t="s">
        <v>29</v>
      </c>
      <c r="C69" t="s">
        <v>30</v>
      </c>
      <c r="E69" s="2" t="s">
        <v>15</v>
      </c>
      <c r="F69">
        <v>42</v>
      </c>
      <c r="G69">
        <v>61</v>
      </c>
      <c r="H69">
        <v>1300</v>
      </c>
      <c r="I69">
        <v>1350</v>
      </c>
      <c r="J69" s="9">
        <v>2.75</v>
      </c>
      <c r="K69" s="9">
        <v>3.7</v>
      </c>
      <c r="L69" s="9">
        <v>4.2</v>
      </c>
      <c r="M69" s="9">
        <v>2</v>
      </c>
      <c r="N69" t="str">
        <f t="shared" si="18"/>
        <v>UF424261</v>
      </c>
      <c r="Q69" s="14">
        <f t="shared" si="7"/>
        <v>46</v>
      </c>
      <c r="R69" s="9">
        <f t="shared" si="13"/>
        <v>221.26</v>
      </c>
      <c r="S69" s="14" t="str">
        <f t="shared" si="14"/>
        <v>FIT</v>
      </c>
      <c r="T69" s="14">
        <f t="shared" si="3"/>
        <v>3</v>
      </c>
      <c r="U69" s="14">
        <f t="shared" si="8"/>
        <v>15</v>
      </c>
      <c r="V69" s="14">
        <f t="shared" si="9"/>
        <v>45</v>
      </c>
      <c r="W69" s="9">
        <f t="shared" si="15"/>
        <v>216.45</v>
      </c>
      <c r="X69" s="9">
        <f t="shared" si="10"/>
        <v>20.25</v>
      </c>
      <c r="Y69" s="9">
        <f t="shared" si="11"/>
        <v>40.5</v>
      </c>
      <c r="Z69" s="9">
        <f t="shared" si="16"/>
        <v>11.100000000000001</v>
      </c>
      <c r="AA69" s="1" t="str">
        <f t="shared" si="17"/>
        <v>Panasonic UF424261 Prismatic cells in a 3s15p arrangement for a total of 19.5 Ah at 11.1 V nominal</v>
      </c>
      <c r="AB69" s="14">
        <f t="shared" si="12"/>
        <v>66</v>
      </c>
    </row>
    <row r="70" spans="1:28" x14ac:dyDescent="0.25">
      <c r="A70" t="s">
        <v>54</v>
      </c>
      <c r="B70" t="s">
        <v>29</v>
      </c>
      <c r="C70" t="s">
        <v>30</v>
      </c>
      <c r="E70" s="2" t="s">
        <v>45</v>
      </c>
      <c r="F70">
        <v>44</v>
      </c>
      <c r="G70">
        <v>47</v>
      </c>
      <c r="H70">
        <v>1370</v>
      </c>
      <c r="I70">
        <v>1420</v>
      </c>
      <c r="J70" s="9">
        <v>2.75</v>
      </c>
      <c r="K70" s="9">
        <v>3.7</v>
      </c>
      <c r="L70" s="9">
        <v>4.2</v>
      </c>
      <c r="M70" s="9">
        <v>2</v>
      </c>
      <c r="N70" t="str">
        <f t="shared" si="18"/>
        <v>UF564447</v>
      </c>
      <c r="Q70" s="14">
        <f t="shared" si="7"/>
        <v>68</v>
      </c>
      <c r="R70" s="9">
        <f t="shared" si="13"/>
        <v>344.69200000000001</v>
      </c>
      <c r="S70" s="14" t="str">
        <f t="shared" si="14"/>
        <v>FIT</v>
      </c>
      <c r="T70" s="14">
        <f t="shared" si="3"/>
        <v>3</v>
      </c>
      <c r="U70" s="14">
        <f t="shared" si="8"/>
        <v>22</v>
      </c>
      <c r="V70" s="14">
        <f t="shared" si="9"/>
        <v>66</v>
      </c>
      <c r="W70" s="9">
        <f t="shared" si="15"/>
        <v>334.55399999999997</v>
      </c>
      <c r="X70" s="9">
        <f t="shared" si="10"/>
        <v>31.24</v>
      </c>
      <c r="Y70" s="9">
        <f t="shared" si="11"/>
        <v>62.48</v>
      </c>
      <c r="Z70" s="9">
        <f t="shared" si="16"/>
        <v>11.100000000000001</v>
      </c>
      <c r="AA70" s="1" t="str">
        <f t="shared" si="17"/>
        <v>Panasonic UF564447 Prismatic cells in a 3s22p arrangement for a total of 30.14 Ah at 11.1 V nominal</v>
      </c>
      <c r="AB70" s="14">
        <f t="shared" si="12"/>
        <v>7</v>
      </c>
    </row>
    <row r="71" spans="1:28" x14ac:dyDescent="0.25">
      <c r="A71" t="s">
        <v>54</v>
      </c>
      <c r="B71" t="s">
        <v>29</v>
      </c>
      <c r="C71" t="s">
        <v>30</v>
      </c>
      <c r="E71" s="2" t="s">
        <v>46</v>
      </c>
      <c r="F71">
        <v>44</v>
      </c>
      <c r="G71">
        <v>47</v>
      </c>
      <c r="H71">
        <v>1520</v>
      </c>
      <c r="I71">
        <v>1580</v>
      </c>
      <c r="J71" s="9">
        <v>2.75</v>
      </c>
      <c r="K71" s="9">
        <v>3.7</v>
      </c>
      <c r="L71" s="9">
        <v>4.2</v>
      </c>
      <c r="M71" s="9">
        <v>2</v>
      </c>
      <c r="N71" t="str">
        <f t="shared" si="18"/>
        <v>UF624447</v>
      </c>
      <c r="Q71" s="14">
        <f t="shared" si="7"/>
        <v>64</v>
      </c>
      <c r="R71" s="9">
        <f t="shared" si="13"/>
        <v>359.93599999999998</v>
      </c>
      <c r="S71" s="14" t="str">
        <f t="shared" si="14"/>
        <v>FIT</v>
      </c>
      <c r="T71" s="14">
        <f t="shared" si="3"/>
        <v>3</v>
      </c>
      <c r="U71" s="14">
        <f t="shared" si="8"/>
        <v>21</v>
      </c>
      <c r="V71" s="14">
        <f t="shared" si="9"/>
        <v>63</v>
      </c>
      <c r="W71" s="9">
        <f t="shared" si="15"/>
        <v>354.31200000000001</v>
      </c>
      <c r="X71" s="9">
        <f t="shared" si="10"/>
        <v>33.18</v>
      </c>
      <c r="Y71" s="9">
        <f t="shared" si="11"/>
        <v>66.36</v>
      </c>
      <c r="Z71" s="9">
        <f t="shared" si="16"/>
        <v>11.100000000000001</v>
      </c>
      <c r="AA71" s="1" t="str">
        <f t="shared" si="17"/>
        <v>Panasonic UF624447 Prismatic cells in a 3s21p arrangement for a total of 31.92 Ah at 11.1 V nominal</v>
      </c>
      <c r="AB71" s="14">
        <f t="shared" si="12"/>
        <v>3</v>
      </c>
    </row>
    <row r="72" spans="1:28" x14ac:dyDescent="0.25">
      <c r="A72" t="s">
        <v>54</v>
      </c>
      <c r="B72" t="s">
        <v>29</v>
      </c>
      <c r="C72" t="s">
        <v>30</v>
      </c>
      <c r="E72" s="2" t="s">
        <v>32</v>
      </c>
      <c r="F72">
        <v>44</v>
      </c>
      <c r="G72">
        <v>59</v>
      </c>
      <c r="H72">
        <v>1390</v>
      </c>
      <c r="I72">
        <v>1450</v>
      </c>
      <c r="J72" s="9">
        <v>2.75</v>
      </c>
      <c r="K72" s="9">
        <v>3.7</v>
      </c>
      <c r="L72" s="9">
        <v>4.2</v>
      </c>
      <c r="M72" s="9">
        <v>2</v>
      </c>
      <c r="N72" t="str">
        <f t="shared" si="18"/>
        <v>UF464459</v>
      </c>
      <c r="Q72" s="14">
        <f t="shared" si="7"/>
        <v>42</v>
      </c>
      <c r="R72" s="9">
        <f t="shared" si="13"/>
        <v>216.006</v>
      </c>
      <c r="S72" s="14" t="str">
        <f t="shared" si="14"/>
        <v>FIT</v>
      </c>
      <c r="T72" s="14">
        <f t="shared" si="3"/>
        <v>3</v>
      </c>
      <c r="U72" s="14">
        <f t="shared" si="8"/>
        <v>14</v>
      </c>
      <c r="V72" s="14">
        <f t="shared" si="9"/>
        <v>42</v>
      </c>
      <c r="W72" s="9">
        <f t="shared" si="15"/>
        <v>216.006</v>
      </c>
      <c r="X72" s="9">
        <f t="shared" si="10"/>
        <v>20.3</v>
      </c>
      <c r="Y72" s="9">
        <f t="shared" si="11"/>
        <v>40.6</v>
      </c>
      <c r="Z72" s="9">
        <f t="shared" si="16"/>
        <v>11.100000000000001</v>
      </c>
      <c r="AA72" s="1" t="str">
        <f t="shared" si="17"/>
        <v>Panasonic UF464459 Prismatic cells in a 3s14p arrangement for a total of 19.46 Ah at 11.1 V nominal</v>
      </c>
      <c r="AB72" s="14">
        <f t="shared" si="12"/>
        <v>67</v>
      </c>
    </row>
    <row r="73" spans="1:28" x14ac:dyDescent="0.25">
      <c r="A73" t="s">
        <v>54</v>
      </c>
      <c r="B73" t="s">
        <v>29</v>
      </c>
      <c r="C73" t="s">
        <v>30</v>
      </c>
      <c r="E73" s="2" t="s">
        <v>7</v>
      </c>
      <c r="F73">
        <v>44</v>
      </c>
      <c r="G73">
        <v>61</v>
      </c>
      <c r="H73">
        <v>1230</v>
      </c>
      <c r="I73">
        <v>1280</v>
      </c>
      <c r="J73" s="9">
        <v>2.75</v>
      </c>
      <c r="K73" s="9">
        <v>3.7</v>
      </c>
      <c r="L73" s="9">
        <v>4.2</v>
      </c>
      <c r="M73" s="9">
        <v>2</v>
      </c>
      <c r="N73" t="str">
        <f t="shared" si="18"/>
        <v>UF384461</v>
      </c>
      <c r="Q73" s="14">
        <f t="shared" si="7"/>
        <v>52</v>
      </c>
      <c r="R73" s="9">
        <f t="shared" si="13"/>
        <v>236.65199999999999</v>
      </c>
      <c r="S73" s="14" t="str">
        <f t="shared" si="14"/>
        <v>FIT</v>
      </c>
      <c r="T73" s="14">
        <f t="shared" si="3"/>
        <v>3</v>
      </c>
      <c r="U73" s="14">
        <f t="shared" si="8"/>
        <v>17</v>
      </c>
      <c r="V73" s="14">
        <f t="shared" si="9"/>
        <v>51</v>
      </c>
      <c r="W73" s="9">
        <f t="shared" si="15"/>
        <v>232.101</v>
      </c>
      <c r="X73" s="9">
        <f t="shared" si="10"/>
        <v>21.76</v>
      </c>
      <c r="Y73" s="9">
        <f t="shared" si="11"/>
        <v>43.52</v>
      </c>
      <c r="Z73" s="9">
        <f t="shared" si="16"/>
        <v>11.100000000000001</v>
      </c>
      <c r="AA73" s="1" t="str">
        <f t="shared" si="17"/>
        <v>Panasonic UF384461 Prismatic cells in a 3s17p arrangement for a total of 20.91 Ah at 11.1 V nominal</v>
      </c>
      <c r="AB73" s="14">
        <f t="shared" si="12"/>
        <v>53</v>
      </c>
    </row>
    <row r="74" spans="1:28" x14ac:dyDescent="0.25">
      <c r="A74" t="s">
        <v>54</v>
      </c>
      <c r="B74" t="s">
        <v>29</v>
      </c>
      <c r="C74" t="s">
        <v>30</v>
      </c>
      <c r="E74" s="2" t="s">
        <v>32</v>
      </c>
      <c r="F74">
        <v>44</v>
      </c>
      <c r="G74">
        <v>62</v>
      </c>
      <c r="H74">
        <v>1460</v>
      </c>
      <c r="I74">
        <v>1520</v>
      </c>
      <c r="J74" s="9">
        <v>2.75</v>
      </c>
      <c r="K74" s="9">
        <v>3.7</v>
      </c>
      <c r="L74" s="9">
        <v>4.2</v>
      </c>
      <c r="M74" s="9">
        <v>2</v>
      </c>
      <c r="N74" t="str">
        <f t="shared" si="18"/>
        <v>UF464462</v>
      </c>
      <c r="Q74" s="14">
        <f t="shared" si="7"/>
        <v>42</v>
      </c>
      <c r="R74" s="9">
        <f t="shared" si="13"/>
        <v>226.88399999999999</v>
      </c>
      <c r="S74" s="14" t="str">
        <f t="shared" si="14"/>
        <v>FIT</v>
      </c>
      <c r="T74" s="14">
        <f t="shared" si="3"/>
        <v>3</v>
      </c>
      <c r="U74" s="14">
        <f t="shared" si="8"/>
        <v>14</v>
      </c>
      <c r="V74" s="14">
        <f t="shared" si="9"/>
        <v>42</v>
      </c>
      <c r="W74" s="9">
        <f t="shared" si="15"/>
        <v>226.88399999999999</v>
      </c>
      <c r="X74" s="9">
        <f t="shared" si="10"/>
        <v>21.28</v>
      </c>
      <c r="Y74" s="9">
        <f t="shared" si="11"/>
        <v>42.56</v>
      </c>
      <c r="Z74" s="9">
        <f t="shared" si="16"/>
        <v>11.100000000000001</v>
      </c>
      <c r="AA74" s="1" t="str">
        <f t="shared" si="17"/>
        <v>Panasonic UF464462 Prismatic cells in a 3s14p arrangement for a total of 20.44 Ah at 11.1 V nominal</v>
      </c>
      <c r="AB74" s="14">
        <f t="shared" si="12"/>
        <v>57</v>
      </c>
    </row>
    <row r="75" spans="1:28" x14ac:dyDescent="0.25">
      <c r="A75" t="s">
        <v>54</v>
      </c>
      <c r="B75" t="s">
        <v>29</v>
      </c>
      <c r="C75" t="s">
        <v>30</v>
      </c>
      <c r="E75" s="2" t="s">
        <v>47</v>
      </c>
      <c r="F75">
        <v>44</v>
      </c>
      <c r="G75">
        <v>62</v>
      </c>
      <c r="H75">
        <v>1530</v>
      </c>
      <c r="I75">
        <v>1590</v>
      </c>
      <c r="J75" s="9">
        <v>2.75</v>
      </c>
      <c r="K75" s="9">
        <v>3.7</v>
      </c>
      <c r="L75" s="9">
        <v>4.2</v>
      </c>
      <c r="M75" s="9">
        <v>2</v>
      </c>
      <c r="N75" t="str">
        <f t="shared" si="18"/>
        <v>UF484462</v>
      </c>
      <c r="Q75" s="14">
        <f t="shared" si="7"/>
        <v>40</v>
      </c>
      <c r="R75" s="9">
        <f t="shared" si="13"/>
        <v>226.44</v>
      </c>
      <c r="S75" s="14" t="str">
        <f t="shared" si="14"/>
        <v>FIT</v>
      </c>
      <c r="T75" s="14">
        <f t="shared" si="3"/>
        <v>3</v>
      </c>
      <c r="U75" s="14">
        <f t="shared" si="8"/>
        <v>13</v>
      </c>
      <c r="V75" s="14">
        <f t="shared" si="9"/>
        <v>39</v>
      </c>
      <c r="W75" s="9">
        <f t="shared" si="15"/>
        <v>220.779</v>
      </c>
      <c r="X75" s="9">
        <f t="shared" si="10"/>
        <v>20.67</v>
      </c>
      <c r="Y75" s="9">
        <f t="shared" si="11"/>
        <v>41.34</v>
      </c>
      <c r="Z75" s="9">
        <f t="shared" si="16"/>
        <v>11.100000000000001</v>
      </c>
      <c r="AA75" s="1" t="str">
        <f t="shared" si="17"/>
        <v>Panasonic UF484462 Prismatic cells in a 3s13p arrangement for a total of 19.89 Ah at 11.1 V nominal</v>
      </c>
      <c r="AB75" s="14">
        <f t="shared" si="12"/>
        <v>62</v>
      </c>
    </row>
    <row r="76" spans="1:28" x14ac:dyDescent="0.25">
      <c r="A76" t="s">
        <v>54</v>
      </c>
      <c r="B76" t="s">
        <v>29</v>
      </c>
      <c r="C76" t="s">
        <v>30</v>
      </c>
      <c r="E76" s="2" t="s">
        <v>40</v>
      </c>
      <c r="F76">
        <v>44</v>
      </c>
      <c r="G76">
        <v>62</v>
      </c>
      <c r="H76">
        <v>1800</v>
      </c>
      <c r="I76">
        <v>1860</v>
      </c>
      <c r="J76" s="9">
        <v>2.75</v>
      </c>
      <c r="K76" s="9">
        <v>3.7</v>
      </c>
      <c r="L76" s="9">
        <v>4.2</v>
      </c>
      <c r="M76" s="9">
        <v>2</v>
      </c>
      <c r="N76" t="str">
        <f t="shared" si="18"/>
        <v>UF534462</v>
      </c>
      <c r="Q76" s="14">
        <f t="shared" si="7"/>
        <v>36</v>
      </c>
      <c r="R76" s="9">
        <f t="shared" si="13"/>
        <v>239.76</v>
      </c>
      <c r="S76" s="14" t="str">
        <f t="shared" si="14"/>
        <v>FIT</v>
      </c>
      <c r="T76" s="14">
        <f t="shared" si="3"/>
        <v>3</v>
      </c>
      <c r="U76" s="14">
        <f t="shared" si="8"/>
        <v>12</v>
      </c>
      <c r="V76" s="14">
        <f t="shared" si="9"/>
        <v>36</v>
      </c>
      <c r="W76" s="9">
        <f t="shared" si="15"/>
        <v>239.76</v>
      </c>
      <c r="X76" s="9">
        <f t="shared" si="10"/>
        <v>22.32</v>
      </c>
      <c r="Y76" s="9">
        <f t="shared" si="11"/>
        <v>44.64</v>
      </c>
      <c r="Z76" s="9">
        <f t="shared" si="16"/>
        <v>11.100000000000001</v>
      </c>
      <c r="AA76" s="1" t="str">
        <f t="shared" si="17"/>
        <v>Panasonic UF534462 Prismatic cells in a 3s12p arrangement for a total of 21.6 Ah at 11.1 V nominal</v>
      </c>
      <c r="AB76" s="14">
        <f t="shared" si="12"/>
        <v>44</v>
      </c>
    </row>
    <row r="77" spans="1:28" x14ac:dyDescent="0.25">
      <c r="A77" t="s">
        <v>54</v>
      </c>
      <c r="B77" t="s">
        <v>29</v>
      </c>
      <c r="C77" t="s">
        <v>30</v>
      </c>
      <c r="E77" s="2" t="s">
        <v>36</v>
      </c>
      <c r="F77">
        <v>45</v>
      </c>
      <c r="G77">
        <v>47</v>
      </c>
      <c r="H77">
        <v>1240</v>
      </c>
      <c r="I77">
        <v>1290</v>
      </c>
      <c r="J77" s="9">
        <v>2.75</v>
      </c>
      <c r="K77" s="9">
        <v>3.7</v>
      </c>
      <c r="L77" s="9">
        <v>4.2</v>
      </c>
      <c r="M77" s="9">
        <v>2</v>
      </c>
      <c r="N77" t="str">
        <f t="shared" si="18"/>
        <v>UF504547</v>
      </c>
      <c r="Q77" s="14">
        <f t="shared" si="7"/>
        <v>80</v>
      </c>
      <c r="R77" s="9">
        <f t="shared" si="13"/>
        <v>367.04</v>
      </c>
      <c r="S77" s="14" t="str">
        <f t="shared" si="14"/>
        <v>FIT</v>
      </c>
      <c r="T77" s="14">
        <f t="shared" si="3"/>
        <v>3</v>
      </c>
      <c r="U77" s="14">
        <f t="shared" si="8"/>
        <v>26</v>
      </c>
      <c r="V77" s="14">
        <f t="shared" si="9"/>
        <v>78</v>
      </c>
      <c r="W77" s="9">
        <f t="shared" si="15"/>
        <v>357.86399999999998</v>
      </c>
      <c r="X77" s="9">
        <f t="shared" si="10"/>
        <v>33.54</v>
      </c>
      <c r="Y77" s="9">
        <f t="shared" si="11"/>
        <v>67.08</v>
      </c>
      <c r="Z77" s="9">
        <f t="shared" si="16"/>
        <v>11.100000000000001</v>
      </c>
      <c r="AA77" s="1" t="str">
        <f t="shared" si="17"/>
        <v>Panasonic UF504547 Prismatic cells in a 3s26p arrangement for a total of 32.24 Ah at 11.1 V nominal</v>
      </c>
      <c r="AB77" s="14">
        <f t="shared" si="12"/>
        <v>2</v>
      </c>
    </row>
    <row r="78" spans="1:28" x14ac:dyDescent="0.25">
      <c r="A78" t="s">
        <v>54</v>
      </c>
      <c r="B78" t="s">
        <v>29</v>
      </c>
      <c r="C78" t="s">
        <v>30</v>
      </c>
      <c r="E78" s="2" t="s">
        <v>36</v>
      </c>
      <c r="F78">
        <v>45</v>
      </c>
      <c r="G78">
        <v>53</v>
      </c>
      <c r="H78">
        <v>1460</v>
      </c>
      <c r="I78">
        <v>1510</v>
      </c>
      <c r="J78" s="9">
        <v>2.75</v>
      </c>
      <c r="K78" s="9">
        <v>3.7</v>
      </c>
      <c r="L78" s="9">
        <v>4.2</v>
      </c>
      <c r="M78" s="9">
        <v>2</v>
      </c>
      <c r="N78" t="str">
        <f t="shared" si="18"/>
        <v>UF504553</v>
      </c>
      <c r="Q78" s="14">
        <f t="shared" si="7"/>
        <v>40</v>
      </c>
      <c r="R78" s="9">
        <f t="shared" ref="R78:R109" si="19">IF(AND(Q78&gt;0,((K78*H78*Q78)/1000)&gt;=$B$6),(K78*H78*Q78)/1000,"")</f>
        <v>216.08</v>
      </c>
      <c r="S78" s="14" t="str">
        <f t="shared" ref="S78:S109" si="20">IF(Q78=0,"TOO BIG",IF((K78*H78*Q78)/1000&lt;$B$6,"ENERGY TOO LOW","FIT"))</f>
        <v>FIT</v>
      </c>
      <c r="T78" s="14">
        <f t="shared" ref="T78:T130" si="21">IF(AND(Q78&lt;(IF(FLOOR($B$8/K78,1)*L78&gt;=$B$7,FLOOR($B$8/L78,1),FLOOR($B$8/K78,1))),Q78&gt;0),IF(Q78*K78&gt;=$B$7,Q78,0),(IF(FLOOR($B$8/K78,1)*L78&gt;=$B$7,FLOOR($B$8/L78,1),FLOOR($B$8/K78,1))))</f>
        <v>3</v>
      </c>
      <c r="U78" s="14">
        <f t="shared" si="8"/>
        <v>13</v>
      </c>
      <c r="V78" s="14">
        <f t="shared" si="9"/>
        <v>39</v>
      </c>
      <c r="W78" s="9">
        <f t="shared" ref="W78:W109" si="22">IF(AND(V78&gt;0,((K78*H78*V78)/1000)&gt;=$B$6),(K78*H78*V78)/1000,"")</f>
        <v>210.678</v>
      </c>
      <c r="X78" s="9">
        <f t="shared" si="10"/>
        <v>19.63</v>
      </c>
      <c r="Y78" s="9">
        <f t="shared" si="11"/>
        <v>39.26</v>
      </c>
      <c r="Z78" s="9">
        <f t="shared" ref="Z78:Z109" si="23">IF(W78="","",T78*K78)</f>
        <v>11.100000000000001</v>
      </c>
      <c r="AA78" s="1" t="str">
        <f t="shared" ref="AA78:AA109" si="24">IF(AND(V78&gt;0,NOT(W78="")),A78&amp;" "&amp;N78&amp;" "&amp;B78&amp;" cells in a "&amp;T78&amp;"s"&amp;U78&amp;"p arrangement for a total of "&amp;U78*H78/1000&amp;" Ah at "&amp;T78*K78&amp;" V nominal","")</f>
        <v>Panasonic UF504553 Prismatic cells in a 3s13p arrangement for a total of 18.98 Ah at 11.1 V nominal</v>
      </c>
      <c r="AB78" s="14">
        <f t="shared" si="12"/>
        <v>72</v>
      </c>
    </row>
    <row r="79" spans="1:28" x14ac:dyDescent="0.25">
      <c r="A79" t="s">
        <v>54</v>
      </c>
      <c r="B79" t="s">
        <v>29</v>
      </c>
      <c r="C79" t="s">
        <v>30</v>
      </c>
      <c r="E79" s="2" t="s">
        <v>40</v>
      </c>
      <c r="F79">
        <v>45</v>
      </c>
      <c r="G79">
        <v>53</v>
      </c>
      <c r="H79">
        <v>1520</v>
      </c>
      <c r="I79">
        <v>1580</v>
      </c>
      <c r="J79" s="9">
        <v>2.75</v>
      </c>
      <c r="K79" s="9">
        <v>3.7</v>
      </c>
      <c r="L79" s="9">
        <v>4.2</v>
      </c>
      <c r="M79" s="9">
        <v>2</v>
      </c>
      <c r="N79" t="str">
        <f t="shared" si="18"/>
        <v>UF534553</v>
      </c>
      <c r="Q79" s="14">
        <f t="shared" ref="Q79:Q132" si="25">MAX(IF(AND(FLOOR($B$3/E79,1)&gt;0,FLOOR($B$3/F79,1)&gt;0,FLOOR($B$4/G79,1)&gt;0),FLOOR($B$5/E79,1)*FLOOR($B$3/F79,1)*FLOOR($B$4/G79,1),0),IF(AND(FLOOR($B$3/E79,1)&gt;0,FLOOR($B$3/G79,1)&gt;0,FLOOR($B$4/F79,1)&gt;0),FLOOR($B$5/E79,1)*FLOOR($B$3/G79,1)*FLOOR($B$4/F79,1),0),IF(AND(FLOOR($B$3/F79,1)&gt;0,FLOOR($B$3/E79,1)&gt;0,FLOOR($B$4/G79,1)&gt;0),FLOOR($B$5/F79,1)*FLOOR($B$3/E79,1)*FLOOR($B$4/G79,1),0),IF(AND(FLOOR($B$3/F79,1)&gt;0,FLOOR($B$3/G79,1)&gt;0,FLOOR($B$4/E79,1)&gt;0),FLOOR($B$5/F79,1)*FLOOR($B$3/G79,1)*FLOOR($B$4/E79,1),0),IF(AND(FLOOR($B$3/G79,1)&gt;0,FLOOR($B$3/E79,1)&gt;0,FLOOR($B$4/F79,1)&gt;0),FLOOR($B$5/G79,1)*FLOOR($B$3/E79,1)*FLOOR($B$4/F79,1),0),IF(AND(FLOOR($B$3/G79,1)&gt;0,FLOOR($B$3/F79,1)&gt;0,FLOOR($B$4/E79,1)&gt;0),FLOOR($B$5/G79,1)*FLOOR($B$3/F79,1)*FLOOR($B$4/E79,1),0))</f>
        <v>36</v>
      </c>
      <c r="R79" s="9">
        <f t="shared" si="19"/>
        <v>202.464</v>
      </c>
      <c r="S79" s="14" t="str">
        <f t="shared" si="20"/>
        <v>FIT</v>
      </c>
      <c r="T79" s="14">
        <f t="shared" si="21"/>
        <v>3</v>
      </c>
      <c r="U79" s="14">
        <f t="shared" ref="U79:U130" si="26">IF(T79&gt;0,FLOOR(Q79/T79,1),0)</f>
        <v>12</v>
      </c>
      <c r="V79" s="14">
        <f t="shared" ref="V79:V132" si="27">IF(OR(AND($U$3=1,B79=$V$3),AND($U$4=1,B79=$V$4),AND($U$5=1,B79=$V$5)),T79*U79,0)</f>
        <v>36</v>
      </c>
      <c r="W79" s="9">
        <f t="shared" si="22"/>
        <v>202.464</v>
      </c>
      <c r="X79" s="9">
        <f t="shared" ref="X79:X132" si="28">IF($W79="","",$U79*$I79/1000)</f>
        <v>18.96</v>
      </c>
      <c r="Y79" s="9">
        <f t="shared" ref="Y79:Y132" si="29">IF($W79="","",$M79*$U79*$I79/1000)</f>
        <v>37.92</v>
      </c>
      <c r="Z79" s="9">
        <f t="shared" si="23"/>
        <v>11.100000000000001</v>
      </c>
      <c r="AA79" s="1" t="str">
        <f t="shared" si="24"/>
        <v>Panasonic UF534553 Prismatic cells in a 3s12p arrangement for a total of 18.24 Ah at 11.1 V nominal</v>
      </c>
      <c r="AB79" s="14">
        <f t="shared" ref="AB79:AB130" si="30">IF(W79="","",RANK(W79,$W$13:$W$1008,0))</f>
        <v>76</v>
      </c>
    </row>
    <row r="80" spans="1:28" x14ac:dyDescent="0.25">
      <c r="A80" t="s">
        <v>54</v>
      </c>
      <c r="B80" t="s">
        <v>29</v>
      </c>
      <c r="C80" t="s">
        <v>30</v>
      </c>
      <c r="E80" s="2" t="s">
        <v>48</v>
      </c>
      <c r="F80">
        <v>45</v>
      </c>
      <c r="G80">
        <v>53</v>
      </c>
      <c r="H80">
        <v>1900</v>
      </c>
      <c r="I80">
        <v>1960</v>
      </c>
      <c r="J80" s="9">
        <v>2.75</v>
      </c>
      <c r="K80" s="9">
        <v>3.7</v>
      </c>
      <c r="L80" s="9">
        <v>4.2</v>
      </c>
      <c r="M80" s="9">
        <v>2</v>
      </c>
      <c r="N80" t="str">
        <f t="shared" si="18"/>
        <v>UF644553</v>
      </c>
      <c r="Q80" s="14">
        <f t="shared" si="25"/>
        <v>30</v>
      </c>
      <c r="R80" s="9">
        <f t="shared" si="19"/>
        <v>210.9</v>
      </c>
      <c r="S80" s="14" t="str">
        <f t="shared" si="20"/>
        <v>FIT</v>
      </c>
      <c r="T80" s="14">
        <f t="shared" si="21"/>
        <v>3</v>
      </c>
      <c r="U80" s="14">
        <f t="shared" si="26"/>
        <v>10</v>
      </c>
      <c r="V80" s="14">
        <f t="shared" si="27"/>
        <v>30</v>
      </c>
      <c r="W80" s="9">
        <f t="shared" si="22"/>
        <v>210.9</v>
      </c>
      <c r="X80" s="9">
        <f t="shared" si="28"/>
        <v>19.600000000000001</v>
      </c>
      <c r="Y80" s="9">
        <f t="shared" si="29"/>
        <v>39.200000000000003</v>
      </c>
      <c r="Z80" s="9">
        <f t="shared" si="23"/>
        <v>11.100000000000001</v>
      </c>
      <c r="AA80" s="1" t="str">
        <f t="shared" si="24"/>
        <v>Panasonic UF644553 Prismatic cells in a 3s10p arrangement for a total of 19 Ah at 11.1 V nominal</v>
      </c>
      <c r="AB80" s="14">
        <f t="shared" si="30"/>
        <v>70</v>
      </c>
    </row>
    <row r="81" spans="1:28" x14ac:dyDescent="0.25">
      <c r="A81" t="s">
        <v>54</v>
      </c>
      <c r="B81" t="s">
        <v>29</v>
      </c>
      <c r="C81" t="s">
        <v>30</v>
      </c>
      <c r="E81" s="2" t="s">
        <v>18</v>
      </c>
      <c r="F81">
        <v>46</v>
      </c>
      <c r="G81">
        <v>57</v>
      </c>
      <c r="H81">
        <v>1670</v>
      </c>
      <c r="I81">
        <v>1730</v>
      </c>
      <c r="J81" s="9">
        <v>2.75</v>
      </c>
      <c r="K81" s="9">
        <v>3.7</v>
      </c>
      <c r="L81" s="9">
        <v>4.2</v>
      </c>
      <c r="M81" s="9">
        <v>2</v>
      </c>
      <c r="N81" t="str">
        <f t="shared" si="18"/>
        <v>UF514657</v>
      </c>
      <c r="Q81" s="14">
        <f t="shared" si="25"/>
        <v>38</v>
      </c>
      <c r="R81" s="9">
        <f t="shared" si="19"/>
        <v>234.80199999999999</v>
      </c>
      <c r="S81" s="14" t="str">
        <f t="shared" si="20"/>
        <v>FIT</v>
      </c>
      <c r="T81" s="14">
        <f t="shared" si="21"/>
        <v>3</v>
      </c>
      <c r="U81" s="14">
        <f t="shared" si="26"/>
        <v>12</v>
      </c>
      <c r="V81" s="14">
        <f t="shared" si="27"/>
        <v>36</v>
      </c>
      <c r="W81" s="9">
        <f t="shared" si="22"/>
        <v>222.44399999999999</v>
      </c>
      <c r="X81" s="9">
        <f t="shared" si="28"/>
        <v>20.76</v>
      </c>
      <c r="Y81" s="9">
        <f t="shared" si="29"/>
        <v>41.52</v>
      </c>
      <c r="Z81" s="9">
        <f t="shared" si="23"/>
        <v>11.100000000000001</v>
      </c>
      <c r="AA81" s="1" t="str">
        <f t="shared" si="24"/>
        <v>Panasonic UF514657 Prismatic cells in a 3s12p arrangement for a total of 20.04 Ah at 11.1 V nominal</v>
      </c>
      <c r="AB81" s="14">
        <f t="shared" si="30"/>
        <v>60</v>
      </c>
    </row>
    <row r="82" spans="1:28" x14ac:dyDescent="0.25">
      <c r="A82" t="s">
        <v>54</v>
      </c>
      <c r="B82" t="s">
        <v>29</v>
      </c>
      <c r="C82" t="s">
        <v>30</v>
      </c>
      <c r="E82" s="2" t="s">
        <v>7</v>
      </c>
      <c r="F82">
        <v>49</v>
      </c>
      <c r="G82">
        <v>61</v>
      </c>
      <c r="H82">
        <v>1400</v>
      </c>
      <c r="I82">
        <v>1450</v>
      </c>
      <c r="J82" s="9">
        <v>2.75</v>
      </c>
      <c r="K82" s="9">
        <v>3.7</v>
      </c>
      <c r="L82" s="9">
        <v>4.2</v>
      </c>
      <c r="M82" s="9">
        <v>2</v>
      </c>
      <c r="N82" t="str">
        <f t="shared" si="18"/>
        <v>UF384961</v>
      </c>
      <c r="Q82" s="14">
        <f t="shared" si="25"/>
        <v>52</v>
      </c>
      <c r="R82" s="9">
        <f t="shared" si="19"/>
        <v>269.36</v>
      </c>
      <c r="S82" s="14" t="str">
        <f t="shared" si="20"/>
        <v>FIT</v>
      </c>
      <c r="T82" s="14">
        <f t="shared" si="21"/>
        <v>3</v>
      </c>
      <c r="U82" s="14">
        <f t="shared" si="26"/>
        <v>17</v>
      </c>
      <c r="V82" s="14">
        <f t="shared" si="27"/>
        <v>51</v>
      </c>
      <c r="W82" s="9">
        <f t="shared" si="22"/>
        <v>264.18</v>
      </c>
      <c r="X82" s="9">
        <f t="shared" si="28"/>
        <v>24.65</v>
      </c>
      <c r="Y82" s="9">
        <f t="shared" si="29"/>
        <v>49.3</v>
      </c>
      <c r="Z82" s="9">
        <f t="shared" si="23"/>
        <v>11.100000000000001</v>
      </c>
      <c r="AA82" s="1" t="str">
        <f t="shared" si="24"/>
        <v>Panasonic UF384961 Prismatic cells in a 3s17p arrangement for a total of 23.8 Ah at 11.1 V nominal</v>
      </c>
      <c r="AB82" s="14">
        <f t="shared" si="30"/>
        <v>29</v>
      </c>
    </row>
    <row r="83" spans="1:28" x14ac:dyDescent="0.25">
      <c r="A83" t="s">
        <v>54</v>
      </c>
      <c r="B83" t="s">
        <v>29</v>
      </c>
      <c r="C83" t="s">
        <v>30</v>
      </c>
      <c r="E83" s="2" t="s">
        <v>41</v>
      </c>
      <c r="F83">
        <v>49</v>
      </c>
      <c r="G83">
        <v>61</v>
      </c>
      <c r="H83">
        <v>1800</v>
      </c>
      <c r="I83">
        <v>1860</v>
      </c>
      <c r="J83" s="9">
        <v>2.75</v>
      </c>
      <c r="K83" s="9">
        <v>3.7</v>
      </c>
      <c r="L83" s="9">
        <v>4.2</v>
      </c>
      <c r="M83" s="9">
        <v>2</v>
      </c>
      <c r="N83" t="str">
        <f t="shared" si="18"/>
        <v>UF494961</v>
      </c>
      <c r="Q83" s="14">
        <f t="shared" si="25"/>
        <v>40</v>
      </c>
      <c r="R83" s="9">
        <f t="shared" si="19"/>
        <v>266.39999999999998</v>
      </c>
      <c r="S83" s="14" t="str">
        <f t="shared" si="20"/>
        <v>FIT</v>
      </c>
      <c r="T83" s="14">
        <f t="shared" si="21"/>
        <v>3</v>
      </c>
      <c r="U83" s="14">
        <f t="shared" si="26"/>
        <v>13</v>
      </c>
      <c r="V83" s="14">
        <f t="shared" si="27"/>
        <v>39</v>
      </c>
      <c r="W83" s="9">
        <f t="shared" si="22"/>
        <v>259.74</v>
      </c>
      <c r="X83" s="9">
        <f t="shared" si="28"/>
        <v>24.18</v>
      </c>
      <c r="Y83" s="9">
        <f t="shared" si="29"/>
        <v>48.36</v>
      </c>
      <c r="Z83" s="9">
        <f t="shared" si="23"/>
        <v>11.100000000000001</v>
      </c>
      <c r="AA83" s="1" t="str">
        <f t="shared" si="24"/>
        <v>Panasonic UF494961 Prismatic cells in a 3s13p arrangement for a total of 23.4 Ah at 11.1 V nominal</v>
      </c>
      <c r="AB83" s="14">
        <f t="shared" si="30"/>
        <v>33</v>
      </c>
    </row>
    <row r="84" spans="1:28" x14ac:dyDescent="0.25">
      <c r="A84" t="s">
        <v>54</v>
      </c>
      <c r="B84" t="s">
        <v>29</v>
      </c>
      <c r="C84" t="s">
        <v>30</v>
      </c>
      <c r="E84" s="2" t="s">
        <v>18</v>
      </c>
      <c r="F84">
        <v>51</v>
      </c>
      <c r="G84">
        <v>48</v>
      </c>
      <c r="H84">
        <v>1520</v>
      </c>
      <c r="I84">
        <v>1570</v>
      </c>
      <c r="J84" s="9">
        <v>2.75</v>
      </c>
      <c r="K84" s="9">
        <v>3.7</v>
      </c>
      <c r="L84" s="9">
        <v>4.2</v>
      </c>
      <c r="M84" s="9">
        <v>2</v>
      </c>
      <c r="N84" t="str">
        <f t="shared" si="18"/>
        <v>UF515148</v>
      </c>
      <c r="Q84" s="14">
        <f t="shared" si="25"/>
        <v>38</v>
      </c>
      <c r="R84" s="9">
        <f t="shared" si="19"/>
        <v>213.71199999999999</v>
      </c>
      <c r="S84" s="14" t="str">
        <f t="shared" si="20"/>
        <v>FIT</v>
      </c>
      <c r="T84" s="14">
        <f t="shared" si="21"/>
        <v>3</v>
      </c>
      <c r="U84" s="14">
        <f t="shared" si="26"/>
        <v>12</v>
      </c>
      <c r="V84" s="14">
        <f t="shared" si="27"/>
        <v>36</v>
      </c>
      <c r="W84" s="9">
        <f t="shared" si="22"/>
        <v>202.464</v>
      </c>
      <c r="X84" s="9">
        <f t="shared" si="28"/>
        <v>18.84</v>
      </c>
      <c r="Y84" s="9">
        <f t="shared" si="29"/>
        <v>37.68</v>
      </c>
      <c r="Z84" s="9">
        <f t="shared" si="23"/>
        <v>11.100000000000001</v>
      </c>
      <c r="AA84" s="1" t="str">
        <f t="shared" si="24"/>
        <v>Panasonic UF515148 Prismatic cells in a 3s12p arrangement for a total of 18.24 Ah at 11.1 V nominal</v>
      </c>
      <c r="AB84" s="14">
        <f t="shared" si="30"/>
        <v>76</v>
      </c>
    </row>
    <row r="85" spans="1:28" x14ac:dyDescent="0.25">
      <c r="A85" t="s">
        <v>54</v>
      </c>
      <c r="B85" t="s">
        <v>29</v>
      </c>
      <c r="C85" t="s">
        <v>30</v>
      </c>
      <c r="E85" s="2" t="s">
        <v>47</v>
      </c>
      <c r="F85">
        <v>51</v>
      </c>
      <c r="G85">
        <v>55</v>
      </c>
      <c r="H85">
        <v>1660</v>
      </c>
      <c r="I85">
        <v>1710</v>
      </c>
      <c r="J85" s="9">
        <v>2.75</v>
      </c>
      <c r="K85" s="9">
        <v>3.7</v>
      </c>
      <c r="L85" s="9">
        <v>4.2</v>
      </c>
      <c r="M85" s="9">
        <v>2</v>
      </c>
      <c r="N85" t="str">
        <f t="shared" si="18"/>
        <v>UF485155</v>
      </c>
      <c r="Q85" s="14">
        <f t="shared" si="25"/>
        <v>20</v>
      </c>
      <c r="R85" s="9">
        <f t="shared" si="19"/>
        <v>122.84</v>
      </c>
      <c r="S85" s="14" t="str">
        <f t="shared" si="20"/>
        <v>FIT</v>
      </c>
      <c r="T85" s="14">
        <f t="shared" si="21"/>
        <v>3</v>
      </c>
      <c r="U85" s="14">
        <f t="shared" si="26"/>
        <v>6</v>
      </c>
      <c r="V85" s="14">
        <f t="shared" si="27"/>
        <v>18</v>
      </c>
      <c r="W85" s="9">
        <f t="shared" si="22"/>
        <v>110.556</v>
      </c>
      <c r="X85" s="9">
        <f t="shared" si="28"/>
        <v>10.26</v>
      </c>
      <c r="Y85" s="9">
        <f t="shared" si="29"/>
        <v>20.52</v>
      </c>
      <c r="Z85" s="9">
        <f t="shared" si="23"/>
        <v>11.100000000000001</v>
      </c>
      <c r="AA85" s="1" t="str">
        <f t="shared" si="24"/>
        <v>Panasonic UF485155 Prismatic cells in a 3s6p arrangement for a total of 9.96 Ah at 11.1 V nominal</v>
      </c>
      <c r="AB85" s="14">
        <f t="shared" si="30"/>
        <v>107</v>
      </c>
    </row>
    <row r="86" spans="1:28" x14ac:dyDescent="0.25">
      <c r="A86" t="s">
        <v>55</v>
      </c>
      <c r="B86" t="s">
        <v>28</v>
      </c>
      <c r="C86" t="s">
        <v>56</v>
      </c>
      <c r="E86" s="8">
        <v>5.9</v>
      </c>
      <c r="F86">
        <v>107</v>
      </c>
      <c r="G86">
        <v>102</v>
      </c>
      <c r="H86">
        <v>5000</v>
      </c>
      <c r="I86">
        <v>5000</v>
      </c>
      <c r="J86" s="9">
        <v>2.75</v>
      </c>
      <c r="K86" s="9">
        <v>3.7</v>
      </c>
      <c r="L86" s="9">
        <v>4.2</v>
      </c>
      <c r="M86" s="9">
        <v>2</v>
      </c>
      <c r="N86" t="str">
        <f>C86&amp;"50"&amp;F86&amp;G86</f>
        <v>SLPB50107102</v>
      </c>
      <c r="Q86" s="14">
        <f t="shared" si="25"/>
        <v>0</v>
      </c>
      <c r="R86" s="9" t="str">
        <f t="shared" si="19"/>
        <v/>
      </c>
      <c r="S86" s="14" t="str">
        <f t="shared" si="20"/>
        <v>TOO BIG</v>
      </c>
      <c r="T86" s="14">
        <f t="shared" si="21"/>
        <v>3</v>
      </c>
      <c r="U86" s="14">
        <f t="shared" si="26"/>
        <v>0</v>
      </c>
      <c r="V86" s="14">
        <f t="shared" si="27"/>
        <v>0</v>
      </c>
      <c r="W86" s="9" t="str">
        <f t="shared" si="22"/>
        <v/>
      </c>
      <c r="X86" s="9" t="str">
        <f t="shared" si="28"/>
        <v/>
      </c>
      <c r="Y86" s="9" t="str">
        <f t="shared" si="29"/>
        <v/>
      </c>
      <c r="Z86" s="9" t="str">
        <f t="shared" si="23"/>
        <v/>
      </c>
      <c r="AA86" s="1" t="str">
        <f t="shared" si="24"/>
        <v/>
      </c>
      <c r="AB86" s="14" t="str">
        <f t="shared" si="30"/>
        <v/>
      </c>
    </row>
    <row r="87" spans="1:28" x14ac:dyDescent="0.25">
      <c r="A87" t="s">
        <v>55</v>
      </c>
      <c r="B87" t="s">
        <v>28</v>
      </c>
      <c r="C87" t="s">
        <v>56</v>
      </c>
      <c r="E87" s="8">
        <v>10</v>
      </c>
      <c r="F87">
        <v>107</v>
      </c>
      <c r="G87">
        <v>103</v>
      </c>
      <c r="H87">
        <v>10000</v>
      </c>
      <c r="I87">
        <v>10000</v>
      </c>
      <c r="J87" s="9">
        <v>2.75</v>
      </c>
      <c r="K87" s="9">
        <v>3.7</v>
      </c>
      <c r="L87" s="9">
        <v>4.2</v>
      </c>
      <c r="M87" s="9">
        <v>2</v>
      </c>
      <c r="N87" t="str">
        <f>C87&amp;"10"&amp;F87&amp;G87</f>
        <v>SLPB10107103</v>
      </c>
      <c r="Q87" s="14">
        <f t="shared" si="25"/>
        <v>0</v>
      </c>
      <c r="R87" s="9" t="str">
        <f t="shared" si="19"/>
        <v/>
      </c>
      <c r="S87" s="14" t="str">
        <f t="shared" si="20"/>
        <v>TOO BIG</v>
      </c>
      <c r="T87" s="14">
        <f t="shared" si="21"/>
        <v>3</v>
      </c>
      <c r="U87" s="14">
        <f t="shared" si="26"/>
        <v>0</v>
      </c>
      <c r="V87" s="14">
        <f t="shared" si="27"/>
        <v>0</v>
      </c>
      <c r="W87" s="9" t="str">
        <f t="shared" si="22"/>
        <v/>
      </c>
      <c r="X87" s="9" t="str">
        <f t="shared" si="28"/>
        <v/>
      </c>
      <c r="Y87" s="9" t="str">
        <f t="shared" si="29"/>
        <v/>
      </c>
      <c r="Z87" s="9" t="str">
        <f t="shared" si="23"/>
        <v/>
      </c>
      <c r="AA87" s="1" t="str">
        <f t="shared" si="24"/>
        <v/>
      </c>
      <c r="AB87" s="14" t="str">
        <f t="shared" si="30"/>
        <v/>
      </c>
    </row>
    <row r="88" spans="1:28" x14ac:dyDescent="0.25">
      <c r="A88" t="s">
        <v>55</v>
      </c>
      <c r="B88" t="s">
        <v>28</v>
      </c>
      <c r="C88" t="s">
        <v>56</v>
      </c>
      <c r="E88" s="8">
        <v>7</v>
      </c>
      <c r="F88">
        <v>455</v>
      </c>
      <c r="G88">
        <v>325</v>
      </c>
      <c r="H88">
        <v>100000</v>
      </c>
      <c r="I88">
        <v>100000</v>
      </c>
      <c r="J88" s="9">
        <v>2.75</v>
      </c>
      <c r="K88" s="9">
        <v>3.7</v>
      </c>
      <c r="L88" s="9">
        <v>4.2</v>
      </c>
      <c r="M88" s="9">
        <v>2</v>
      </c>
      <c r="N88" t="str">
        <f>C88&amp;"70"&amp;F88&amp;G88</f>
        <v>SLPB70455325</v>
      </c>
      <c r="Q88" s="14">
        <f t="shared" si="25"/>
        <v>0</v>
      </c>
      <c r="R88" s="9" t="str">
        <f t="shared" si="19"/>
        <v/>
      </c>
      <c r="S88" s="14" t="str">
        <f t="shared" si="20"/>
        <v>TOO BIG</v>
      </c>
      <c r="T88" s="14">
        <f t="shared" si="21"/>
        <v>3</v>
      </c>
      <c r="U88" s="14">
        <f t="shared" si="26"/>
        <v>0</v>
      </c>
      <c r="V88" s="14">
        <f t="shared" si="27"/>
        <v>0</v>
      </c>
      <c r="W88" s="9" t="str">
        <f t="shared" si="22"/>
        <v/>
      </c>
      <c r="X88" s="9" t="str">
        <f t="shared" si="28"/>
        <v/>
      </c>
      <c r="Y88" s="9" t="str">
        <f t="shared" si="29"/>
        <v/>
      </c>
      <c r="Z88" s="9" t="str">
        <f t="shared" si="23"/>
        <v/>
      </c>
      <c r="AA88" s="1" t="str">
        <f t="shared" si="24"/>
        <v/>
      </c>
      <c r="AB88" s="14" t="str">
        <f t="shared" si="30"/>
        <v/>
      </c>
    </row>
    <row r="89" spans="1:28" x14ac:dyDescent="0.25">
      <c r="A89" t="s">
        <v>55</v>
      </c>
      <c r="B89" t="s">
        <v>28</v>
      </c>
      <c r="C89" t="s">
        <v>56</v>
      </c>
      <c r="E89" s="8">
        <v>2.9</v>
      </c>
      <c r="F89">
        <v>34</v>
      </c>
      <c r="G89">
        <v>52.5</v>
      </c>
      <c r="H89">
        <v>350</v>
      </c>
      <c r="I89">
        <v>350</v>
      </c>
      <c r="J89" s="9">
        <v>2.75</v>
      </c>
      <c r="K89" s="9">
        <v>3.7</v>
      </c>
      <c r="L89" s="9">
        <v>4.2</v>
      </c>
      <c r="M89" s="9">
        <v>2</v>
      </c>
      <c r="N89" t="str">
        <f>C89&amp;"30"&amp;F89&amp;"53"</f>
        <v>SLPB303453</v>
      </c>
      <c r="Q89" s="14">
        <f t="shared" si="25"/>
        <v>68</v>
      </c>
      <c r="R89" s="9">
        <f t="shared" si="19"/>
        <v>88.06</v>
      </c>
      <c r="S89" s="14" t="str">
        <f t="shared" si="20"/>
        <v>FIT</v>
      </c>
      <c r="T89" s="14">
        <f t="shared" si="21"/>
        <v>3</v>
      </c>
      <c r="U89" s="14">
        <f t="shared" si="26"/>
        <v>22</v>
      </c>
      <c r="V89" s="14">
        <f t="shared" si="27"/>
        <v>66</v>
      </c>
      <c r="W89" s="9">
        <f t="shared" si="22"/>
        <v>85.47</v>
      </c>
      <c r="X89" s="9">
        <f t="shared" si="28"/>
        <v>7.7</v>
      </c>
      <c r="Y89" s="9">
        <f t="shared" si="29"/>
        <v>15.4</v>
      </c>
      <c r="Z89" s="9">
        <f t="shared" si="23"/>
        <v>11.100000000000001</v>
      </c>
      <c r="AA89" s="1" t="str">
        <f t="shared" si="24"/>
        <v>Dow Kokam SLPB303453 Pouch cells in a 3s22p arrangement for a total of 7.7 Ah at 11.1 V nominal</v>
      </c>
      <c r="AB89" s="14">
        <f t="shared" si="30"/>
        <v>111</v>
      </c>
    </row>
    <row r="90" spans="1:28" x14ac:dyDescent="0.25">
      <c r="A90" t="s">
        <v>55</v>
      </c>
      <c r="B90" t="s">
        <v>28</v>
      </c>
      <c r="C90" t="s">
        <v>56</v>
      </c>
      <c r="E90" s="8">
        <v>5</v>
      </c>
      <c r="F90">
        <v>34</v>
      </c>
      <c r="G90">
        <v>35</v>
      </c>
      <c r="H90">
        <v>400</v>
      </c>
      <c r="I90">
        <v>400</v>
      </c>
      <c r="J90" s="9">
        <v>2.75</v>
      </c>
      <c r="K90" s="9">
        <v>3.7</v>
      </c>
      <c r="L90" s="9">
        <v>4.2</v>
      </c>
      <c r="M90" s="9">
        <v>2</v>
      </c>
      <c r="N90" t="str">
        <f>C90&amp;"50"&amp;F90&amp;G90</f>
        <v>SLPB503435</v>
      </c>
      <c r="Q90" s="14">
        <f t="shared" si="25"/>
        <v>80</v>
      </c>
      <c r="R90" s="9">
        <f t="shared" si="19"/>
        <v>118.4</v>
      </c>
      <c r="S90" s="14" t="str">
        <f t="shared" si="20"/>
        <v>FIT</v>
      </c>
      <c r="T90" s="14">
        <f t="shared" si="21"/>
        <v>3</v>
      </c>
      <c r="U90" s="14">
        <f t="shared" si="26"/>
        <v>26</v>
      </c>
      <c r="V90" s="14">
        <f t="shared" si="27"/>
        <v>78</v>
      </c>
      <c r="W90" s="9">
        <f t="shared" si="22"/>
        <v>115.44</v>
      </c>
      <c r="X90" s="9">
        <f t="shared" si="28"/>
        <v>10.4</v>
      </c>
      <c r="Y90" s="9">
        <f t="shared" si="29"/>
        <v>20.8</v>
      </c>
      <c r="Z90" s="9">
        <f t="shared" si="23"/>
        <v>11.100000000000001</v>
      </c>
      <c r="AA90" s="1" t="str">
        <f t="shared" si="24"/>
        <v>Dow Kokam SLPB503435 Pouch cells in a 3s26p arrangement for a total of 10.4 Ah at 11.1 V nominal</v>
      </c>
      <c r="AB90" s="14">
        <f t="shared" si="30"/>
        <v>103</v>
      </c>
    </row>
    <row r="91" spans="1:28" x14ac:dyDescent="0.25">
      <c r="A91" t="s">
        <v>55</v>
      </c>
      <c r="B91" t="s">
        <v>28</v>
      </c>
      <c r="C91" t="s">
        <v>56</v>
      </c>
      <c r="E91" s="8">
        <v>5.2</v>
      </c>
      <c r="F91">
        <v>34</v>
      </c>
      <c r="G91">
        <v>59</v>
      </c>
      <c r="H91">
        <v>740</v>
      </c>
      <c r="I91">
        <v>740</v>
      </c>
      <c r="J91" s="9">
        <v>2.75</v>
      </c>
      <c r="K91" s="9">
        <v>3.7</v>
      </c>
      <c r="L91" s="9">
        <v>4.2</v>
      </c>
      <c r="M91" s="9">
        <v>2</v>
      </c>
      <c r="N91" t="str">
        <f>C91&amp;"52"&amp;F91&amp;G91</f>
        <v>SLPB523459</v>
      </c>
      <c r="Q91" s="14">
        <f t="shared" si="25"/>
        <v>38</v>
      </c>
      <c r="R91" s="9">
        <f t="shared" si="19"/>
        <v>104.044</v>
      </c>
      <c r="S91" s="14" t="str">
        <f t="shared" si="20"/>
        <v>FIT</v>
      </c>
      <c r="T91" s="14">
        <f t="shared" si="21"/>
        <v>3</v>
      </c>
      <c r="U91" s="14">
        <f t="shared" si="26"/>
        <v>12</v>
      </c>
      <c r="V91" s="14">
        <f t="shared" si="27"/>
        <v>36</v>
      </c>
      <c r="W91" s="9">
        <f t="shared" si="22"/>
        <v>98.567999999999998</v>
      </c>
      <c r="X91" s="9">
        <f t="shared" si="28"/>
        <v>8.8800000000000008</v>
      </c>
      <c r="Y91" s="9">
        <f t="shared" si="29"/>
        <v>17.760000000000002</v>
      </c>
      <c r="Z91" s="9">
        <f t="shared" si="23"/>
        <v>11.100000000000001</v>
      </c>
      <c r="AA91" s="1" t="str">
        <f t="shared" si="24"/>
        <v>Dow Kokam SLPB523459 Pouch cells in a 3s12p arrangement for a total of 8.88 Ah at 11.1 V nominal</v>
      </c>
      <c r="AB91" s="14">
        <f t="shared" si="30"/>
        <v>108</v>
      </c>
    </row>
    <row r="92" spans="1:28" x14ac:dyDescent="0.25">
      <c r="A92" t="s">
        <v>55</v>
      </c>
      <c r="B92" t="s">
        <v>28</v>
      </c>
      <c r="C92" t="s">
        <v>56</v>
      </c>
      <c r="E92" s="8">
        <v>7.4</v>
      </c>
      <c r="F92">
        <v>38</v>
      </c>
      <c r="G92">
        <v>70.5</v>
      </c>
      <c r="H92">
        <v>1500</v>
      </c>
      <c r="I92">
        <v>1500</v>
      </c>
      <c r="J92" s="9">
        <v>2.75</v>
      </c>
      <c r="K92" s="9">
        <v>3.7</v>
      </c>
      <c r="L92" s="9">
        <v>4.2</v>
      </c>
      <c r="M92" s="9">
        <v>2</v>
      </c>
      <c r="N92" t="str">
        <f>C92&amp;"74"&amp;F92&amp;"71"</f>
        <v>SLPB743871</v>
      </c>
      <c r="Q92" s="14">
        <f t="shared" si="25"/>
        <v>26</v>
      </c>
      <c r="R92" s="9">
        <f t="shared" si="19"/>
        <v>144.30000000000001</v>
      </c>
      <c r="S92" s="14" t="str">
        <f t="shared" si="20"/>
        <v>FIT</v>
      </c>
      <c r="T92" s="14">
        <f t="shared" si="21"/>
        <v>3</v>
      </c>
      <c r="U92" s="14">
        <f t="shared" si="26"/>
        <v>8</v>
      </c>
      <c r="V92" s="14">
        <f t="shared" si="27"/>
        <v>24</v>
      </c>
      <c r="W92" s="9">
        <f t="shared" si="22"/>
        <v>133.19999999999999</v>
      </c>
      <c r="X92" s="9">
        <f t="shared" si="28"/>
        <v>12</v>
      </c>
      <c r="Y92" s="9">
        <f t="shared" si="29"/>
        <v>24</v>
      </c>
      <c r="Z92" s="9">
        <f t="shared" si="23"/>
        <v>11.100000000000001</v>
      </c>
      <c r="AA92" s="1" t="str">
        <f t="shared" si="24"/>
        <v>Dow Kokam SLPB743871 Pouch cells in a 3s8p arrangement for a total of 12 Ah at 11.1 V nominal</v>
      </c>
      <c r="AB92" s="14">
        <f t="shared" si="30"/>
        <v>100</v>
      </c>
    </row>
    <row r="93" spans="1:28" x14ac:dyDescent="0.25">
      <c r="A93" t="s">
        <v>55</v>
      </c>
      <c r="B93" t="s">
        <v>28</v>
      </c>
      <c r="C93" t="s">
        <v>56</v>
      </c>
      <c r="E93" s="8">
        <v>6.5</v>
      </c>
      <c r="F93">
        <v>34</v>
      </c>
      <c r="G93">
        <v>96</v>
      </c>
      <c r="H93">
        <v>1500</v>
      </c>
      <c r="I93">
        <v>1500</v>
      </c>
      <c r="J93" s="9">
        <v>2.75</v>
      </c>
      <c r="K93" s="9">
        <v>3.7</v>
      </c>
      <c r="L93" s="9">
        <v>4.2</v>
      </c>
      <c r="M93" s="9">
        <v>2</v>
      </c>
      <c r="N93" t="s">
        <v>57</v>
      </c>
      <c r="Q93" s="14">
        <f t="shared" si="25"/>
        <v>30</v>
      </c>
      <c r="R93" s="9">
        <f t="shared" si="19"/>
        <v>166.5</v>
      </c>
      <c r="S93" s="14" t="str">
        <f t="shared" si="20"/>
        <v>FIT</v>
      </c>
      <c r="T93" s="14">
        <f t="shared" si="21"/>
        <v>3</v>
      </c>
      <c r="U93" s="14">
        <f t="shared" si="26"/>
        <v>10</v>
      </c>
      <c r="V93" s="14">
        <f t="shared" si="27"/>
        <v>30</v>
      </c>
      <c r="W93" s="9">
        <f t="shared" si="22"/>
        <v>166.5</v>
      </c>
      <c r="X93" s="9">
        <f t="shared" si="28"/>
        <v>15</v>
      </c>
      <c r="Y93" s="9">
        <f t="shared" si="29"/>
        <v>30</v>
      </c>
      <c r="Z93" s="9">
        <f t="shared" si="23"/>
        <v>11.100000000000001</v>
      </c>
      <c r="AA93" s="1" t="str">
        <f t="shared" si="24"/>
        <v>Dow Kokam SLPB653496H5(iWalk) Pouch cells in a 3s10p arrangement for a total of 15 Ah at 11.1 V nominal</v>
      </c>
      <c r="AB93" s="14">
        <f t="shared" si="30"/>
        <v>95</v>
      </c>
    </row>
    <row r="94" spans="1:28" x14ac:dyDescent="0.25">
      <c r="A94" t="s">
        <v>54</v>
      </c>
      <c r="B94" t="s">
        <v>58</v>
      </c>
      <c r="C94" t="s">
        <v>59</v>
      </c>
      <c r="D94" t="s">
        <v>62</v>
      </c>
      <c r="E94" s="8">
        <v>14</v>
      </c>
      <c r="F94">
        <v>43</v>
      </c>
      <c r="G94">
        <v>14</v>
      </c>
      <c r="H94">
        <v>660</v>
      </c>
      <c r="I94">
        <v>700</v>
      </c>
      <c r="J94" s="9">
        <v>2.75</v>
      </c>
      <c r="K94" s="9">
        <v>3.7</v>
      </c>
      <c r="L94" s="9">
        <v>4.2</v>
      </c>
      <c r="M94" s="9">
        <v>2</v>
      </c>
      <c r="N94" t="str">
        <f>C94&amp;E94&amp;(F94*10)&amp;D94</f>
        <v>UR14430P</v>
      </c>
      <c r="Q94" s="14">
        <f t="shared" si="25"/>
        <v>98</v>
      </c>
      <c r="R94" s="9">
        <f t="shared" si="19"/>
        <v>239.316</v>
      </c>
      <c r="S94" s="14" t="str">
        <f t="shared" si="20"/>
        <v>FIT</v>
      </c>
      <c r="T94" s="14">
        <f t="shared" si="21"/>
        <v>3</v>
      </c>
      <c r="U94" s="14">
        <f t="shared" si="26"/>
        <v>32</v>
      </c>
      <c r="V94" s="14">
        <f t="shared" si="27"/>
        <v>96</v>
      </c>
      <c r="W94" s="9">
        <f t="shared" si="22"/>
        <v>234.43199999999999</v>
      </c>
      <c r="X94" s="9">
        <f t="shared" si="28"/>
        <v>22.4</v>
      </c>
      <c r="Y94" s="9">
        <f t="shared" si="29"/>
        <v>44.8</v>
      </c>
      <c r="Z94" s="9">
        <f t="shared" si="23"/>
        <v>11.100000000000001</v>
      </c>
      <c r="AA94" s="1" t="str">
        <f t="shared" si="24"/>
        <v>Panasonic UR14430P Cylindrical cells in a 3s32p arrangement for a total of 21.12 Ah at 11.1 V nominal</v>
      </c>
      <c r="AB94" s="14">
        <f t="shared" si="30"/>
        <v>50</v>
      </c>
    </row>
    <row r="95" spans="1:28" x14ac:dyDescent="0.25">
      <c r="A95" t="s">
        <v>54</v>
      </c>
      <c r="B95" t="s">
        <v>58</v>
      </c>
      <c r="C95" t="s">
        <v>59</v>
      </c>
      <c r="D95" t="s">
        <v>1</v>
      </c>
      <c r="E95" s="8">
        <v>14</v>
      </c>
      <c r="F95">
        <v>43</v>
      </c>
      <c r="G95">
        <v>14</v>
      </c>
      <c r="H95">
        <v>500</v>
      </c>
      <c r="I95">
        <v>530</v>
      </c>
      <c r="J95" s="9">
        <v>2.75</v>
      </c>
      <c r="K95" s="9">
        <v>3.7</v>
      </c>
      <c r="L95" s="9">
        <v>4.2</v>
      </c>
      <c r="M95" s="9">
        <v>2</v>
      </c>
      <c r="N95" t="str">
        <f t="shared" ref="N95:N122" si="31">C95&amp;E95&amp;(F95*10)&amp;D95</f>
        <v>UR14430Y</v>
      </c>
      <c r="Q95" s="14">
        <f t="shared" si="25"/>
        <v>98</v>
      </c>
      <c r="R95" s="9">
        <f t="shared" si="19"/>
        <v>181.3</v>
      </c>
      <c r="S95" s="14" t="str">
        <f t="shared" si="20"/>
        <v>FIT</v>
      </c>
      <c r="T95" s="14">
        <f t="shared" si="21"/>
        <v>3</v>
      </c>
      <c r="U95" s="14">
        <f t="shared" si="26"/>
        <v>32</v>
      </c>
      <c r="V95" s="14">
        <f t="shared" si="27"/>
        <v>96</v>
      </c>
      <c r="W95" s="9">
        <f t="shared" si="22"/>
        <v>177.6</v>
      </c>
      <c r="X95" s="9">
        <f t="shared" si="28"/>
        <v>16.96</v>
      </c>
      <c r="Y95" s="9">
        <f t="shared" si="29"/>
        <v>33.92</v>
      </c>
      <c r="Z95" s="9">
        <f t="shared" si="23"/>
        <v>11.100000000000001</v>
      </c>
      <c r="AA95" s="1" t="str">
        <f t="shared" si="24"/>
        <v>Panasonic UR14430Y Cylindrical cells in a 3s32p arrangement for a total of 16 Ah at 11.1 V nominal</v>
      </c>
      <c r="AB95" s="14">
        <f t="shared" si="30"/>
        <v>88</v>
      </c>
    </row>
    <row r="96" spans="1:28" x14ac:dyDescent="0.25">
      <c r="A96" t="s">
        <v>54</v>
      </c>
      <c r="B96" t="s">
        <v>58</v>
      </c>
      <c r="C96" t="s">
        <v>59</v>
      </c>
      <c r="D96" t="s">
        <v>62</v>
      </c>
      <c r="E96" s="8">
        <v>14</v>
      </c>
      <c r="F96">
        <v>50</v>
      </c>
      <c r="G96">
        <v>14</v>
      </c>
      <c r="H96">
        <v>800</v>
      </c>
      <c r="I96">
        <v>840</v>
      </c>
      <c r="J96" s="9">
        <v>2.75</v>
      </c>
      <c r="K96" s="9">
        <v>3.7</v>
      </c>
      <c r="L96" s="9">
        <v>4.2</v>
      </c>
      <c r="M96" s="9">
        <v>2</v>
      </c>
      <c r="N96" t="str">
        <f t="shared" si="31"/>
        <v>UR14500P</v>
      </c>
      <c r="Q96" s="14">
        <f t="shared" si="25"/>
        <v>98</v>
      </c>
      <c r="R96" s="9">
        <f t="shared" si="19"/>
        <v>290.08</v>
      </c>
      <c r="S96" s="14" t="str">
        <f t="shared" si="20"/>
        <v>FIT</v>
      </c>
      <c r="T96" s="14">
        <f t="shared" si="21"/>
        <v>3</v>
      </c>
      <c r="U96" s="14">
        <f t="shared" si="26"/>
        <v>32</v>
      </c>
      <c r="V96" s="14">
        <f t="shared" si="27"/>
        <v>96</v>
      </c>
      <c r="W96" s="9">
        <f t="shared" si="22"/>
        <v>284.16000000000003</v>
      </c>
      <c r="X96" s="9">
        <f t="shared" si="28"/>
        <v>26.88</v>
      </c>
      <c r="Y96" s="9">
        <f t="shared" si="29"/>
        <v>53.76</v>
      </c>
      <c r="Z96" s="9">
        <f t="shared" si="23"/>
        <v>11.100000000000001</v>
      </c>
      <c r="AA96" s="1" t="str">
        <f t="shared" si="24"/>
        <v>Panasonic UR14500P Cylindrical cells in a 3s32p arrangement for a total of 25.6 Ah at 11.1 V nominal</v>
      </c>
      <c r="AB96" s="14">
        <f t="shared" si="30"/>
        <v>18</v>
      </c>
    </row>
    <row r="97" spans="1:28" x14ac:dyDescent="0.25">
      <c r="A97" t="s">
        <v>54</v>
      </c>
      <c r="B97" t="s">
        <v>58</v>
      </c>
      <c r="C97" t="s">
        <v>59</v>
      </c>
      <c r="D97" t="s">
        <v>63</v>
      </c>
      <c r="E97" s="8">
        <v>14</v>
      </c>
      <c r="F97">
        <v>50</v>
      </c>
      <c r="G97">
        <v>14</v>
      </c>
      <c r="H97">
        <v>680</v>
      </c>
      <c r="I97">
        <v>710</v>
      </c>
      <c r="J97" s="9">
        <v>2.75</v>
      </c>
      <c r="K97" s="9">
        <v>3.7</v>
      </c>
      <c r="L97" s="9">
        <v>4.2</v>
      </c>
      <c r="M97" s="9">
        <v>2</v>
      </c>
      <c r="N97" t="str">
        <f t="shared" si="31"/>
        <v>UR14500L</v>
      </c>
      <c r="Q97" s="14">
        <f t="shared" si="25"/>
        <v>98</v>
      </c>
      <c r="R97" s="9">
        <f t="shared" si="19"/>
        <v>246.56800000000001</v>
      </c>
      <c r="S97" s="14" t="str">
        <f t="shared" si="20"/>
        <v>FIT</v>
      </c>
      <c r="T97" s="14">
        <f t="shared" si="21"/>
        <v>3</v>
      </c>
      <c r="U97" s="14">
        <f t="shared" si="26"/>
        <v>32</v>
      </c>
      <c r="V97" s="14">
        <f t="shared" si="27"/>
        <v>96</v>
      </c>
      <c r="W97" s="9">
        <f t="shared" si="22"/>
        <v>241.536</v>
      </c>
      <c r="X97" s="9">
        <f t="shared" si="28"/>
        <v>22.72</v>
      </c>
      <c r="Y97" s="9">
        <f t="shared" si="29"/>
        <v>45.44</v>
      </c>
      <c r="Z97" s="9">
        <f t="shared" si="23"/>
        <v>11.100000000000001</v>
      </c>
      <c r="AA97" s="1" t="str">
        <f t="shared" si="24"/>
        <v>Panasonic UR14500L Cylindrical cells in a 3s32p arrangement for a total of 21.76 Ah at 11.1 V nominal</v>
      </c>
      <c r="AB97" s="14">
        <f t="shared" si="30"/>
        <v>42</v>
      </c>
    </row>
    <row r="98" spans="1:28" x14ac:dyDescent="0.25">
      <c r="A98" t="s">
        <v>54</v>
      </c>
      <c r="B98" t="s">
        <v>58</v>
      </c>
      <c r="C98" t="s">
        <v>59</v>
      </c>
      <c r="D98" t="s">
        <v>1</v>
      </c>
      <c r="E98" s="8">
        <v>14</v>
      </c>
      <c r="F98">
        <v>50</v>
      </c>
      <c r="G98">
        <v>14</v>
      </c>
      <c r="H98">
        <v>680</v>
      </c>
      <c r="I98">
        <v>710</v>
      </c>
      <c r="J98" s="9">
        <v>2.75</v>
      </c>
      <c r="K98" s="9">
        <v>3.7</v>
      </c>
      <c r="L98" s="9">
        <v>4.2</v>
      </c>
      <c r="M98" s="9">
        <v>2</v>
      </c>
      <c r="N98" t="str">
        <f t="shared" si="31"/>
        <v>UR14500Y</v>
      </c>
      <c r="Q98" s="14">
        <f t="shared" si="25"/>
        <v>98</v>
      </c>
      <c r="R98" s="9">
        <f t="shared" si="19"/>
        <v>246.56800000000001</v>
      </c>
      <c r="S98" s="14" t="str">
        <f t="shared" si="20"/>
        <v>FIT</v>
      </c>
      <c r="T98" s="14">
        <f t="shared" si="21"/>
        <v>3</v>
      </c>
      <c r="U98" s="14">
        <f t="shared" si="26"/>
        <v>32</v>
      </c>
      <c r="V98" s="14">
        <f t="shared" si="27"/>
        <v>96</v>
      </c>
      <c r="W98" s="9">
        <f t="shared" si="22"/>
        <v>241.536</v>
      </c>
      <c r="X98" s="9">
        <f t="shared" si="28"/>
        <v>22.72</v>
      </c>
      <c r="Y98" s="9">
        <f t="shared" si="29"/>
        <v>45.44</v>
      </c>
      <c r="Z98" s="9">
        <f t="shared" si="23"/>
        <v>11.100000000000001</v>
      </c>
      <c r="AA98" s="1" t="str">
        <f t="shared" si="24"/>
        <v>Panasonic UR14500Y Cylindrical cells in a 3s32p arrangement for a total of 21.76 Ah at 11.1 V nominal</v>
      </c>
      <c r="AB98" s="14">
        <f t="shared" si="30"/>
        <v>42</v>
      </c>
    </row>
    <row r="99" spans="1:28" x14ac:dyDescent="0.25">
      <c r="A99" t="s">
        <v>54</v>
      </c>
      <c r="B99" t="s">
        <v>58</v>
      </c>
      <c r="C99" t="s">
        <v>59</v>
      </c>
      <c r="D99" t="s">
        <v>62</v>
      </c>
      <c r="E99" s="8">
        <v>14</v>
      </c>
      <c r="F99">
        <v>65</v>
      </c>
      <c r="G99">
        <v>14</v>
      </c>
      <c r="H99">
        <v>940</v>
      </c>
      <c r="I99">
        <v>980</v>
      </c>
      <c r="J99" s="9">
        <v>2.75</v>
      </c>
      <c r="K99" s="9">
        <v>3.7</v>
      </c>
      <c r="L99" s="9">
        <v>4.2</v>
      </c>
      <c r="M99" s="9">
        <v>2</v>
      </c>
      <c r="N99" t="str">
        <f t="shared" si="31"/>
        <v>UR14650P</v>
      </c>
      <c r="Q99" s="14">
        <f t="shared" si="25"/>
        <v>49</v>
      </c>
      <c r="R99" s="9">
        <f t="shared" si="19"/>
        <v>170.422</v>
      </c>
      <c r="S99" s="14" t="str">
        <f t="shared" si="20"/>
        <v>FIT</v>
      </c>
      <c r="T99" s="14">
        <f t="shared" si="21"/>
        <v>3</v>
      </c>
      <c r="U99" s="14">
        <f t="shared" si="26"/>
        <v>16</v>
      </c>
      <c r="V99" s="14">
        <f t="shared" si="27"/>
        <v>48</v>
      </c>
      <c r="W99" s="9">
        <f t="shared" si="22"/>
        <v>166.94399999999999</v>
      </c>
      <c r="X99" s="9">
        <f t="shared" si="28"/>
        <v>15.68</v>
      </c>
      <c r="Y99" s="9">
        <f t="shared" si="29"/>
        <v>31.36</v>
      </c>
      <c r="Z99" s="9">
        <f t="shared" si="23"/>
        <v>11.100000000000001</v>
      </c>
      <c r="AA99" s="1" t="str">
        <f t="shared" si="24"/>
        <v>Panasonic UR14650P Cylindrical cells in a 3s16p arrangement for a total of 15.04 Ah at 11.1 V nominal</v>
      </c>
      <c r="AB99" s="14">
        <f t="shared" si="30"/>
        <v>94</v>
      </c>
    </row>
    <row r="100" spans="1:28" x14ac:dyDescent="0.25">
      <c r="A100" t="s">
        <v>54</v>
      </c>
      <c r="B100" t="s">
        <v>58</v>
      </c>
      <c r="C100" t="s">
        <v>59</v>
      </c>
      <c r="D100" t="s">
        <v>64</v>
      </c>
      <c r="E100" s="8">
        <v>18</v>
      </c>
      <c r="F100">
        <v>50</v>
      </c>
      <c r="G100">
        <v>18</v>
      </c>
      <c r="H100">
        <v>1620</v>
      </c>
      <c r="I100">
        <v>1700</v>
      </c>
      <c r="J100" s="9">
        <v>2.75</v>
      </c>
      <c r="K100" s="9">
        <v>3.7</v>
      </c>
      <c r="L100" s="9">
        <v>4.2</v>
      </c>
      <c r="M100" s="9">
        <v>2</v>
      </c>
      <c r="N100" t="str">
        <f t="shared" si="31"/>
        <v>UR18500F</v>
      </c>
      <c r="Q100" s="14">
        <f t="shared" si="25"/>
        <v>50</v>
      </c>
      <c r="R100" s="9">
        <f t="shared" si="19"/>
        <v>299.7</v>
      </c>
      <c r="S100" s="14" t="str">
        <f t="shared" si="20"/>
        <v>FIT</v>
      </c>
      <c r="T100" s="14">
        <f t="shared" si="21"/>
        <v>3</v>
      </c>
      <c r="U100" s="14">
        <f t="shared" si="26"/>
        <v>16</v>
      </c>
      <c r="V100" s="14">
        <f t="shared" si="27"/>
        <v>48</v>
      </c>
      <c r="W100" s="9">
        <f t="shared" si="22"/>
        <v>287.71199999999999</v>
      </c>
      <c r="X100" s="9">
        <f t="shared" si="28"/>
        <v>27.2</v>
      </c>
      <c r="Y100" s="9">
        <f t="shared" si="29"/>
        <v>54.4</v>
      </c>
      <c r="Z100" s="9">
        <f t="shared" si="23"/>
        <v>11.100000000000001</v>
      </c>
      <c r="AA100" s="1" t="str">
        <f t="shared" si="24"/>
        <v>Panasonic UR18500F Cylindrical cells in a 3s16p arrangement for a total of 25.92 Ah at 11.1 V nominal</v>
      </c>
      <c r="AB100" s="14">
        <f t="shared" si="30"/>
        <v>15</v>
      </c>
    </row>
    <row r="101" spans="1:28" x14ac:dyDescent="0.25">
      <c r="A101" t="s">
        <v>54</v>
      </c>
      <c r="B101" t="s">
        <v>58</v>
      </c>
      <c r="C101" t="s">
        <v>59</v>
      </c>
      <c r="D101" t="s">
        <v>65</v>
      </c>
      <c r="E101" s="8">
        <v>18</v>
      </c>
      <c r="F101">
        <v>50</v>
      </c>
      <c r="G101">
        <v>18</v>
      </c>
      <c r="H101">
        <v>1450</v>
      </c>
      <c r="I101">
        <v>1520</v>
      </c>
      <c r="J101" s="9">
        <v>2.75</v>
      </c>
      <c r="K101" s="9">
        <v>3.7</v>
      </c>
      <c r="L101" s="9">
        <v>4.2</v>
      </c>
      <c r="M101" s="9">
        <v>2</v>
      </c>
      <c r="N101" t="str">
        <f t="shared" si="31"/>
        <v>UR18500H</v>
      </c>
      <c r="Q101" s="14">
        <f t="shared" si="25"/>
        <v>50</v>
      </c>
      <c r="R101" s="9">
        <f t="shared" si="19"/>
        <v>268.25</v>
      </c>
      <c r="S101" s="14" t="str">
        <f t="shared" si="20"/>
        <v>FIT</v>
      </c>
      <c r="T101" s="14">
        <f t="shared" si="21"/>
        <v>3</v>
      </c>
      <c r="U101" s="14">
        <f t="shared" si="26"/>
        <v>16</v>
      </c>
      <c r="V101" s="14">
        <f t="shared" si="27"/>
        <v>48</v>
      </c>
      <c r="W101" s="9">
        <f t="shared" si="22"/>
        <v>257.52</v>
      </c>
      <c r="X101" s="9">
        <f t="shared" si="28"/>
        <v>24.32</v>
      </c>
      <c r="Y101" s="9">
        <f t="shared" si="29"/>
        <v>48.64</v>
      </c>
      <c r="Z101" s="9">
        <f t="shared" si="23"/>
        <v>11.100000000000001</v>
      </c>
      <c r="AA101" s="1" t="str">
        <f t="shared" si="24"/>
        <v>Panasonic UR18500H Cylindrical cells in a 3s16p arrangement for a total of 23.2 Ah at 11.1 V nominal</v>
      </c>
      <c r="AB101" s="14">
        <f t="shared" si="30"/>
        <v>34</v>
      </c>
    </row>
    <row r="102" spans="1:28" x14ac:dyDescent="0.25">
      <c r="A102" t="s">
        <v>54</v>
      </c>
      <c r="B102" t="s">
        <v>58</v>
      </c>
      <c r="C102" t="s">
        <v>59</v>
      </c>
      <c r="D102" t="s">
        <v>63</v>
      </c>
      <c r="E102" s="8">
        <v>18</v>
      </c>
      <c r="F102">
        <v>50</v>
      </c>
      <c r="G102">
        <v>18</v>
      </c>
      <c r="H102">
        <v>1200</v>
      </c>
      <c r="I102">
        <v>1260</v>
      </c>
      <c r="J102" s="9">
        <v>2.75</v>
      </c>
      <c r="K102" s="9">
        <v>3.7</v>
      </c>
      <c r="L102" s="9">
        <v>4.2</v>
      </c>
      <c r="M102" s="9">
        <v>2</v>
      </c>
      <c r="N102" t="str">
        <f t="shared" si="31"/>
        <v>UR18500L</v>
      </c>
      <c r="Q102" s="14">
        <f t="shared" si="25"/>
        <v>50</v>
      </c>
      <c r="R102" s="9">
        <f t="shared" si="19"/>
        <v>222</v>
      </c>
      <c r="S102" s="14" t="str">
        <f t="shared" si="20"/>
        <v>FIT</v>
      </c>
      <c r="T102" s="14">
        <f t="shared" si="21"/>
        <v>3</v>
      </c>
      <c r="U102" s="14">
        <f t="shared" si="26"/>
        <v>16</v>
      </c>
      <c r="V102" s="14">
        <f t="shared" si="27"/>
        <v>48</v>
      </c>
      <c r="W102" s="9">
        <f t="shared" si="22"/>
        <v>213.12</v>
      </c>
      <c r="X102" s="9">
        <f t="shared" si="28"/>
        <v>20.16</v>
      </c>
      <c r="Y102" s="9">
        <f t="shared" si="29"/>
        <v>40.32</v>
      </c>
      <c r="Z102" s="9">
        <f t="shared" si="23"/>
        <v>11.100000000000001</v>
      </c>
      <c r="AA102" s="1" t="str">
        <f t="shared" si="24"/>
        <v>Panasonic UR18500L Cylindrical cells in a 3s16p arrangement for a total of 19.2 Ah at 11.1 V nominal</v>
      </c>
      <c r="AB102" s="14">
        <f t="shared" si="30"/>
        <v>68</v>
      </c>
    </row>
    <row r="103" spans="1:28" x14ac:dyDescent="0.25">
      <c r="A103" t="s">
        <v>54</v>
      </c>
      <c r="B103" t="s">
        <v>58</v>
      </c>
      <c r="C103" t="s">
        <v>59</v>
      </c>
      <c r="D103" t="s">
        <v>1</v>
      </c>
      <c r="E103" s="8">
        <v>18</v>
      </c>
      <c r="F103">
        <v>50</v>
      </c>
      <c r="G103">
        <v>18</v>
      </c>
      <c r="H103">
        <v>1300</v>
      </c>
      <c r="I103">
        <v>1400</v>
      </c>
      <c r="J103" s="9">
        <v>2.75</v>
      </c>
      <c r="K103" s="9">
        <v>3.7</v>
      </c>
      <c r="L103" s="9">
        <v>4.2</v>
      </c>
      <c r="M103" s="9">
        <v>2</v>
      </c>
      <c r="N103" t="str">
        <f t="shared" si="31"/>
        <v>UR18500Y</v>
      </c>
      <c r="Q103" s="14">
        <f t="shared" si="25"/>
        <v>50</v>
      </c>
      <c r="R103" s="9">
        <f t="shared" si="19"/>
        <v>240.5</v>
      </c>
      <c r="S103" s="14" t="str">
        <f t="shared" si="20"/>
        <v>FIT</v>
      </c>
      <c r="T103" s="14">
        <f t="shared" si="21"/>
        <v>3</v>
      </c>
      <c r="U103" s="14">
        <f t="shared" si="26"/>
        <v>16</v>
      </c>
      <c r="V103" s="14">
        <f t="shared" si="27"/>
        <v>48</v>
      </c>
      <c r="W103" s="9">
        <f t="shared" si="22"/>
        <v>230.88</v>
      </c>
      <c r="X103" s="9">
        <f t="shared" si="28"/>
        <v>22.4</v>
      </c>
      <c r="Y103" s="9">
        <f t="shared" si="29"/>
        <v>44.8</v>
      </c>
      <c r="Z103" s="9">
        <f t="shared" si="23"/>
        <v>11.100000000000001</v>
      </c>
      <c r="AA103" s="1" t="str">
        <f t="shared" si="24"/>
        <v>Panasonic UR18500Y Cylindrical cells in a 3s16p arrangement for a total of 20.8 Ah at 11.1 V nominal</v>
      </c>
      <c r="AB103" s="14">
        <f t="shared" si="30"/>
        <v>54</v>
      </c>
    </row>
    <row r="104" spans="1:28" x14ac:dyDescent="0.25">
      <c r="A104" t="s">
        <v>54</v>
      </c>
      <c r="B104" t="s">
        <v>58</v>
      </c>
      <c r="C104" t="s">
        <v>59</v>
      </c>
      <c r="D104" t="s">
        <v>64</v>
      </c>
      <c r="E104" s="8">
        <v>18</v>
      </c>
      <c r="F104">
        <v>65</v>
      </c>
      <c r="G104">
        <v>18</v>
      </c>
      <c r="H104">
        <v>2300</v>
      </c>
      <c r="I104">
        <v>2400</v>
      </c>
      <c r="J104" s="9">
        <v>2.75</v>
      </c>
      <c r="K104" s="9">
        <v>3.7</v>
      </c>
      <c r="L104" s="9">
        <v>4.2</v>
      </c>
      <c r="M104" s="9">
        <v>2</v>
      </c>
      <c r="N104" t="str">
        <f t="shared" si="31"/>
        <v>UR18650F</v>
      </c>
      <c r="Q104" s="14">
        <f t="shared" si="25"/>
        <v>25</v>
      </c>
      <c r="R104" s="9">
        <f t="shared" si="19"/>
        <v>212.75</v>
      </c>
      <c r="S104" s="14" t="str">
        <f t="shared" si="20"/>
        <v>FIT</v>
      </c>
      <c r="T104" s="14">
        <f t="shared" si="21"/>
        <v>3</v>
      </c>
      <c r="U104" s="14">
        <f t="shared" si="26"/>
        <v>8</v>
      </c>
      <c r="V104" s="14">
        <f t="shared" si="27"/>
        <v>24</v>
      </c>
      <c r="W104" s="9">
        <f t="shared" si="22"/>
        <v>204.24</v>
      </c>
      <c r="X104" s="9">
        <f t="shared" si="28"/>
        <v>19.2</v>
      </c>
      <c r="Y104" s="9">
        <f t="shared" si="29"/>
        <v>38.4</v>
      </c>
      <c r="Z104" s="9">
        <f t="shared" si="23"/>
        <v>11.100000000000001</v>
      </c>
      <c r="AA104" s="1" t="str">
        <f t="shared" si="24"/>
        <v>Panasonic UR18650F Cylindrical cells in a 3s8p arrangement for a total of 18.4 Ah at 11.1 V nominal</v>
      </c>
      <c r="AB104" s="14">
        <f t="shared" si="30"/>
        <v>74</v>
      </c>
    </row>
    <row r="105" spans="1:28" x14ac:dyDescent="0.25">
      <c r="A105" t="s">
        <v>54</v>
      </c>
      <c r="B105" t="s">
        <v>58</v>
      </c>
      <c r="C105" t="s">
        <v>59</v>
      </c>
      <c r="D105" t="s">
        <v>64</v>
      </c>
      <c r="E105" s="8">
        <v>18</v>
      </c>
      <c r="F105">
        <v>65</v>
      </c>
      <c r="G105">
        <v>18</v>
      </c>
      <c r="H105">
        <v>2450</v>
      </c>
      <c r="I105">
        <v>2600</v>
      </c>
      <c r="J105" s="9">
        <v>2.75</v>
      </c>
      <c r="K105" s="9">
        <v>3.7</v>
      </c>
      <c r="L105" s="9">
        <v>4.2</v>
      </c>
      <c r="M105" s="9">
        <v>2</v>
      </c>
      <c r="N105" t="str">
        <f t="shared" si="31"/>
        <v>UR18650F</v>
      </c>
      <c r="Q105" s="14">
        <f t="shared" si="25"/>
        <v>25</v>
      </c>
      <c r="R105" s="9">
        <f t="shared" si="19"/>
        <v>226.625</v>
      </c>
      <c r="S105" s="14" t="str">
        <f t="shared" si="20"/>
        <v>FIT</v>
      </c>
      <c r="T105" s="14">
        <f t="shared" si="21"/>
        <v>3</v>
      </c>
      <c r="U105" s="14">
        <f t="shared" si="26"/>
        <v>8</v>
      </c>
      <c r="V105" s="14">
        <f t="shared" si="27"/>
        <v>24</v>
      </c>
      <c r="W105" s="9">
        <f t="shared" si="22"/>
        <v>217.56</v>
      </c>
      <c r="X105" s="9">
        <f t="shared" si="28"/>
        <v>20.8</v>
      </c>
      <c r="Y105" s="9">
        <f t="shared" si="29"/>
        <v>41.6</v>
      </c>
      <c r="Z105" s="9">
        <f t="shared" si="23"/>
        <v>11.100000000000001</v>
      </c>
      <c r="AA105" s="1" t="str">
        <f t="shared" si="24"/>
        <v>Panasonic UR18650F Cylindrical cells in a 3s8p arrangement for a total of 19.6 Ah at 11.1 V nominal</v>
      </c>
      <c r="AB105" s="14">
        <f t="shared" si="30"/>
        <v>64</v>
      </c>
    </row>
    <row r="106" spans="1:28" x14ac:dyDescent="0.25">
      <c r="A106" t="s">
        <v>54</v>
      </c>
      <c r="B106" t="s">
        <v>58</v>
      </c>
      <c r="C106" t="s">
        <v>59</v>
      </c>
      <c r="D106" t="s">
        <v>66</v>
      </c>
      <c r="E106" s="8">
        <v>18</v>
      </c>
      <c r="F106">
        <v>65</v>
      </c>
      <c r="G106">
        <v>18</v>
      </c>
      <c r="H106">
        <v>2450</v>
      </c>
      <c r="I106">
        <v>2600</v>
      </c>
      <c r="J106" s="9">
        <v>2.75</v>
      </c>
      <c r="K106" s="9">
        <v>3.7</v>
      </c>
      <c r="L106" s="9">
        <v>4.2</v>
      </c>
      <c r="M106" s="9">
        <v>2</v>
      </c>
      <c r="N106" t="str">
        <f t="shared" si="31"/>
        <v>UR18650ZY</v>
      </c>
      <c r="Q106" s="14">
        <f t="shared" si="25"/>
        <v>25</v>
      </c>
      <c r="R106" s="9">
        <f t="shared" si="19"/>
        <v>226.625</v>
      </c>
      <c r="S106" s="14" t="str">
        <f t="shared" si="20"/>
        <v>FIT</v>
      </c>
      <c r="T106" s="14">
        <f t="shared" si="21"/>
        <v>3</v>
      </c>
      <c r="U106" s="14">
        <f t="shared" si="26"/>
        <v>8</v>
      </c>
      <c r="V106" s="14">
        <f t="shared" si="27"/>
        <v>24</v>
      </c>
      <c r="W106" s="9">
        <f t="shared" si="22"/>
        <v>217.56</v>
      </c>
      <c r="X106" s="9">
        <f t="shared" si="28"/>
        <v>20.8</v>
      </c>
      <c r="Y106" s="9">
        <f t="shared" si="29"/>
        <v>41.6</v>
      </c>
      <c r="Z106" s="9">
        <f t="shared" si="23"/>
        <v>11.100000000000001</v>
      </c>
      <c r="AA106" s="1" t="str">
        <f t="shared" si="24"/>
        <v>Panasonic UR18650ZY Cylindrical cells in a 3s8p arrangement for a total of 19.6 Ah at 11.1 V nominal</v>
      </c>
      <c r="AB106" s="14">
        <f t="shared" si="30"/>
        <v>64</v>
      </c>
    </row>
    <row r="107" spans="1:28" x14ac:dyDescent="0.25">
      <c r="A107" t="s">
        <v>54</v>
      </c>
      <c r="B107" t="s">
        <v>58</v>
      </c>
      <c r="C107" t="s">
        <v>59</v>
      </c>
      <c r="D107" t="s">
        <v>67</v>
      </c>
      <c r="E107" s="8">
        <v>18</v>
      </c>
      <c r="F107">
        <v>65</v>
      </c>
      <c r="G107">
        <v>18</v>
      </c>
      <c r="H107">
        <v>2000</v>
      </c>
      <c r="I107">
        <v>2050</v>
      </c>
      <c r="J107" s="9">
        <v>2.75</v>
      </c>
      <c r="K107" s="9">
        <v>3.7</v>
      </c>
      <c r="L107" s="9">
        <v>4.2</v>
      </c>
      <c r="M107" s="9">
        <v>2</v>
      </c>
      <c r="N107" t="str">
        <f t="shared" si="31"/>
        <v>UR18650E</v>
      </c>
      <c r="Q107" s="14">
        <f t="shared" si="25"/>
        <v>25</v>
      </c>
      <c r="R107" s="9">
        <f t="shared" si="19"/>
        <v>185</v>
      </c>
      <c r="S107" s="14" t="str">
        <f t="shared" si="20"/>
        <v>FIT</v>
      </c>
      <c r="T107" s="14">
        <f t="shared" si="21"/>
        <v>3</v>
      </c>
      <c r="U107" s="14">
        <f t="shared" si="26"/>
        <v>8</v>
      </c>
      <c r="V107" s="14">
        <f t="shared" si="27"/>
        <v>24</v>
      </c>
      <c r="W107" s="9">
        <f t="shared" si="22"/>
        <v>177.6</v>
      </c>
      <c r="X107" s="9">
        <f t="shared" si="28"/>
        <v>16.399999999999999</v>
      </c>
      <c r="Y107" s="9">
        <f t="shared" si="29"/>
        <v>32.799999999999997</v>
      </c>
      <c r="Z107" s="9">
        <f t="shared" si="23"/>
        <v>11.100000000000001</v>
      </c>
      <c r="AA107" s="1" t="str">
        <f t="shared" si="24"/>
        <v>Panasonic UR18650E Cylindrical cells in a 3s8p arrangement for a total of 16 Ah at 11.1 V nominal</v>
      </c>
      <c r="AB107" s="14">
        <f t="shared" si="30"/>
        <v>88</v>
      </c>
    </row>
    <row r="108" spans="1:28" x14ac:dyDescent="0.25">
      <c r="A108" t="s">
        <v>54</v>
      </c>
      <c r="B108" t="s">
        <v>58</v>
      </c>
      <c r="C108" t="s">
        <v>59</v>
      </c>
      <c r="D108" t="s">
        <v>68</v>
      </c>
      <c r="E108" s="8">
        <v>18</v>
      </c>
      <c r="F108">
        <v>65</v>
      </c>
      <c r="G108">
        <v>18</v>
      </c>
      <c r="H108">
        <v>2200</v>
      </c>
      <c r="I108">
        <v>2350</v>
      </c>
      <c r="J108" s="9">
        <v>2.75</v>
      </c>
      <c r="K108" s="9">
        <v>3.7</v>
      </c>
      <c r="L108" s="9">
        <v>4.2</v>
      </c>
      <c r="M108" s="9">
        <v>2</v>
      </c>
      <c r="N108" t="str">
        <f t="shared" si="31"/>
        <v>UR18650EA</v>
      </c>
      <c r="Q108" s="14">
        <f t="shared" si="25"/>
        <v>25</v>
      </c>
      <c r="R108" s="9">
        <f t="shared" si="19"/>
        <v>203.5</v>
      </c>
      <c r="S108" s="14" t="str">
        <f t="shared" si="20"/>
        <v>FIT</v>
      </c>
      <c r="T108" s="14">
        <f t="shared" si="21"/>
        <v>3</v>
      </c>
      <c r="U108" s="14">
        <f t="shared" si="26"/>
        <v>8</v>
      </c>
      <c r="V108" s="14">
        <f t="shared" si="27"/>
        <v>24</v>
      </c>
      <c r="W108" s="9">
        <f t="shared" si="22"/>
        <v>195.36</v>
      </c>
      <c r="X108" s="9">
        <f t="shared" si="28"/>
        <v>18.8</v>
      </c>
      <c r="Y108" s="9">
        <f t="shared" si="29"/>
        <v>37.6</v>
      </c>
      <c r="Z108" s="9">
        <f t="shared" si="23"/>
        <v>11.100000000000001</v>
      </c>
      <c r="AA108" s="1" t="str">
        <f t="shared" si="24"/>
        <v>Panasonic UR18650EA Cylindrical cells in a 3s8p arrangement for a total of 17.6 Ah at 11.1 V nominal</v>
      </c>
      <c r="AB108" s="14">
        <f t="shared" si="30"/>
        <v>80</v>
      </c>
    </row>
    <row r="109" spans="1:28" x14ac:dyDescent="0.25">
      <c r="A109" t="s">
        <v>54</v>
      </c>
      <c r="B109" t="s">
        <v>58</v>
      </c>
      <c r="C109" t="s">
        <v>59</v>
      </c>
      <c r="D109" t="s">
        <v>69</v>
      </c>
      <c r="E109" s="8">
        <v>18</v>
      </c>
      <c r="F109">
        <v>65</v>
      </c>
      <c r="G109">
        <v>18</v>
      </c>
      <c r="H109">
        <v>2100</v>
      </c>
      <c r="I109">
        <v>2250</v>
      </c>
      <c r="J109" s="9">
        <v>2.75</v>
      </c>
      <c r="K109" s="9">
        <v>3.7</v>
      </c>
      <c r="L109" s="9">
        <v>4.2</v>
      </c>
      <c r="M109" s="9">
        <v>2</v>
      </c>
      <c r="N109" t="str">
        <f t="shared" si="31"/>
        <v>UR18650A</v>
      </c>
      <c r="Q109" s="14">
        <f t="shared" si="25"/>
        <v>25</v>
      </c>
      <c r="R109" s="9">
        <f t="shared" si="19"/>
        <v>194.25</v>
      </c>
      <c r="S109" s="14" t="str">
        <f t="shared" si="20"/>
        <v>FIT</v>
      </c>
      <c r="T109" s="14">
        <f t="shared" si="21"/>
        <v>3</v>
      </c>
      <c r="U109" s="14">
        <f t="shared" si="26"/>
        <v>8</v>
      </c>
      <c r="V109" s="14">
        <f t="shared" si="27"/>
        <v>24</v>
      </c>
      <c r="W109" s="9">
        <f t="shared" si="22"/>
        <v>186.48</v>
      </c>
      <c r="X109" s="9">
        <f t="shared" si="28"/>
        <v>18</v>
      </c>
      <c r="Y109" s="9">
        <f t="shared" si="29"/>
        <v>36</v>
      </c>
      <c r="Z109" s="9">
        <f t="shared" si="23"/>
        <v>11.100000000000001</v>
      </c>
      <c r="AA109" s="1" t="str">
        <f t="shared" si="24"/>
        <v>Panasonic UR18650A Cylindrical cells in a 3s8p arrangement for a total of 16.8 Ah at 11.1 V nominal</v>
      </c>
      <c r="AB109" s="14">
        <f t="shared" si="30"/>
        <v>84</v>
      </c>
    </row>
    <row r="110" spans="1:28" x14ac:dyDescent="0.25">
      <c r="A110" t="s">
        <v>54</v>
      </c>
      <c r="B110" t="s">
        <v>58</v>
      </c>
      <c r="C110" t="s">
        <v>59</v>
      </c>
      <c r="D110" t="s">
        <v>1</v>
      </c>
      <c r="E110" s="8">
        <v>18</v>
      </c>
      <c r="F110">
        <v>65</v>
      </c>
      <c r="G110">
        <v>18</v>
      </c>
      <c r="H110">
        <v>1850</v>
      </c>
      <c r="I110">
        <v>2000</v>
      </c>
      <c r="J110" s="9">
        <v>2.75</v>
      </c>
      <c r="K110" s="9">
        <v>3.7</v>
      </c>
      <c r="L110" s="9">
        <v>4.2</v>
      </c>
      <c r="M110" s="9">
        <v>2</v>
      </c>
      <c r="N110" t="str">
        <f t="shared" si="31"/>
        <v>UR18650Y</v>
      </c>
      <c r="Q110" s="14">
        <f t="shared" si="25"/>
        <v>25</v>
      </c>
      <c r="R110" s="9">
        <f t="shared" ref="R110:R130" si="32">IF(AND(Q110&gt;0,((K110*H110*Q110)/1000)&gt;=$B$6),(K110*H110*Q110)/1000,"")</f>
        <v>171.125</v>
      </c>
      <c r="S110" s="14" t="str">
        <f t="shared" ref="S110:S130" si="33">IF(Q110=0,"TOO BIG",IF((K110*H110*Q110)/1000&lt;$B$6,"ENERGY TOO LOW","FIT"))</f>
        <v>FIT</v>
      </c>
      <c r="T110" s="14">
        <f t="shared" si="21"/>
        <v>3</v>
      </c>
      <c r="U110" s="14">
        <f t="shared" si="26"/>
        <v>8</v>
      </c>
      <c r="V110" s="14">
        <f t="shared" si="27"/>
        <v>24</v>
      </c>
      <c r="W110" s="9">
        <f t="shared" ref="W110:W130" si="34">IF(AND(V110&gt;0,((K110*H110*V110)/1000)&gt;=$B$6),(K110*H110*V110)/1000,"")</f>
        <v>164.28</v>
      </c>
      <c r="X110" s="9">
        <f t="shared" si="28"/>
        <v>16</v>
      </c>
      <c r="Y110" s="9">
        <f t="shared" si="29"/>
        <v>32</v>
      </c>
      <c r="Z110" s="9">
        <f t="shared" ref="Z110:Z130" si="35">IF(W110="","",T110*K110)</f>
        <v>11.100000000000001</v>
      </c>
      <c r="AA110" s="1" t="str">
        <f t="shared" ref="AA110:AA129" si="36">IF(AND(V110&gt;0,NOT(W110="")),A110&amp;" "&amp;N110&amp;" "&amp;B110&amp;" cells in a "&amp;T110&amp;"s"&amp;U110&amp;"p arrangement for a total of "&amp;U110*H110/1000&amp;" Ah at "&amp;T110*K110&amp;" V nominal","")</f>
        <v>Panasonic UR18650Y Cylindrical cells in a 3s8p arrangement for a total of 14.8 Ah at 11.1 V nominal</v>
      </c>
      <c r="AB110" s="14">
        <f t="shared" si="30"/>
        <v>96</v>
      </c>
    </row>
    <row r="111" spans="1:28" x14ac:dyDescent="0.25">
      <c r="A111" t="s">
        <v>54</v>
      </c>
      <c r="B111" t="s">
        <v>58</v>
      </c>
      <c r="C111" t="s">
        <v>60</v>
      </c>
      <c r="D111" t="s">
        <v>70</v>
      </c>
      <c r="E111" s="8">
        <v>18</v>
      </c>
      <c r="F111">
        <v>65</v>
      </c>
      <c r="G111">
        <v>18</v>
      </c>
      <c r="H111">
        <v>3200</v>
      </c>
      <c r="I111">
        <v>2250</v>
      </c>
      <c r="J111" s="9">
        <v>2.75</v>
      </c>
      <c r="K111" s="9">
        <v>3.7</v>
      </c>
      <c r="L111" s="9">
        <v>4.2</v>
      </c>
      <c r="M111" s="9">
        <v>2</v>
      </c>
      <c r="N111" t="str">
        <f t="shared" si="31"/>
        <v>NCR18650B</v>
      </c>
      <c r="Q111" s="14">
        <f t="shared" si="25"/>
        <v>25</v>
      </c>
      <c r="R111" s="9">
        <f t="shared" si="32"/>
        <v>296</v>
      </c>
      <c r="S111" s="14" t="str">
        <f t="shared" si="33"/>
        <v>FIT</v>
      </c>
      <c r="T111" s="14">
        <f t="shared" si="21"/>
        <v>3</v>
      </c>
      <c r="U111" s="14">
        <f t="shared" si="26"/>
        <v>8</v>
      </c>
      <c r="V111" s="14">
        <f t="shared" si="27"/>
        <v>24</v>
      </c>
      <c r="W111" s="9">
        <f t="shared" si="34"/>
        <v>284.16000000000003</v>
      </c>
      <c r="X111" s="9">
        <f t="shared" si="28"/>
        <v>18</v>
      </c>
      <c r="Y111" s="9">
        <f t="shared" si="29"/>
        <v>36</v>
      </c>
      <c r="Z111" s="9">
        <f t="shared" si="35"/>
        <v>11.100000000000001</v>
      </c>
      <c r="AA111" s="1" t="str">
        <f t="shared" si="36"/>
        <v>Panasonic NCR18650B Cylindrical cells in a 3s8p arrangement for a total of 25.6 Ah at 11.1 V nominal</v>
      </c>
      <c r="AB111" s="14">
        <f t="shared" si="30"/>
        <v>18</v>
      </c>
    </row>
    <row r="112" spans="1:28" x14ac:dyDescent="0.25">
      <c r="A112" t="s">
        <v>54</v>
      </c>
      <c r="B112" t="s">
        <v>58</v>
      </c>
      <c r="C112" t="s">
        <v>60</v>
      </c>
      <c r="D112" t="s">
        <v>69</v>
      </c>
      <c r="E112" s="8">
        <v>18</v>
      </c>
      <c r="F112">
        <v>65</v>
      </c>
      <c r="G112">
        <v>18</v>
      </c>
      <c r="H112">
        <v>2900</v>
      </c>
      <c r="I112">
        <v>3070</v>
      </c>
      <c r="J112" s="9">
        <v>2.75</v>
      </c>
      <c r="K112" s="9">
        <v>3.7</v>
      </c>
      <c r="L112" s="9">
        <v>4.2</v>
      </c>
      <c r="M112" s="9">
        <v>2</v>
      </c>
      <c r="N112" t="str">
        <f t="shared" si="31"/>
        <v>NCR18650A</v>
      </c>
      <c r="Q112" s="14">
        <f t="shared" si="25"/>
        <v>25</v>
      </c>
      <c r="R112" s="9">
        <f t="shared" si="32"/>
        <v>268.25</v>
      </c>
      <c r="S112" s="14" t="str">
        <f t="shared" si="33"/>
        <v>FIT</v>
      </c>
      <c r="T112" s="14">
        <f t="shared" si="21"/>
        <v>3</v>
      </c>
      <c r="U112" s="14">
        <f t="shared" si="26"/>
        <v>8</v>
      </c>
      <c r="V112" s="14">
        <f t="shared" si="27"/>
        <v>24</v>
      </c>
      <c r="W112" s="9">
        <f t="shared" si="34"/>
        <v>257.52</v>
      </c>
      <c r="X112" s="9">
        <f t="shared" si="28"/>
        <v>24.56</v>
      </c>
      <c r="Y112" s="9">
        <f t="shared" si="29"/>
        <v>49.12</v>
      </c>
      <c r="Z112" s="9">
        <f t="shared" si="35"/>
        <v>11.100000000000001</v>
      </c>
      <c r="AA112" s="1" t="str">
        <f t="shared" si="36"/>
        <v>Panasonic NCR18650A Cylindrical cells in a 3s8p arrangement for a total of 23.2 Ah at 11.1 V nominal</v>
      </c>
      <c r="AB112" s="14">
        <f t="shared" si="30"/>
        <v>34</v>
      </c>
    </row>
    <row r="113" spans="1:28" x14ac:dyDescent="0.25">
      <c r="A113" t="s">
        <v>54</v>
      </c>
      <c r="B113" t="s">
        <v>58</v>
      </c>
      <c r="C113" t="s">
        <v>60</v>
      </c>
      <c r="E113" s="8">
        <v>18</v>
      </c>
      <c r="F113">
        <v>65</v>
      </c>
      <c r="G113">
        <v>18</v>
      </c>
      <c r="H113">
        <v>2700</v>
      </c>
      <c r="I113">
        <v>2900</v>
      </c>
      <c r="J113" s="9">
        <v>2.75</v>
      </c>
      <c r="K113" s="9">
        <v>3.7</v>
      </c>
      <c r="L113" s="9">
        <v>4.2</v>
      </c>
      <c r="M113" s="9">
        <v>2</v>
      </c>
      <c r="N113" t="str">
        <f t="shared" si="31"/>
        <v>NCR18650</v>
      </c>
      <c r="Q113" s="14">
        <f t="shared" si="25"/>
        <v>25</v>
      </c>
      <c r="R113" s="9">
        <f t="shared" si="32"/>
        <v>249.75</v>
      </c>
      <c r="S113" s="14" t="str">
        <f t="shared" si="33"/>
        <v>FIT</v>
      </c>
      <c r="T113" s="14">
        <f t="shared" si="21"/>
        <v>3</v>
      </c>
      <c r="U113" s="14">
        <f t="shared" si="26"/>
        <v>8</v>
      </c>
      <c r="V113" s="14">
        <f t="shared" si="27"/>
        <v>24</v>
      </c>
      <c r="W113" s="9">
        <f t="shared" si="34"/>
        <v>239.76</v>
      </c>
      <c r="X113" s="9">
        <f t="shared" si="28"/>
        <v>23.2</v>
      </c>
      <c r="Y113" s="9">
        <f t="shared" si="29"/>
        <v>46.4</v>
      </c>
      <c r="Z113" s="9">
        <f t="shared" si="35"/>
        <v>11.100000000000001</v>
      </c>
      <c r="AA113" s="1" t="str">
        <f t="shared" si="36"/>
        <v>Panasonic NCR18650 Cylindrical cells in a 3s8p arrangement for a total of 21.6 Ah at 11.1 V nominal</v>
      </c>
      <c r="AB113" s="14">
        <f t="shared" si="30"/>
        <v>44</v>
      </c>
    </row>
    <row r="114" spans="1:28" x14ac:dyDescent="0.25">
      <c r="A114" t="s">
        <v>54</v>
      </c>
      <c r="B114" t="s">
        <v>58</v>
      </c>
      <c r="C114" t="s">
        <v>60</v>
      </c>
      <c r="D114" t="s">
        <v>64</v>
      </c>
      <c r="E114" s="8">
        <v>18</v>
      </c>
      <c r="F114">
        <v>65</v>
      </c>
      <c r="G114">
        <v>18</v>
      </c>
      <c r="H114">
        <v>2700</v>
      </c>
      <c r="I114">
        <v>2900</v>
      </c>
      <c r="J114" s="9">
        <v>2.75</v>
      </c>
      <c r="K114" s="9">
        <v>3.7</v>
      </c>
      <c r="L114" s="9">
        <v>4.2</v>
      </c>
      <c r="M114" s="9">
        <v>2</v>
      </c>
      <c r="N114" t="str">
        <f t="shared" si="31"/>
        <v>NCR18650F</v>
      </c>
      <c r="Q114" s="14">
        <f t="shared" si="25"/>
        <v>25</v>
      </c>
      <c r="R114" s="9">
        <f t="shared" si="32"/>
        <v>249.75</v>
      </c>
      <c r="S114" s="14" t="str">
        <f t="shared" si="33"/>
        <v>FIT</v>
      </c>
      <c r="T114" s="14">
        <f t="shared" si="21"/>
        <v>3</v>
      </c>
      <c r="U114" s="14">
        <f t="shared" si="26"/>
        <v>8</v>
      </c>
      <c r="V114" s="14">
        <f t="shared" si="27"/>
        <v>24</v>
      </c>
      <c r="W114" s="9">
        <f t="shared" si="34"/>
        <v>239.76</v>
      </c>
      <c r="X114" s="9">
        <f t="shared" si="28"/>
        <v>23.2</v>
      </c>
      <c r="Y114" s="9">
        <f t="shared" si="29"/>
        <v>46.4</v>
      </c>
      <c r="Z114" s="9">
        <f t="shared" si="35"/>
        <v>11.100000000000001</v>
      </c>
      <c r="AA114" s="1" t="str">
        <f t="shared" si="36"/>
        <v>Panasonic NCR18650F Cylindrical cells in a 3s8p arrangement for a total of 21.6 Ah at 11.1 V nominal</v>
      </c>
      <c r="AB114" s="14">
        <f t="shared" si="30"/>
        <v>44</v>
      </c>
    </row>
    <row r="115" spans="1:28" x14ac:dyDescent="0.25">
      <c r="A115" t="s">
        <v>54</v>
      </c>
      <c r="B115" t="s">
        <v>58</v>
      </c>
      <c r="C115" t="s">
        <v>60</v>
      </c>
      <c r="D115" t="s">
        <v>71</v>
      </c>
      <c r="E115" s="8">
        <v>18</v>
      </c>
      <c r="F115">
        <v>65</v>
      </c>
      <c r="G115">
        <v>18</v>
      </c>
      <c r="H115">
        <v>2500</v>
      </c>
      <c r="I115">
        <v>2700</v>
      </c>
      <c r="J115" s="9">
        <v>2.75</v>
      </c>
      <c r="K115" s="9">
        <v>3.7</v>
      </c>
      <c r="L115" s="9">
        <v>4.2</v>
      </c>
      <c r="M115" s="9">
        <v>2</v>
      </c>
      <c r="N115" t="str">
        <f t="shared" si="31"/>
        <v>NCR18650D</v>
      </c>
      <c r="Q115" s="14">
        <f t="shared" si="25"/>
        <v>25</v>
      </c>
      <c r="R115" s="9">
        <f t="shared" si="32"/>
        <v>231.25</v>
      </c>
      <c r="S115" s="14" t="str">
        <f t="shared" si="33"/>
        <v>FIT</v>
      </c>
      <c r="T115" s="14">
        <f t="shared" si="21"/>
        <v>3</v>
      </c>
      <c r="U115" s="14">
        <f t="shared" si="26"/>
        <v>8</v>
      </c>
      <c r="V115" s="14">
        <f t="shared" si="27"/>
        <v>24</v>
      </c>
      <c r="W115" s="9">
        <f t="shared" si="34"/>
        <v>222</v>
      </c>
      <c r="X115" s="9">
        <f t="shared" si="28"/>
        <v>21.6</v>
      </c>
      <c r="Y115" s="9">
        <f t="shared" si="29"/>
        <v>43.2</v>
      </c>
      <c r="Z115" s="9">
        <f t="shared" si="35"/>
        <v>11.100000000000001</v>
      </c>
      <c r="AA115" s="1" t="str">
        <f t="shared" si="36"/>
        <v>Panasonic NCR18650D Cylindrical cells in a 3s8p arrangement for a total of 20 Ah at 11.1 V nominal</v>
      </c>
      <c r="AB115" s="14">
        <f t="shared" si="30"/>
        <v>61</v>
      </c>
    </row>
    <row r="116" spans="1:28" x14ac:dyDescent="0.25">
      <c r="A116" t="s">
        <v>54</v>
      </c>
      <c r="B116" t="s">
        <v>58</v>
      </c>
      <c r="C116" t="s">
        <v>60</v>
      </c>
      <c r="D116" t="s">
        <v>67</v>
      </c>
      <c r="E116" s="8">
        <v>18</v>
      </c>
      <c r="F116">
        <v>65</v>
      </c>
      <c r="G116">
        <v>18</v>
      </c>
      <c r="H116">
        <v>2100</v>
      </c>
      <c r="I116">
        <v>2250</v>
      </c>
      <c r="J116" s="9">
        <v>2.75</v>
      </c>
      <c r="K116" s="9">
        <v>3.7</v>
      </c>
      <c r="L116" s="9">
        <v>4.2</v>
      </c>
      <c r="M116" s="9">
        <v>2</v>
      </c>
      <c r="N116" t="str">
        <f t="shared" si="31"/>
        <v>NCR18650E</v>
      </c>
      <c r="Q116" s="14">
        <f t="shared" si="25"/>
        <v>25</v>
      </c>
      <c r="R116" s="9">
        <f t="shared" si="32"/>
        <v>194.25</v>
      </c>
      <c r="S116" s="14" t="str">
        <f t="shared" si="33"/>
        <v>FIT</v>
      </c>
      <c r="T116" s="14">
        <f t="shared" si="21"/>
        <v>3</v>
      </c>
      <c r="U116" s="14">
        <f t="shared" si="26"/>
        <v>8</v>
      </c>
      <c r="V116" s="14">
        <f t="shared" si="27"/>
        <v>24</v>
      </c>
      <c r="W116" s="9">
        <f t="shared" si="34"/>
        <v>186.48</v>
      </c>
      <c r="X116" s="9">
        <f t="shared" si="28"/>
        <v>18</v>
      </c>
      <c r="Y116" s="9">
        <f t="shared" si="29"/>
        <v>36</v>
      </c>
      <c r="Z116" s="9">
        <f t="shared" si="35"/>
        <v>11.100000000000001</v>
      </c>
      <c r="AA116" s="1" t="str">
        <f t="shared" si="36"/>
        <v>Panasonic NCR18650E Cylindrical cells in a 3s8p arrangement for a total of 16.8 Ah at 11.1 V nominal</v>
      </c>
      <c r="AB116" s="14">
        <f t="shared" si="30"/>
        <v>84</v>
      </c>
    </row>
    <row r="117" spans="1:28" x14ac:dyDescent="0.25">
      <c r="A117" t="s">
        <v>54</v>
      </c>
      <c r="B117" t="s">
        <v>58</v>
      </c>
      <c r="C117" t="s">
        <v>60</v>
      </c>
      <c r="E117" s="8" t="s">
        <v>72</v>
      </c>
      <c r="F117">
        <v>50</v>
      </c>
      <c r="G117">
        <v>18</v>
      </c>
      <c r="H117">
        <v>1860</v>
      </c>
      <c r="I117">
        <v>2000</v>
      </c>
      <c r="J117" s="9">
        <v>2.75</v>
      </c>
      <c r="K117" s="9">
        <v>3.7</v>
      </c>
      <c r="L117" s="9">
        <v>4.2</v>
      </c>
      <c r="M117" s="9">
        <v>2</v>
      </c>
      <c r="N117" t="str">
        <f t="shared" si="31"/>
        <v>NCR18500</v>
      </c>
      <c r="Q117" s="14">
        <f t="shared" si="25"/>
        <v>50</v>
      </c>
      <c r="R117" s="9">
        <f t="shared" si="32"/>
        <v>344.1</v>
      </c>
      <c r="S117" s="14" t="str">
        <f t="shared" si="33"/>
        <v>FIT</v>
      </c>
      <c r="T117" s="14">
        <f t="shared" si="21"/>
        <v>3</v>
      </c>
      <c r="U117" s="14">
        <f t="shared" si="26"/>
        <v>16</v>
      </c>
      <c r="V117" s="14">
        <f t="shared" si="27"/>
        <v>48</v>
      </c>
      <c r="W117" s="9">
        <f t="shared" si="34"/>
        <v>330.33600000000001</v>
      </c>
      <c r="X117" s="9">
        <f t="shared" si="28"/>
        <v>32</v>
      </c>
      <c r="Y117" s="9">
        <f t="shared" si="29"/>
        <v>64</v>
      </c>
      <c r="Z117" s="9">
        <f t="shared" si="35"/>
        <v>11.100000000000001</v>
      </c>
      <c r="AA117" s="1" t="str">
        <f t="shared" si="36"/>
        <v>Panasonic NCR18500 Cylindrical cells in a 3s16p arrangement for a total of 29.76 Ah at 11.1 V nominal</v>
      </c>
      <c r="AB117" s="14">
        <f t="shared" si="30"/>
        <v>8</v>
      </c>
    </row>
    <row r="118" spans="1:28" x14ac:dyDescent="0.25">
      <c r="A118" t="s">
        <v>54</v>
      </c>
      <c r="B118" t="s">
        <v>58</v>
      </c>
      <c r="C118" t="s">
        <v>60</v>
      </c>
      <c r="E118" s="8" t="s">
        <v>73</v>
      </c>
      <c r="F118">
        <v>40</v>
      </c>
      <c r="G118">
        <v>14</v>
      </c>
      <c r="H118">
        <v>700</v>
      </c>
      <c r="I118">
        <v>750</v>
      </c>
      <c r="J118" s="9">
        <v>2.75</v>
      </c>
      <c r="K118" s="9">
        <v>3.7</v>
      </c>
      <c r="L118" s="9">
        <v>4.2</v>
      </c>
      <c r="M118" s="9">
        <v>2</v>
      </c>
      <c r="N118" t="str">
        <f t="shared" si="31"/>
        <v>NCR14400</v>
      </c>
      <c r="Q118" s="14">
        <f t="shared" si="25"/>
        <v>98</v>
      </c>
      <c r="R118" s="9">
        <f t="shared" si="32"/>
        <v>253.82</v>
      </c>
      <c r="S118" s="14" t="str">
        <f t="shared" si="33"/>
        <v>FIT</v>
      </c>
      <c r="T118" s="14">
        <f t="shared" si="21"/>
        <v>3</v>
      </c>
      <c r="U118" s="14">
        <f t="shared" si="26"/>
        <v>32</v>
      </c>
      <c r="V118" s="14">
        <f t="shared" si="27"/>
        <v>96</v>
      </c>
      <c r="W118" s="9">
        <f t="shared" si="34"/>
        <v>248.64</v>
      </c>
      <c r="X118" s="9">
        <f t="shared" si="28"/>
        <v>24</v>
      </c>
      <c r="Y118" s="9">
        <f t="shared" si="29"/>
        <v>48</v>
      </c>
      <c r="Z118" s="9">
        <f t="shared" si="35"/>
        <v>11.100000000000001</v>
      </c>
      <c r="AA118" s="1" t="str">
        <f t="shared" si="36"/>
        <v>Panasonic NCR14400 Cylindrical cells in a 3s32p arrangement for a total of 22.4 Ah at 11.1 V nominal</v>
      </c>
      <c r="AB118" s="14">
        <f t="shared" si="30"/>
        <v>39</v>
      </c>
    </row>
    <row r="119" spans="1:28" x14ac:dyDescent="0.25">
      <c r="A119" t="s">
        <v>54</v>
      </c>
      <c r="B119" t="s">
        <v>58</v>
      </c>
      <c r="C119" t="s">
        <v>59</v>
      </c>
      <c r="D119" t="s">
        <v>74</v>
      </c>
      <c r="E119" s="8" t="s">
        <v>76</v>
      </c>
      <c r="F119">
        <v>65</v>
      </c>
      <c r="G119">
        <v>16</v>
      </c>
      <c r="H119">
        <v>2100</v>
      </c>
      <c r="I119">
        <v>2200</v>
      </c>
      <c r="J119" s="9">
        <v>3</v>
      </c>
      <c r="K119" s="9">
        <v>3.7</v>
      </c>
      <c r="L119" s="9">
        <v>4.3</v>
      </c>
      <c r="M119" s="9">
        <v>2</v>
      </c>
      <c r="N119" t="str">
        <f t="shared" si="31"/>
        <v>UR16650ZT</v>
      </c>
      <c r="Q119" s="14">
        <f t="shared" si="25"/>
        <v>36</v>
      </c>
      <c r="R119" s="9">
        <f t="shared" si="32"/>
        <v>279.72000000000003</v>
      </c>
      <c r="S119" s="14" t="str">
        <f t="shared" si="33"/>
        <v>FIT</v>
      </c>
      <c r="T119" s="14">
        <f t="shared" si="21"/>
        <v>3</v>
      </c>
      <c r="U119" s="14">
        <f t="shared" si="26"/>
        <v>12</v>
      </c>
      <c r="V119" s="14">
        <f t="shared" si="27"/>
        <v>36</v>
      </c>
      <c r="W119" s="9">
        <f t="shared" si="34"/>
        <v>279.72000000000003</v>
      </c>
      <c r="X119" s="9">
        <f t="shared" si="28"/>
        <v>26.4</v>
      </c>
      <c r="Y119" s="9">
        <f t="shared" si="29"/>
        <v>52.8</v>
      </c>
      <c r="Z119" s="9">
        <f t="shared" si="35"/>
        <v>11.100000000000001</v>
      </c>
      <c r="AA119" s="1" t="str">
        <f t="shared" si="36"/>
        <v>Panasonic UR16650ZT Cylindrical cells in a 3s12p arrangement for a total of 25.2 Ah at 11.1 V nominal</v>
      </c>
      <c r="AB119" s="14">
        <f t="shared" si="30"/>
        <v>20</v>
      </c>
    </row>
    <row r="120" spans="1:28" x14ac:dyDescent="0.25">
      <c r="A120" t="s">
        <v>54</v>
      </c>
      <c r="B120" t="s">
        <v>58</v>
      </c>
      <c r="C120" t="s">
        <v>59</v>
      </c>
      <c r="D120" t="s">
        <v>75</v>
      </c>
      <c r="E120" s="8" t="s">
        <v>76</v>
      </c>
      <c r="F120">
        <v>65</v>
      </c>
      <c r="G120">
        <v>16</v>
      </c>
      <c r="H120">
        <v>2330</v>
      </c>
      <c r="I120">
        <v>2500</v>
      </c>
      <c r="J120" s="9">
        <v>3</v>
      </c>
      <c r="K120" s="9">
        <v>3.7</v>
      </c>
      <c r="L120" s="9">
        <v>4.3499999999999996</v>
      </c>
      <c r="M120" s="9">
        <v>2</v>
      </c>
      <c r="N120" t="str">
        <f t="shared" si="31"/>
        <v>UR16650ZTA</v>
      </c>
      <c r="Q120" s="14">
        <f t="shared" si="25"/>
        <v>36</v>
      </c>
      <c r="R120" s="9">
        <f t="shared" si="32"/>
        <v>310.35599999999999</v>
      </c>
      <c r="S120" s="14" t="str">
        <f t="shared" si="33"/>
        <v>FIT</v>
      </c>
      <c r="T120" s="14">
        <f t="shared" si="21"/>
        <v>3</v>
      </c>
      <c r="U120" s="14">
        <f t="shared" si="26"/>
        <v>12</v>
      </c>
      <c r="V120" s="14">
        <f t="shared" si="27"/>
        <v>36</v>
      </c>
      <c r="W120" s="9">
        <f t="shared" si="34"/>
        <v>310.35599999999999</v>
      </c>
      <c r="X120" s="9">
        <f t="shared" si="28"/>
        <v>30</v>
      </c>
      <c r="Y120" s="9">
        <f t="shared" si="29"/>
        <v>60</v>
      </c>
      <c r="Z120" s="9">
        <f t="shared" si="35"/>
        <v>11.100000000000001</v>
      </c>
      <c r="AA120" s="1" t="str">
        <f t="shared" si="36"/>
        <v>Panasonic UR16650ZTA Cylindrical cells in a 3s12p arrangement for a total of 27.96 Ah at 11.1 V nominal</v>
      </c>
      <c r="AB120" s="14">
        <f t="shared" si="30"/>
        <v>11</v>
      </c>
    </row>
    <row r="121" spans="1:28" x14ac:dyDescent="0.25">
      <c r="A121" t="s">
        <v>54</v>
      </c>
      <c r="B121" t="s">
        <v>58</v>
      </c>
      <c r="C121" t="s">
        <v>59</v>
      </c>
      <c r="D121" t="s">
        <v>74</v>
      </c>
      <c r="E121" s="8" t="s">
        <v>72</v>
      </c>
      <c r="F121">
        <v>65</v>
      </c>
      <c r="G121">
        <v>18</v>
      </c>
      <c r="H121">
        <v>2650</v>
      </c>
      <c r="I121">
        <v>2800</v>
      </c>
      <c r="J121" s="9">
        <v>3</v>
      </c>
      <c r="K121" s="9">
        <v>3.7</v>
      </c>
      <c r="L121" s="9">
        <v>4.3</v>
      </c>
      <c r="M121" s="9">
        <v>2</v>
      </c>
      <c r="N121" t="str">
        <f t="shared" si="31"/>
        <v>UR18650ZT</v>
      </c>
      <c r="Q121" s="14">
        <f t="shared" si="25"/>
        <v>25</v>
      </c>
      <c r="R121" s="9">
        <f t="shared" si="32"/>
        <v>245.125</v>
      </c>
      <c r="S121" s="14" t="str">
        <f t="shared" si="33"/>
        <v>FIT</v>
      </c>
      <c r="T121" s="14">
        <f t="shared" si="21"/>
        <v>3</v>
      </c>
      <c r="U121" s="14">
        <f t="shared" si="26"/>
        <v>8</v>
      </c>
      <c r="V121" s="14">
        <f t="shared" si="27"/>
        <v>24</v>
      </c>
      <c r="W121" s="9">
        <f t="shared" si="34"/>
        <v>235.32</v>
      </c>
      <c r="X121" s="9">
        <f t="shared" si="28"/>
        <v>22.4</v>
      </c>
      <c r="Y121" s="9">
        <f t="shared" si="29"/>
        <v>44.8</v>
      </c>
      <c r="Z121" s="9">
        <f t="shared" si="35"/>
        <v>11.100000000000001</v>
      </c>
      <c r="AA121" s="1" t="str">
        <f t="shared" si="36"/>
        <v>Panasonic UR18650ZT Cylindrical cells in a 3s8p arrangement for a total of 21.2 Ah at 11.1 V nominal</v>
      </c>
      <c r="AB121" s="14">
        <f t="shared" si="30"/>
        <v>49</v>
      </c>
    </row>
    <row r="122" spans="1:28" x14ac:dyDescent="0.25">
      <c r="A122" t="s">
        <v>54</v>
      </c>
      <c r="B122" t="s">
        <v>58</v>
      </c>
      <c r="C122" t="s">
        <v>59</v>
      </c>
      <c r="D122" t="s">
        <v>75</v>
      </c>
      <c r="E122" s="8" t="s">
        <v>72</v>
      </c>
      <c r="F122">
        <v>65</v>
      </c>
      <c r="G122">
        <v>18</v>
      </c>
      <c r="H122">
        <v>2850</v>
      </c>
      <c r="I122">
        <v>3000</v>
      </c>
      <c r="J122" s="9">
        <v>3</v>
      </c>
      <c r="K122" s="9">
        <v>3.7</v>
      </c>
      <c r="L122" s="9">
        <v>4.3499999999999996</v>
      </c>
      <c r="M122" s="9">
        <v>2</v>
      </c>
      <c r="N122" t="str">
        <f t="shared" si="31"/>
        <v>UR18650ZTA</v>
      </c>
      <c r="Q122" s="14">
        <f t="shared" si="25"/>
        <v>25</v>
      </c>
      <c r="R122" s="9">
        <f t="shared" si="32"/>
        <v>263.625</v>
      </c>
      <c r="S122" s="14" t="str">
        <f t="shared" si="33"/>
        <v>FIT</v>
      </c>
      <c r="T122" s="14">
        <f t="shared" si="21"/>
        <v>3</v>
      </c>
      <c r="U122" s="14">
        <f t="shared" si="26"/>
        <v>8</v>
      </c>
      <c r="V122" s="14">
        <f t="shared" si="27"/>
        <v>24</v>
      </c>
      <c r="W122" s="9">
        <f t="shared" si="34"/>
        <v>253.08</v>
      </c>
      <c r="X122" s="9">
        <f t="shared" si="28"/>
        <v>24</v>
      </c>
      <c r="Y122" s="9">
        <f t="shared" si="29"/>
        <v>48</v>
      </c>
      <c r="Z122" s="9">
        <f t="shared" si="35"/>
        <v>11.100000000000001</v>
      </c>
      <c r="AA122" s="1" t="str">
        <f t="shared" si="36"/>
        <v>Panasonic UR18650ZTA Cylindrical cells in a 3s8p arrangement for a total of 22.8 Ah at 11.1 V nominal</v>
      </c>
      <c r="AB122" s="14">
        <f t="shared" si="30"/>
        <v>38</v>
      </c>
    </row>
    <row r="123" spans="1:28" x14ac:dyDescent="0.25">
      <c r="A123" t="s">
        <v>54</v>
      </c>
      <c r="B123" t="s">
        <v>58</v>
      </c>
      <c r="C123" t="s">
        <v>59</v>
      </c>
      <c r="D123" t="s">
        <v>77</v>
      </c>
      <c r="E123" s="8" t="s">
        <v>72</v>
      </c>
      <c r="F123">
        <v>65</v>
      </c>
      <c r="G123">
        <v>18</v>
      </c>
      <c r="H123">
        <v>1100</v>
      </c>
      <c r="I123">
        <v>1200</v>
      </c>
      <c r="J123" s="9">
        <v>3</v>
      </c>
      <c r="K123" s="9">
        <v>3.7</v>
      </c>
      <c r="L123" s="9">
        <v>4.3499999999999996</v>
      </c>
      <c r="M123" s="9">
        <v>2</v>
      </c>
      <c r="N123" t="str">
        <f t="shared" ref="N123:N130" si="37">C123&amp;E123&amp;(F123*10)&amp;D123</f>
        <v>UR18650S</v>
      </c>
      <c r="Q123" s="14">
        <f t="shared" si="25"/>
        <v>25</v>
      </c>
      <c r="R123" s="9">
        <f t="shared" si="32"/>
        <v>101.75</v>
      </c>
      <c r="S123" s="14" t="str">
        <f t="shared" si="33"/>
        <v>FIT</v>
      </c>
      <c r="T123" s="14">
        <f t="shared" si="21"/>
        <v>3</v>
      </c>
      <c r="U123" s="14">
        <f t="shared" si="26"/>
        <v>8</v>
      </c>
      <c r="V123" s="14">
        <f t="shared" si="27"/>
        <v>24</v>
      </c>
      <c r="W123" s="9">
        <f t="shared" si="34"/>
        <v>97.68</v>
      </c>
      <c r="X123" s="9">
        <f t="shared" si="28"/>
        <v>9.6</v>
      </c>
      <c r="Y123" s="9">
        <f t="shared" si="29"/>
        <v>19.2</v>
      </c>
      <c r="Z123" s="9">
        <f t="shared" si="35"/>
        <v>11.100000000000001</v>
      </c>
      <c r="AA123" s="1" t="str">
        <f t="shared" si="36"/>
        <v>Panasonic UR18650S Cylindrical cells in a 3s8p arrangement for a total of 8.8 Ah at 11.1 V nominal</v>
      </c>
      <c r="AB123" s="14">
        <f t="shared" si="30"/>
        <v>109</v>
      </c>
    </row>
    <row r="124" spans="1:28" x14ac:dyDescent="0.25">
      <c r="A124" t="s">
        <v>54</v>
      </c>
      <c r="B124" t="s">
        <v>58</v>
      </c>
      <c r="C124" t="s">
        <v>59</v>
      </c>
      <c r="D124" t="s">
        <v>78</v>
      </c>
      <c r="E124" s="8" t="s">
        <v>72</v>
      </c>
      <c r="F124">
        <v>65</v>
      </c>
      <c r="G124">
        <v>18</v>
      </c>
      <c r="H124">
        <v>1250</v>
      </c>
      <c r="I124">
        <v>1300</v>
      </c>
      <c r="J124" s="9">
        <v>3</v>
      </c>
      <c r="K124" s="9">
        <v>3.7</v>
      </c>
      <c r="L124" s="9">
        <v>4.3499999999999996</v>
      </c>
      <c r="M124" s="9">
        <v>2</v>
      </c>
      <c r="N124" t="str">
        <f t="shared" si="37"/>
        <v>UR18650SA</v>
      </c>
      <c r="Q124" s="14">
        <f t="shared" si="25"/>
        <v>25</v>
      </c>
      <c r="R124" s="9">
        <f t="shared" si="32"/>
        <v>115.625</v>
      </c>
      <c r="S124" s="14" t="str">
        <f t="shared" si="33"/>
        <v>FIT</v>
      </c>
      <c r="T124" s="14">
        <f t="shared" si="21"/>
        <v>3</v>
      </c>
      <c r="U124" s="14">
        <f t="shared" si="26"/>
        <v>8</v>
      </c>
      <c r="V124" s="14">
        <f t="shared" si="27"/>
        <v>24</v>
      </c>
      <c r="W124" s="9">
        <f t="shared" si="34"/>
        <v>111</v>
      </c>
      <c r="X124" s="9">
        <f t="shared" si="28"/>
        <v>10.4</v>
      </c>
      <c r="Y124" s="9">
        <f t="shared" si="29"/>
        <v>20.8</v>
      </c>
      <c r="Z124" s="9">
        <f t="shared" si="35"/>
        <v>11.100000000000001</v>
      </c>
      <c r="AA124" s="1" t="str">
        <f t="shared" si="36"/>
        <v>Panasonic UR18650SA Cylindrical cells in a 3s8p arrangement for a total of 10 Ah at 11.1 V nominal</v>
      </c>
      <c r="AB124" s="14">
        <f t="shared" si="30"/>
        <v>105</v>
      </c>
    </row>
    <row r="125" spans="1:28" x14ac:dyDescent="0.25">
      <c r="A125" t="s">
        <v>54</v>
      </c>
      <c r="B125" t="s">
        <v>58</v>
      </c>
      <c r="C125" t="s">
        <v>59</v>
      </c>
      <c r="D125" t="s">
        <v>79</v>
      </c>
      <c r="E125" s="8" t="s">
        <v>72</v>
      </c>
      <c r="F125">
        <v>65</v>
      </c>
      <c r="G125">
        <v>18</v>
      </c>
      <c r="H125">
        <v>1250</v>
      </c>
      <c r="I125">
        <v>1350</v>
      </c>
      <c r="J125" s="9">
        <v>3</v>
      </c>
      <c r="K125" s="9">
        <v>3.7</v>
      </c>
      <c r="L125" s="9">
        <v>4.3499999999999996</v>
      </c>
      <c r="M125" s="9">
        <v>2</v>
      </c>
      <c r="N125" t="str">
        <f t="shared" si="37"/>
        <v>UR18650AX</v>
      </c>
      <c r="Q125" s="14">
        <f t="shared" si="25"/>
        <v>25</v>
      </c>
      <c r="R125" s="9">
        <f t="shared" si="32"/>
        <v>115.625</v>
      </c>
      <c r="S125" s="14" t="str">
        <f t="shared" si="33"/>
        <v>FIT</v>
      </c>
      <c r="T125" s="14">
        <f t="shared" si="21"/>
        <v>3</v>
      </c>
      <c r="U125" s="14">
        <f t="shared" si="26"/>
        <v>8</v>
      </c>
      <c r="V125" s="14">
        <f t="shared" si="27"/>
        <v>24</v>
      </c>
      <c r="W125" s="9">
        <f t="shared" si="34"/>
        <v>111</v>
      </c>
      <c r="X125" s="9">
        <f t="shared" si="28"/>
        <v>10.8</v>
      </c>
      <c r="Y125" s="9">
        <f t="shared" si="29"/>
        <v>21.6</v>
      </c>
      <c r="Z125" s="9">
        <f t="shared" si="35"/>
        <v>11.100000000000001</v>
      </c>
      <c r="AA125" s="1" t="str">
        <f t="shared" si="36"/>
        <v>Panasonic UR18650AX Cylindrical cells in a 3s8p arrangement for a total of 10 Ah at 11.1 V nominal</v>
      </c>
      <c r="AB125" s="14">
        <f t="shared" si="30"/>
        <v>105</v>
      </c>
    </row>
    <row r="126" spans="1:28" x14ac:dyDescent="0.25">
      <c r="A126" t="s">
        <v>54</v>
      </c>
      <c r="B126" t="s">
        <v>58</v>
      </c>
      <c r="C126" t="s">
        <v>59</v>
      </c>
      <c r="D126" t="s">
        <v>80</v>
      </c>
      <c r="E126" s="8" t="s">
        <v>72</v>
      </c>
      <c r="F126">
        <v>65</v>
      </c>
      <c r="G126">
        <v>18</v>
      </c>
      <c r="H126">
        <v>1500</v>
      </c>
      <c r="I126">
        <v>1600</v>
      </c>
      <c r="J126" s="9">
        <v>3</v>
      </c>
      <c r="K126" s="9">
        <v>3.7</v>
      </c>
      <c r="L126" s="9">
        <v>4.3499999999999996</v>
      </c>
      <c r="M126" s="9">
        <v>2</v>
      </c>
      <c r="N126" t="str">
        <f t="shared" si="37"/>
        <v>UR18650W</v>
      </c>
      <c r="Q126" s="14">
        <f t="shared" si="25"/>
        <v>25</v>
      </c>
      <c r="R126" s="9">
        <f t="shared" si="32"/>
        <v>138.75</v>
      </c>
      <c r="S126" s="14" t="str">
        <f t="shared" si="33"/>
        <v>FIT</v>
      </c>
      <c r="T126" s="14">
        <f t="shared" si="21"/>
        <v>3</v>
      </c>
      <c r="U126" s="14">
        <f t="shared" si="26"/>
        <v>8</v>
      </c>
      <c r="V126" s="14">
        <f t="shared" si="27"/>
        <v>24</v>
      </c>
      <c r="W126" s="9">
        <f t="shared" si="34"/>
        <v>133.19999999999999</v>
      </c>
      <c r="X126" s="9">
        <f t="shared" si="28"/>
        <v>12.8</v>
      </c>
      <c r="Y126" s="9">
        <f t="shared" si="29"/>
        <v>25.6</v>
      </c>
      <c r="Z126" s="9">
        <f t="shared" si="35"/>
        <v>11.100000000000001</v>
      </c>
      <c r="AA126" s="1" t="str">
        <f t="shared" si="36"/>
        <v>Panasonic UR18650W Cylindrical cells in a 3s8p arrangement for a total of 12 Ah at 11.1 V nominal</v>
      </c>
      <c r="AB126" s="14">
        <f t="shared" si="30"/>
        <v>100</v>
      </c>
    </row>
    <row r="127" spans="1:28" x14ac:dyDescent="0.25">
      <c r="A127" t="s">
        <v>54</v>
      </c>
      <c r="B127" t="s">
        <v>58</v>
      </c>
      <c r="C127" t="s">
        <v>59</v>
      </c>
      <c r="D127" t="s">
        <v>81</v>
      </c>
      <c r="E127" s="8" t="s">
        <v>72</v>
      </c>
      <c r="F127">
        <v>65</v>
      </c>
      <c r="G127">
        <v>18</v>
      </c>
      <c r="H127">
        <v>1500</v>
      </c>
      <c r="I127">
        <v>1600</v>
      </c>
      <c r="J127" s="9">
        <v>3</v>
      </c>
      <c r="K127" s="9">
        <v>3.7</v>
      </c>
      <c r="L127" s="9">
        <v>4.3499999999999996</v>
      </c>
      <c r="M127" s="9">
        <v>2</v>
      </c>
      <c r="N127" t="str">
        <f t="shared" si="37"/>
        <v>UR18650WX</v>
      </c>
      <c r="Q127" s="14">
        <f t="shared" si="25"/>
        <v>25</v>
      </c>
      <c r="R127" s="9">
        <f t="shared" si="32"/>
        <v>138.75</v>
      </c>
      <c r="S127" s="14" t="str">
        <f t="shared" si="33"/>
        <v>FIT</v>
      </c>
      <c r="T127" s="14">
        <f t="shared" si="21"/>
        <v>3</v>
      </c>
      <c r="U127" s="14">
        <f t="shared" si="26"/>
        <v>8</v>
      </c>
      <c r="V127" s="14">
        <f t="shared" si="27"/>
        <v>24</v>
      </c>
      <c r="W127" s="9">
        <f t="shared" si="34"/>
        <v>133.19999999999999</v>
      </c>
      <c r="X127" s="9">
        <f t="shared" si="28"/>
        <v>12.8</v>
      </c>
      <c r="Y127" s="9">
        <f t="shared" si="29"/>
        <v>25.6</v>
      </c>
      <c r="Z127" s="9">
        <f t="shared" si="35"/>
        <v>11.100000000000001</v>
      </c>
      <c r="AA127" s="1" t="str">
        <f t="shared" si="36"/>
        <v>Panasonic UR18650WX Cylindrical cells in a 3s8p arrangement for a total of 12 Ah at 11.1 V nominal</v>
      </c>
      <c r="AB127" s="14">
        <f t="shared" si="30"/>
        <v>100</v>
      </c>
    </row>
    <row r="128" spans="1:28" x14ac:dyDescent="0.25">
      <c r="A128" t="s">
        <v>54</v>
      </c>
      <c r="B128" t="s">
        <v>58</v>
      </c>
      <c r="C128" t="s">
        <v>59</v>
      </c>
      <c r="D128" t="s">
        <v>82</v>
      </c>
      <c r="E128" s="8" t="s">
        <v>72</v>
      </c>
      <c r="F128">
        <v>65</v>
      </c>
      <c r="G128">
        <v>18</v>
      </c>
      <c r="H128">
        <v>2000</v>
      </c>
      <c r="I128">
        <v>2100</v>
      </c>
      <c r="J128" s="9">
        <v>3</v>
      </c>
      <c r="K128" s="9">
        <v>3.7</v>
      </c>
      <c r="L128" s="9">
        <v>4.3499999999999996</v>
      </c>
      <c r="M128" s="9">
        <v>2</v>
      </c>
      <c r="N128" t="str">
        <f t="shared" si="37"/>
        <v>UR18650R</v>
      </c>
      <c r="Q128" s="14">
        <f t="shared" si="25"/>
        <v>25</v>
      </c>
      <c r="R128" s="9">
        <f t="shared" si="32"/>
        <v>185</v>
      </c>
      <c r="S128" s="14" t="str">
        <f t="shared" si="33"/>
        <v>FIT</v>
      </c>
      <c r="T128" s="14">
        <f t="shared" si="21"/>
        <v>3</v>
      </c>
      <c r="U128" s="14">
        <f t="shared" si="26"/>
        <v>8</v>
      </c>
      <c r="V128" s="14">
        <f t="shared" si="27"/>
        <v>24</v>
      </c>
      <c r="W128" s="9">
        <f t="shared" si="34"/>
        <v>177.6</v>
      </c>
      <c r="X128" s="9">
        <f t="shared" si="28"/>
        <v>16.8</v>
      </c>
      <c r="Y128" s="9">
        <f t="shared" si="29"/>
        <v>33.6</v>
      </c>
      <c r="Z128" s="9">
        <f t="shared" si="35"/>
        <v>11.100000000000001</v>
      </c>
      <c r="AA128" s="1" t="str">
        <f t="shared" si="36"/>
        <v>Panasonic UR18650R Cylindrical cells in a 3s8p arrangement for a total of 16 Ah at 11.1 V nominal</v>
      </c>
      <c r="AB128" s="14">
        <f t="shared" si="30"/>
        <v>88</v>
      </c>
    </row>
    <row r="129" spans="1:28" x14ac:dyDescent="0.25">
      <c r="A129" t="s">
        <v>54</v>
      </c>
      <c r="B129" t="s">
        <v>58</v>
      </c>
      <c r="C129" t="s">
        <v>59</v>
      </c>
      <c r="D129" t="s">
        <v>83</v>
      </c>
      <c r="E129" s="8" t="s">
        <v>72</v>
      </c>
      <c r="F129">
        <v>65</v>
      </c>
      <c r="G129">
        <v>18</v>
      </c>
      <c r="H129">
        <v>1950</v>
      </c>
      <c r="I129">
        <v>2050</v>
      </c>
      <c r="J129" s="9">
        <v>3</v>
      </c>
      <c r="K129" s="9">
        <v>3.7</v>
      </c>
      <c r="L129" s="9">
        <v>4.3499999999999996</v>
      </c>
      <c r="M129" s="9">
        <v>2</v>
      </c>
      <c r="N129" t="str">
        <f t="shared" si="37"/>
        <v>UR18650RX</v>
      </c>
      <c r="Q129" s="14">
        <f t="shared" si="25"/>
        <v>25</v>
      </c>
      <c r="R129" s="9">
        <f t="shared" si="32"/>
        <v>180.375</v>
      </c>
      <c r="S129" s="14" t="str">
        <f t="shared" si="33"/>
        <v>FIT</v>
      </c>
      <c r="T129" s="14">
        <f t="shared" si="21"/>
        <v>3</v>
      </c>
      <c r="U129" s="14">
        <f t="shared" si="26"/>
        <v>8</v>
      </c>
      <c r="V129" s="14">
        <f t="shared" si="27"/>
        <v>24</v>
      </c>
      <c r="W129" s="9">
        <f t="shared" si="34"/>
        <v>173.16</v>
      </c>
      <c r="X129" s="9">
        <f t="shared" si="28"/>
        <v>16.399999999999999</v>
      </c>
      <c r="Y129" s="9">
        <f t="shared" si="29"/>
        <v>32.799999999999997</v>
      </c>
      <c r="Z129" s="9">
        <f t="shared" si="35"/>
        <v>11.100000000000001</v>
      </c>
      <c r="AA129" s="1" t="str">
        <f t="shared" si="36"/>
        <v>Panasonic UR18650RX Cylindrical cells in a 3s8p arrangement for a total of 15.6 Ah at 11.1 V nominal</v>
      </c>
      <c r="AB129" s="14">
        <f t="shared" si="30"/>
        <v>93</v>
      </c>
    </row>
    <row r="130" spans="1:28" x14ac:dyDescent="0.25">
      <c r="A130" t="s">
        <v>54</v>
      </c>
      <c r="B130" t="s">
        <v>58</v>
      </c>
      <c r="C130" t="s">
        <v>59</v>
      </c>
      <c r="D130" t="s">
        <v>84</v>
      </c>
      <c r="E130" s="8" t="s">
        <v>72</v>
      </c>
      <c r="F130">
        <v>65</v>
      </c>
      <c r="G130">
        <v>18</v>
      </c>
      <c r="H130">
        <v>1100</v>
      </c>
      <c r="I130">
        <v>1200</v>
      </c>
      <c r="J130" s="9">
        <v>3</v>
      </c>
      <c r="K130" s="9">
        <v>3.7</v>
      </c>
      <c r="L130" s="9">
        <v>4.3499999999999996</v>
      </c>
      <c r="M130" s="9">
        <v>2</v>
      </c>
      <c r="N130" t="str">
        <f t="shared" si="37"/>
        <v>UR18650U</v>
      </c>
      <c r="Q130" s="14">
        <f t="shared" si="25"/>
        <v>25</v>
      </c>
      <c r="R130" s="9">
        <f t="shared" si="32"/>
        <v>101.75</v>
      </c>
      <c r="S130" s="14" t="str">
        <f t="shared" si="33"/>
        <v>FIT</v>
      </c>
      <c r="T130" s="14">
        <f t="shared" si="21"/>
        <v>3</v>
      </c>
      <c r="U130" s="14">
        <f t="shared" si="26"/>
        <v>8</v>
      </c>
      <c r="V130" s="14">
        <f t="shared" si="27"/>
        <v>24</v>
      </c>
      <c r="W130" s="9">
        <f t="shared" si="34"/>
        <v>97.68</v>
      </c>
      <c r="X130" s="9">
        <f t="shared" si="28"/>
        <v>9.6</v>
      </c>
      <c r="Y130" s="9">
        <f t="shared" si="29"/>
        <v>19.2</v>
      </c>
      <c r="Z130" s="9">
        <f t="shared" si="35"/>
        <v>11.100000000000001</v>
      </c>
      <c r="AA130" s="1" t="str">
        <f t="shared" ref="AA130:AA131" si="38">IF(AND(V130&gt;0,NOT(W130="")),A130&amp;" "&amp;N130&amp;" "&amp;B130&amp;" cells in a "&amp;T130&amp;"s"&amp;U130&amp;"p arrangement for a total of "&amp;U130*H130/1000&amp;" Ah at "&amp;T130*K130&amp;" V nominal","")</f>
        <v>Panasonic UR18650U Cylindrical cells in a 3s8p arrangement for a total of 8.8 Ah at 11.1 V nominal</v>
      </c>
      <c r="AB130" s="14">
        <f t="shared" si="30"/>
        <v>109</v>
      </c>
    </row>
    <row r="131" spans="1:28" x14ac:dyDescent="0.25">
      <c r="A131" t="s">
        <v>115</v>
      </c>
      <c r="B131" t="s">
        <v>29</v>
      </c>
      <c r="C131" t="s">
        <v>116</v>
      </c>
      <c r="D131">
        <v>5300</v>
      </c>
      <c r="E131" s="2">
        <v>19.2</v>
      </c>
      <c r="F131">
        <v>65.2</v>
      </c>
      <c r="G131">
        <v>37.1</v>
      </c>
      <c r="H131">
        <v>5300</v>
      </c>
      <c r="I131">
        <v>5300</v>
      </c>
      <c r="J131" s="9">
        <v>3</v>
      </c>
      <c r="K131" s="9">
        <v>3.7</v>
      </c>
      <c r="L131" s="9">
        <v>4.2</v>
      </c>
      <c r="M131" s="9">
        <v>2.4527999999999999</v>
      </c>
      <c r="N131" t="s">
        <v>118</v>
      </c>
      <c r="Q131" s="14">
        <f t="shared" si="25"/>
        <v>10</v>
      </c>
      <c r="R131" s="9">
        <f t="shared" ref="R131:R132" si="39">IF(AND(Q131&gt;0,((K131*H131*Q131)/1000)&gt;=$B$6),(K131*H131*Q131)/1000,"")</f>
        <v>196.1</v>
      </c>
      <c r="S131" s="14" t="str">
        <f t="shared" ref="S131:S132" si="40">IF(Q131=0,"TOO BIG",IF((K131*H131*Q131)/1000&lt;$B$6,"ENERGY TOO LOW","FIT"))</f>
        <v>FIT</v>
      </c>
      <c r="T131" s="14">
        <f>IF(AND(Q131&lt;(IF(FLOOR($B$8/K131,1)*L131&gt;=$B$7,FLOOR($B$8/L131,1),FLOOR($B$8/K131,1))),Q131&gt;0),IF(Q131*K131&gt;=$B$7,Q131,0),(IF(FLOOR($B$8/K131,1)*L131&gt;=$B$7,FLOOR($B$8/L131,1),FLOOR($B$8/K131,1))))</f>
        <v>3</v>
      </c>
      <c r="U131" s="14">
        <f t="shared" ref="U131:U132" si="41">IF(T131&gt;0,FLOOR(Q131/T131,1),0)</f>
        <v>3</v>
      </c>
      <c r="V131" s="14">
        <f t="shared" si="27"/>
        <v>9</v>
      </c>
      <c r="W131" s="9">
        <f t="shared" ref="W131:W132" si="42">IF(AND(V131&gt;0,((K131*H131*V131)/1000)&gt;=$B$6),(K131*H131*V131)/1000,"")</f>
        <v>176.49</v>
      </c>
      <c r="X131" s="9">
        <f t="shared" si="28"/>
        <v>15.9</v>
      </c>
      <c r="Y131" s="9">
        <f t="shared" si="29"/>
        <v>38.999519999999997</v>
      </c>
      <c r="Z131" s="9">
        <f t="shared" ref="Z131:Z132" si="43">IF(W131="","",T131*K131)</f>
        <v>11.100000000000001</v>
      </c>
      <c r="AA131" s="1" t="str">
        <f t="shared" si="38"/>
        <v>Boston Power Swing 5300 Prismatic cells in a 3s3p arrangement for a total of 15.9 Ah at 11.1 V nominal</v>
      </c>
      <c r="AB131" s="14">
        <f t="shared" ref="AB131:AB132" si="44">IF(W131="","",RANK(W131,$W$13:$W$1008,0))</f>
        <v>91</v>
      </c>
    </row>
    <row r="132" spans="1:28" x14ac:dyDescent="0.25">
      <c r="A132" t="s">
        <v>115</v>
      </c>
      <c r="B132" t="s">
        <v>29</v>
      </c>
      <c r="C132" t="s">
        <v>117</v>
      </c>
      <c r="D132">
        <v>5300</v>
      </c>
      <c r="E132" s="2">
        <v>19.2</v>
      </c>
      <c r="F132">
        <v>65.2</v>
      </c>
      <c r="G132">
        <v>37.1</v>
      </c>
      <c r="H132">
        <v>5300</v>
      </c>
      <c r="I132">
        <v>5300</v>
      </c>
      <c r="J132" s="9">
        <v>3</v>
      </c>
      <c r="K132" s="9">
        <v>3.7</v>
      </c>
      <c r="L132" s="9">
        <v>4.2</v>
      </c>
      <c r="M132" s="9">
        <v>1.5</v>
      </c>
      <c r="N132" t="s">
        <v>119</v>
      </c>
      <c r="Q132" s="14">
        <f t="shared" si="25"/>
        <v>10</v>
      </c>
      <c r="R132" s="9">
        <f t="shared" si="39"/>
        <v>196.1</v>
      </c>
      <c r="S132" s="14" t="str">
        <f t="shared" si="40"/>
        <v>FIT</v>
      </c>
      <c r="T132" s="14">
        <f>IF(AND(Q132&lt;(IF(FLOOR($B$8/K132,1)*L132&gt;=$B$7,FLOOR($B$8/L132,1),FLOOR($B$8/K132,1))),Q132&gt;0),IF(Q132*K132&gt;=$B$7,Q132,0),(IF(FLOOR($B$8/K132,1)*L132&gt;=$B$7,FLOOR($B$8/L132,1),FLOOR($B$8/K132,1))))</f>
        <v>3</v>
      </c>
      <c r="U132" s="14">
        <f t="shared" si="41"/>
        <v>3</v>
      </c>
      <c r="V132" s="14">
        <f t="shared" si="27"/>
        <v>9</v>
      </c>
      <c r="W132" s="9">
        <f t="shared" si="42"/>
        <v>176.49</v>
      </c>
      <c r="X132" s="9">
        <f t="shared" si="28"/>
        <v>15.9</v>
      </c>
      <c r="Y132" s="9">
        <f t="shared" si="29"/>
        <v>23.85</v>
      </c>
      <c r="Z132" s="9">
        <f t="shared" si="43"/>
        <v>11.100000000000001</v>
      </c>
      <c r="AA132" s="1" t="str">
        <f>IF(AND(V132&gt;0,NOT(W132=""),Y132&gt;=$B$9),A132&amp;" "&amp;N132&amp;" "&amp;B132&amp;" cells in a "&amp;T132&amp;"s"&amp;U132&amp;"p arrangement for a total of "&amp;U132*H132/1000&amp;" Ah at "&amp;T132*K132&amp;" V nominal","")</f>
        <v>Boston Power Sonata 5300 Prismatic cells in a 3s3p arrangement for a total of 15.9 Ah at 11.1 V nominal</v>
      </c>
      <c r="AB132" s="14">
        <f t="shared" si="44"/>
        <v>91</v>
      </c>
    </row>
    <row r="133" spans="1:28" x14ac:dyDescent="0.25">
      <c r="J133" s="9"/>
      <c r="K133" s="9"/>
      <c r="L133" s="9"/>
      <c r="M133" s="9"/>
      <c r="R133" s="9"/>
      <c r="W133" s="9"/>
      <c r="X133" s="9"/>
      <c r="Y133" s="9"/>
      <c r="Z133" s="9"/>
    </row>
    <row r="134" spans="1:28" x14ac:dyDescent="0.25">
      <c r="J134" s="9"/>
      <c r="K134" s="9"/>
      <c r="L134" s="9"/>
      <c r="M134" s="9"/>
      <c r="R134" s="9"/>
      <c r="W134" s="9"/>
      <c r="X134" s="9"/>
      <c r="Y134" s="9"/>
      <c r="Z134" s="9"/>
    </row>
    <row r="135" spans="1:28" x14ac:dyDescent="0.25">
      <c r="J135" s="9"/>
      <c r="K135" s="9"/>
      <c r="L135" s="9"/>
      <c r="M135" s="9"/>
      <c r="R135" s="9"/>
      <c r="W135" s="9"/>
      <c r="X135" s="9"/>
      <c r="Y135" s="9"/>
      <c r="Z135" s="9"/>
    </row>
    <row r="136" spans="1:28" x14ac:dyDescent="0.25">
      <c r="J136" s="9"/>
      <c r="K136" s="9"/>
      <c r="L136" s="9"/>
      <c r="M136" s="9"/>
      <c r="R136" s="9"/>
      <c r="W136" s="9"/>
      <c r="X136" s="9"/>
      <c r="Y136" s="9"/>
      <c r="Z136" s="9"/>
    </row>
    <row r="137" spans="1:28" x14ac:dyDescent="0.25">
      <c r="J137" s="9"/>
      <c r="K137" s="9"/>
      <c r="L137" s="9"/>
      <c r="M137" s="9"/>
      <c r="R137" s="9"/>
      <c r="W137" s="9"/>
      <c r="X137" s="9"/>
      <c r="Y137" s="9"/>
      <c r="Z137" s="9"/>
    </row>
    <row r="138" spans="1:28" x14ac:dyDescent="0.25">
      <c r="J138" s="9"/>
      <c r="K138" s="9"/>
      <c r="L138" s="9"/>
      <c r="M138" s="9"/>
      <c r="R138" s="9"/>
      <c r="W138" s="9"/>
      <c r="X138" s="9"/>
      <c r="Y138" s="9"/>
      <c r="Z138" s="9"/>
    </row>
    <row r="139" spans="1:28" x14ac:dyDescent="0.25">
      <c r="J139" s="9"/>
      <c r="K139" s="9"/>
      <c r="L139" s="9"/>
      <c r="M139" s="9"/>
      <c r="R139" s="9"/>
      <c r="W139" s="9"/>
      <c r="X139" s="9"/>
      <c r="Y139" s="9"/>
      <c r="Z139" s="9"/>
    </row>
    <row r="140" spans="1:28" x14ac:dyDescent="0.25">
      <c r="J140" s="9"/>
      <c r="K140" s="9"/>
      <c r="L140" s="9"/>
      <c r="M140" s="9"/>
    </row>
    <row r="141" spans="1:28" x14ac:dyDescent="0.25">
      <c r="J141" s="9"/>
      <c r="K141" s="9"/>
      <c r="L141" s="9"/>
      <c r="M141" s="9"/>
    </row>
    <row r="142" spans="1:28" x14ac:dyDescent="0.25">
      <c r="J142" s="9"/>
      <c r="K142" s="9"/>
      <c r="L142" s="9"/>
      <c r="M142" s="9"/>
    </row>
    <row r="143" spans="1:28" x14ac:dyDescent="0.25">
      <c r="J143" s="9"/>
      <c r="K143" s="9"/>
      <c r="L143" s="9"/>
      <c r="M143" s="9"/>
    </row>
    <row r="144" spans="1:28" x14ac:dyDescent="0.25">
      <c r="J144" s="9"/>
      <c r="K144" s="9"/>
      <c r="L144" s="9"/>
      <c r="M144" s="9"/>
    </row>
    <row r="145" spans="10:13" x14ac:dyDescent="0.25">
      <c r="J145" s="9"/>
      <c r="K145" s="9"/>
      <c r="L145" s="9"/>
      <c r="M145" s="9"/>
    </row>
    <row r="146" spans="10:13" x14ac:dyDescent="0.25">
      <c r="J146" s="9"/>
      <c r="K146" s="9"/>
      <c r="L146" s="9"/>
      <c r="M146" s="9"/>
    </row>
    <row r="147" spans="10:13" x14ac:dyDescent="0.25">
      <c r="J147" s="9"/>
      <c r="K147" s="9"/>
      <c r="L147" s="9"/>
      <c r="M147" s="9"/>
    </row>
    <row r="148" spans="10:13" x14ac:dyDescent="0.25">
      <c r="J148" s="9"/>
      <c r="K148" s="9"/>
      <c r="L148" s="9"/>
      <c r="M148" s="9"/>
    </row>
    <row r="149" spans="10:13" x14ac:dyDescent="0.25">
      <c r="J149" s="9"/>
      <c r="K149" s="9"/>
      <c r="L149" s="9"/>
      <c r="M149" s="9"/>
    </row>
    <row r="150" spans="10:13" x14ac:dyDescent="0.25">
      <c r="J150" s="9"/>
      <c r="K150" s="9"/>
      <c r="L150" s="9"/>
      <c r="M150" s="9"/>
    </row>
    <row r="151" spans="10:13" x14ac:dyDescent="0.25">
      <c r="J151" s="9"/>
      <c r="K151" s="9"/>
      <c r="L151" s="9"/>
      <c r="M151" s="9"/>
    </row>
    <row r="152" spans="10:13" x14ac:dyDescent="0.25">
      <c r="J152" s="9"/>
      <c r="K152" s="9"/>
      <c r="L152" s="9"/>
      <c r="M152" s="9"/>
    </row>
    <row r="153" spans="10:13" x14ac:dyDescent="0.25">
      <c r="J153" s="9"/>
      <c r="K153" s="9"/>
      <c r="L153" s="9"/>
      <c r="M153" s="9"/>
    </row>
    <row r="154" spans="10:13" x14ac:dyDescent="0.25">
      <c r="J154" s="9"/>
      <c r="K154" s="9"/>
      <c r="L154" s="9"/>
      <c r="M154" s="9"/>
    </row>
    <row r="155" spans="10:13" x14ac:dyDescent="0.25">
      <c r="J155" s="9"/>
      <c r="K155" s="9"/>
      <c r="L155" s="9"/>
      <c r="M155" s="9"/>
    </row>
    <row r="156" spans="10:13" x14ac:dyDescent="0.25">
      <c r="J156" s="9"/>
      <c r="K156" s="9"/>
      <c r="L156" s="9"/>
      <c r="M156" s="9"/>
    </row>
    <row r="157" spans="10:13" x14ac:dyDescent="0.25">
      <c r="J157" s="9"/>
      <c r="K157" s="9"/>
      <c r="L157" s="9"/>
      <c r="M157" s="9"/>
    </row>
    <row r="158" spans="10:13" x14ac:dyDescent="0.25">
      <c r="J158" s="9"/>
      <c r="K158" s="9"/>
      <c r="L158" s="9"/>
      <c r="M158" s="9"/>
    </row>
    <row r="159" spans="10:13" x14ac:dyDescent="0.25">
      <c r="J159" s="9"/>
      <c r="K159" s="9"/>
      <c r="L159" s="9"/>
      <c r="M159" s="9"/>
    </row>
    <row r="160" spans="10:13" x14ac:dyDescent="0.25">
      <c r="J160" s="9"/>
      <c r="K160" s="9"/>
      <c r="L160" s="9"/>
      <c r="M160" s="9"/>
    </row>
    <row r="161" spans="10:13" x14ac:dyDescent="0.25">
      <c r="J161" s="9"/>
      <c r="K161" s="9"/>
      <c r="L161" s="9"/>
      <c r="M161" s="9"/>
    </row>
    <row r="162" spans="10:13" x14ac:dyDescent="0.25">
      <c r="J162" s="9"/>
      <c r="K162" s="9"/>
      <c r="L162" s="9"/>
      <c r="M162" s="9"/>
    </row>
    <row r="163" spans="10:13" x14ac:dyDescent="0.25">
      <c r="J163" s="9"/>
      <c r="K163" s="9"/>
      <c r="L163" s="9"/>
      <c r="M163" s="9"/>
    </row>
    <row r="164" spans="10:13" x14ac:dyDescent="0.25">
      <c r="J164" s="9"/>
      <c r="K164" s="9"/>
      <c r="L164" s="9"/>
      <c r="M164" s="9"/>
    </row>
    <row r="165" spans="10:13" x14ac:dyDescent="0.25">
      <c r="J165" s="9"/>
      <c r="K165" s="9"/>
      <c r="L165" s="9"/>
      <c r="M165" s="9"/>
    </row>
    <row r="166" spans="10:13" x14ac:dyDescent="0.25">
      <c r="J166" s="9"/>
      <c r="K166" s="9"/>
      <c r="L166" s="9"/>
      <c r="M166" s="9"/>
    </row>
    <row r="167" spans="10:13" x14ac:dyDescent="0.25">
      <c r="J167" s="9"/>
      <c r="K167" s="9"/>
      <c r="L167" s="9"/>
      <c r="M167" s="9"/>
    </row>
    <row r="168" spans="10:13" x14ac:dyDescent="0.25">
      <c r="J168" s="9"/>
      <c r="K168" s="9"/>
      <c r="L168" s="9"/>
      <c r="M168" s="9"/>
    </row>
    <row r="169" spans="10:13" x14ac:dyDescent="0.25">
      <c r="J169" s="9"/>
      <c r="K169" s="9"/>
      <c r="L169" s="9"/>
      <c r="M169" s="9"/>
    </row>
    <row r="170" spans="10:13" x14ac:dyDescent="0.25">
      <c r="J170" s="9"/>
      <c r="K170" s="9"/>
      <c r="L170" s="9"/>
      <c r="M170" s="9"/>
    </row>
    <row r="171" spans="10:13" x14ac:dyDescent="0.25">
      <c r="J171" s="9"/>
      <c r="K171" s="9"/>
      <c r="L171" s="9"/>
      <c r="M171" s="9"/>
    </row>
    <row r="172" spans="10:13" x14ac:dyDescent="0.25">
      <c r="J172" s="9"/>
      <c r="K172" s="9"/>
      <c r="L172" s="9"/>
      <c r="M172" s="9"/>
    </row>
    <row r="173" spans="10:13" x14ac:dyDescent="0.25">
      <c r="J173" s="9"/>
      <c r="K173" s="9"/>
      <c r="L173" s="9"/>
      <c r="M173" s="9"/>
    </row>
    <row r="174" spans="10:13" x14ac:dyDescent="0.25">
      <c r="J174" s="9"/>
      <c r="K174" s="9"/>
      <c r="L174" s="9"/>
      <c r="M174" s="9"/>
    </row>
    <row r="175" spans="10:13" x14ac:dyDescent="0.25">
      <c r="J175" s="9"/>
      <c r="K175" s="9"/>
      <c r="L175" s="9"/>
      <c r="M175" s="9"/>
    </row>
    <row r="176" spans="10:13" x14ac:dyDescent="0.25">
      <c r="J176" s="9"/>
      <c r="K176" s="9"/>
      <c r="L176" s="9"/>
      <c r="M176" s="9"/>
    </row>
    <row r="177" spans="10:13" x14ac:dyDescent="0.25">
      <c r="J177" s="9"/>
      <c r="K177" s="9"/>
      <c r="L177" s="9"/>
      <c r="M177" s="9"/>
    </row>
    <row r="178" spans="10:13" x14ac:dyDescent="0.25">
      <c r="J178" s="9"/>
      <c r="K178" s="9"/>
      <c r="L178" s="9"/>
      <c r="M178" s="9"/>
    </row>
    <row r="179" spans="10:13" x14ac:dyDescent="0.25">
      <c r="J179" s="9"/>
      <c r="K179" s="9"/>
      <c r="L179" s="9"/>
      <c r="M179" s="9"/>
    </row>
    <row r="180" spans="10:13" x14ac:dyDescent="0.25">
      <c r="J180" s="9"/>
      <c r="K180" s="9"/>
      <c r="L180" s="9"/>
      <c r="M180" s="9"/>
    </row>
    <row r="181" spans="10:13" x14ac:dyDescent="0.25">
      <c r="J181" s="9"/>
      <c r="K181" s="9"/>
      <c r="L181" s="9"/>
      <c r="M181" s="9"/>
    </row>
    <row r="182" spans="10:13" x14ac:dyDescent="0.25">
      <c r="J182" s="9"/>
      <c r="K182" s="9"/>
      <c r="L182" s="9"/>
      <c r="M182" s="9"/>
    </row>
    <row r="183" spans="10:13" x14ac:dyDescent="0.25">
      <c r="J183" s="9"/>
      <c r="K183" s="9"/>
      <c r="L183" s="9"/>
      <c r="M183" s="9"/>
    </row>
    <row r="184" spans="10:13" x14ac:dyDescent="0.25">
      <c r="J184" s="9"/>
      <c r="K184" s="9"/>
      <c r="L184" s="9"/>
      <c r="M184" s="9"/>
    </row>
    <row r="185" spans="10:13" x14ac:dyDescent="0.25">
      <c r="J185" s="9"/>
      <c r="K185" s="9"/>
      <c r="L185" s="9"/>
      <c r="M185" s="9"/>
    </row>
    <row r="186" spans="10:13" x14ac:dyDescent="0.25">
      <c r="J186" s="9"/>
      <c r="K186" s="9"/>
      <c r="L186" s="9"/>
      <c r="M186" s="9"/>
    </row>
    <row r="187" spans="10:13" x14ac:dyDescent="0.25">
      <c r="J187" s="9"/>
      <c r="K187" s="9"/>
      <c r="L187" s="9"/>
      <c r="M187" s="9"/>
    </row>
    <row r="188" spans="10:13" x14ac:dyDescent="0.25">
      <c r="J188" s="9"/>
      <c r="K188" s="9"/>
      <c r="L188" s="9"/>
      <c r="M188" s="9"/>
    </row>
    <row r="189" spans="10:13" x14ac:dyDescent="0.25">
      <c r="J189" s="9"/>
      <c r="K189" s="9"/>
      <c r="L189" s="9"/>
      <c r="M189" s="9"/>
    </row>
    <row r="190" spans="10:13" x14ac:dyDescent="0.25">
      <c r="J190" s="9"/>
      <c r="K190" s="9"/>
      <c r="L190" s="9"/>
      <c r="M190" s="9"/>
    </row>
    <row r="191" spans="10:13" x14ac:dyDescent="0.25">
      <c r="J191" s="9"/>
      <c r="K191" s="9"/>
      <c r="L191" s="9"/>
      <c r="M191" s="9"/>
    </row>
    <row r="192" spans="10:13" x14ac:dyDescent="0.25">
      <c r="J192" s="9"/>
      <c r="K192" s="9"/>
      <c r="L192" s="9"/>
      <c r="M192" s="9"/>
    </row>
    <row r="193" spans="10:13" x14ac:dyDescent="0.25">
      <c r="J193" s="9"/>
      <c r="K193" s="9"/>
      <c r="L193" s="9"/>
      <c r="M193" s="9"/>
    </row>
    <row r="194" spans="10:13" x14ac:dyDescent="0.25">
      <c r="J194" s="9"/>
      <c r="K194" s="9"/>
      <c r="L194" s="9"/>
      <c r="M194" s="9"/>
    </row>
    <row r="195" spans="10:13" x14ac:dyDescent="0.25">
      <c r="J195" s="9"/>
      <c r="K195" s="9"/>
      <c r="L195" s="9"/>
      <c r="M195" s="9"/>
    </row>
    <row r="196" spans="10:13" x14ac:dyDescent="0.25">
      <c r="J196" s="9"/>
      <c r="K196" s="9"/>
      <c r="L196" s="9"/>
      <c r="M196" s="9"/>
    </row>
    <row r="197" spans="10:13" x14ac:dyDescent="0.25">
      <c r="J197" s="9"/>
      <c r="K197" s="9"/>
      <c r="L197" s="9"/>
      <c r="M197" s="9"/>
    </row>
    <row r="198" spans="10:13" x14ac:dyDescent="0.25">
      <c r="J198" s="9"/>
      <c r="K198" s="9"/>
      <c r="L198" s="9"/>
      <c r="M198" s="9"/>
    </row>
    <row r="199" spans="10:13" x14ac:dyDescent="0.25">
      <c r="J199" s="9"/>
      <c r="K199" s="9"/>
      <c r="L199" s="9"/>
      <c r="M199" s="9"/>
    </row>
    <row r="200" spans="10:13" x14ac:dyDescent="0.25">
      <c r="J200" s="9"/>
      <c r="K200" s="9"/>
      <c r="L200" s="9"/>
      <c r="M200" s="9"/>
    </row>
    <row r="201" spans="10:13" x14ac:dyDescent="0.25">
      <c r="J201" s="9"/>
      <c r="K201" s="9"/>
      <c r="L201" s="9"/>
      <c r="M201" s="9"/>
    </row>
    <row r="202" spans="10:13" x14ac:dyDescent="0.25">
      <c r="J202" s="9"/>
      <c r="K202" s="9"/>
      <c r="L202" s="9"/>
      <c r="M202" s="9"/>
    </row>
    <row r="203" spans="10:13" x14ac:dyDescent="0.25">
      <c r="J203" s="9"/>
      <c r="K203" s="9"/>
      <c r="L203" s="9"/>
      <c r="M203" s="9"/>
    </row>
    <row r="204" spans="10:13" x14ac:dyDescent="0.25">
      <c r="J204" s="9"/>
      <c r="K204" s="9"/>
      <c r="L204" s="9"/>
      <c r="M204" s="9"/>
    </row>
    <row r="205" spans="10:13" x14ac:dyDescent="0.25">
      <c r="J205" s="9"/>
      <c r="K205" s="9"/>
      <c r="L205" s="9"/>
      <c r="M205" s="9"/>
    </row>
    <row r="206" spans="10:13" x14ac:dyDescent="0.25">
      <c r="J206" s="9"/>
      <c r="K206" s="9"/>
      <c r="L206" s="9"/>
      <c r="M206" s="9"/>
    </row>
    <row r="207" spans="10:13" x14ac:dyDescent="0.25">
      <c r="J207" s="9"/>
      <c r="K207" s="9"/>
      <c r="L207" s="9"/>
      <c r="M207" s="9"/>
    </row>
    <row r="208" spans="10:13" x14ac:dyDescent="0.25">
      <c r="J208" s="9"/>
      <c r="K208" s="9"/>
      <c r="L208" s="9"/>
      <c r="M208" s="9"/>
    </row>
    <row r="209" spans="10:13" x14ac:dyDescent="0.25">
      <c r="J209" s="9"/>
      <c r="K209" s="9"/>
      <c r="L209" s="9"/>
      <c r="M209" s="9"/>
    </row>
    <row r="210" spans="10:13" x14ac:dyDescent="0.25">
      <c r="J210" s="9"/>
      <c r="K210" s="9"/>
      <c r="L210" s="9"/>
      <c r="M210" s="9"/>
    </row>
    <row r="211" spans="10:13" x14ac:dyDescent="0.25">
      <c r="J211" s="9"/>
      <c r="K211" s="9"/>
      <c r="L211" s="9"/>
      <c r="M211" s="9"/>
    </row>
    <row r="212" spans="10:13" x14ac:dyDescent="0.25">
      <c r="J212" s="9"/>
      <c r="K212" s="9"/>
      <c r="L212" s="9"/>
      <c r="M212" s="9"/>
    </row>
    <row r="213" spans="10:13" x14ac:dyDescent="0.25">
      <c r="J213" s="9"/>
      <c r="K213" s="9"/>
      <c r="L213" s="9"/>
      <c r="M213" s="9"/>
    </row>
    <row r="214" spans="10:13" x14ac:dyDescent="0.25">
      <c r="J214" s="9"/>
      <c r="K214" s="9"/>
      <c r="L214" s="9"/>
      <c r="M214" s="9"/>
    </row>
    <row r="215" spans="10:13" x14ac:dyDescent="0.25">
      <c r="J215" s="9"/>
      <c r="K215" s="9"/>
      <c r="L215" s="9"/>
      <c r="M215" s="9"/>
    </row>
    <row r="216" spans="10:13" x14ac:dyDescent="0.25">
      <c r="J216" s="9"/>
      <c r="K216" s="9"/>
      <c r="L216" s="9"/>
      <c r="M216" s="9"/>
    </row>
    <row r="217" spans="10:13" x14ac:dyDescent="0.25">
      <c r="J217" s="9"/>
      <c r="K217" s="9"/>
      <c r="L217" s="9"/>
      <c r="M217" s="9"/>
    </row>
    <row r="218" spans="10:13" x14ac:dyDescent="0.25">
      <c r="J218" s="9"/>
      <c r="K218" s="9"/>
      <c r="L218" s="9"/>
      <c r="M218" s="9"/>
    </row>
    <row r="219" spans="10:13" x14ac:dyDescent="0.25">
      <c r="J219" s="9"/>
      <c r="K219" s="9"/>
      <c r="L219" s="9"/>
      <c r="M219" s="9"/>
    </row>
    <row r="220" spans="10:13" x14ac:dyDescent="0.25">
      <c r="J220" s="9"/>
      <c r="K220" s="9"/>
      <c r="L220" s="9"/>
      <c r="M220" s="9"/>
    </row>
    <row r="221" spans="10:13" x14ac:dyDescent="0.25">
      <c r="J221" s="9"/>
      <c r="K221" s="9"/>
      <c r="L221" s="9"/>
      <c r="M221" s="9"/>
    </row>
    <row r="222" spans="10:13" x14ac:dyDescent="0.25">
      <c r="J222" s="9"/>
      <c r="K222" s="9"/>
      <c r="L222" s="9"/>
      <c r="M222" s="9"/>
    </row>
    <row r="223" spans="10:13" x14ac:dyDescent="0.25">
      <c r="J223" s="9"/>
      <c r="K223" s="9"/>
      <c r="L223" s="9"/>
      <c r="M223" s="9"/>
    </row>
    <row r="224" spans="10:13" x14ac:dyDescent="0.25">
      <c r="J224" s="9"/>
      <c r="K224" s="9"/>
      <c r="L224" s="9"/>
      <c r="M224" s="9"/>
    </row>
    <row r="225" spans="10:13" x14ac:dyDescent="0.25">
      <c r="J225" s="9"/>
      <c r="K225" s="9"/>
      <c r="L225" s="9"/>
      <c r="M225" s="9"/>
    </row>
    <row r="226" spans="10:13" x14ac:dyDescent="0.25">
      <c r="J226" s="9"/>
      <c r="K226" s="9"/>
      <c r="L226" s="9"/>
      <c r="M226" s="9"/>
    </row>
    <row r="227" spans="10:13" x14ac:dyDescent="0.25">
      <c r="J227" s="9"/>
      <c r="K227" s="9"/>
      <c r="L227" s="9"/>
      <c r="M227" s="9"/>
    </row>
    <row r="228" spans="10:13" x14ac:dyDescent="0.25">
      <c r="J228" s="9"/>
      <c r="K228" s="9"/>
      <c r="L228" s="9"/>
      <c r="M228" s="9"/>
    </row>
  </sheetData>
  <conditionalFormatting sqref="R14:R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S139">
    <cfRule type="cellIs" dxfId="19" priority="28" operator="equal">
      <formula>"""TOO BIG"""</formula>
    </cfRule>
  </conditionalFormatting>
  <conditionalFormatting sqref="I3:I12 K3:K12 N3:P12 A6:A11 S2:S1048576">
    <cfRule type="cellIs" dxfId="18" priority="25" operator="equal">
      <formula>"FIT"</formula>
    </cfRule>
    <cfRule type="cellIs" dxfId="17" priority="26" operator="equal">
      <formula>"ENERGY TOO LOW"</formula>
    </cfRule>
    <cfRule type="cellIs" dxfId="16" priority="27" operator="equal">
      <formula>"TOO BIG"</formula>
    </cfRule>
  </conditionalFormatting>
  <conditionalFormatting sqref="W14:W1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Z13">
    <cfRule type="cellIs" dxfId="15" priority="15" operator="equal">
      <formula>"FIT"</formula>
    </cfRule>
    <cfRule type="cellIs" dxfId="14" priority="16" operator="equal">
      <formula>"ENERGY TOO LOW"</formula>
    </cfRule>
    <cfRule type="cellIs" dxfId="13" priority="17" operator="equal">
      <formula>"TOO BIG"</formula>
    </cfRule>
  </conditionalFormatting>
  <conditionalFormatting sqref="AB1:AC12 AB14:AC1048576"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A13:AC13">
    <cfRule type="cellIs" dxfId="7" priority="7" operator="equal">
      <formula>"FIT"</formula>
    </cfRule>
    <cfRule type="cellIs" dxfId="6" priority="8" operator="equal">
      <formula>"ENERGY TOO LOW"</formula>
    </cfRule>
    <cfRule type="cellIs" dxfId="5" priority="9" operator="equal">
      <formula>"TOO BIG"</formula>
    </cfRule>
  </conditionalFormatting>
  <conditionalFormatting sqref="AD13">
    <cfRule type="cellIs" dxfId="4" priority="4" operator="equal">
      <formula>"FIT"</formula>
    </cfRule>
    <cfRule type="cellIs" dxfId="3" priority="5" operator="equal">
      <formula>"ENERGY TOO LOW"</formula>
    </cfRule>
    <cfRule type="cellIs" dxfId="2" priority="6" operator="equal">
      <formula>"TOO BIG"</formula>
    </cfRule>
  </conditionalFormatting>
  <conditionalFormatting sqref="Y14:Y132">
    <cfRule type="cellIs" dxfId="1" priority="2" operator="lessThan">
      <formula>$B$9</formula>
    </cfRule>
    <cfRule type="cellIs" dxfId="0" priority="3" operator="greaterThan">
      <formula>$B$9</formula>
    </cfRule>
  </conditionalFormatting>
  <conditionalFormatting sqref="U14:U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P42"/>
  <sheetViews>
    <sheetView tabSelected="1" topLeftCell="A7" workbookViewId="0">
      <selection activeCell="F45" sqref="F45"/>
    </sheetView>
  </sheetViews>
  <sheetFormatPr defaultRowHeight="15" x14ac:dyDescent="0.25"/>
  <cols>
    <col min="2" max="2" width="18.5703125" customWidth="1"/>
    <col min="3" max="3" width="13.42578125" customWidth="1"/>
    <col min="6" max="6" width="14.28515625" customWidth="1"/>
    <col min="7" max="7" width="9.42578125" bestFit="1" customWidth="1"/>
    <col min="10" max="10" width="14.5703125" customWidth="1"/>
    <col min="11" max="11" width="9.42578125" bestFit="1" customWidth="1"/>
    <col min="12" max="12" width="5.5703125" bestFit="1" customWidth="1"/>
    <col min="14" max="14" width="15.140625" customWidth="1"/>
  </cols>
  <sheetData>
    <row r="4" spans="1:16" x14ac:dyDescent="0.25">
      <c r="B4" t="s">
        <v>124</v>
      </c>
    </row>
    <row r="6" spans="1:16" s="30" customFormat="1" x14ac:dyDescent="0.25">
      <c r="A6" s="30" t="s">
        <v>125</v>
      </c>
      <c r="B6" s="30" t="s">
        <v>126</v>
      </c>
      <c r="F6" s="30" t="s">
        <v>130</v>
      </c>
      <c r="J6" s="30" t="s">
        <v>131</v>
      </c>
      <c r="N6" s="30" t="s">
        <v>147</v>
      </c>
    </row>
    <row r="8" spans="1:16" s="29" customFormat="1" x14ac:dyDescent="0.25">
      <c r="B8" s="29" t="s">
        <v>127</v>
      </c>
      <c r="C8" s="29" t="s">
        <v>128</v>
      </c>
      <c r="D8" s="29" t="s">
        <v>184</v>
      </c>
      <c r="F8" s="29" t="s">
        <v>127</v>
      </c>
      <c r="G8" s="29" t="s">
        <v>128</v>
      </c>
      <c r="H8" s="29" t="s">
        <v>129</v>
      </c>
      <c r="J8" s="29" t="s">
        <v>127</v>
      </c>
      <c r="K8" s="29" t="s">
        <v>128</v>
      </c>
      <c r="L8" s="29" t="s">
        <v>129</v>
      </c>
      <c r="N8" s="29" t="s">
        <v>127</v>
      </c>
      <c r="O8" s="29" t="s">
        <v>128</v>
      </c>
      <c r="P8" s="29" t="s">
        <v>129</v>
      </c>
    </row>
    <row r="10" spans="1:16" x14ac:dyDescent="0.25">
      <c r="B10" t="s">
        <v>132</v>
      </c>
      <c r="F10" t="s">
        <v>132</v>
      </c>
      <c r="G10" t="s">
        <v>148</v>
      </c>
      <c r="J10" t="s">
        <v>132</v>
      </c>
      <c r="K10" t="s">
        <v>148</v>
      </c>
      <c r="N10" t="s">
        <v>132</v>
      </c>
      <c r="O10" t="s">
        <v>148</v>
      </c>
    </row>
    <row r="11" spans="1:16" x14ac:dyDescent="0.25">
      <c r="B11" t="s">
        <v>133</v>
      </c>
      <c r="C11" t="s">
        <v>136</v>
      </c>
      <c r="D11" t="s">
        <v>108</v>
      </c>
      <c r="F11" t="s">
        <v>156</v>
      </c>
      <c r="G11" t="s">
        <v>146</v>
      </c>
      <c r="J11" t="s">
        <v>144</v>
      </c>
      <c r="K11" t="s">
        <v>145</v>
      </c>
      <c r="N11" t="s">
        <v>169</v>
      </c>
      <c r="O11" t="s">
        <v>145</v>
      </c>
    </row>
    <row r="12" spans="1:16" x14ac:dyDescent="0.25">
      <c r="B12" t="s">
        <v>134</v>
      </c>
      <c r="C12" t="s">
        <v>136</v>
      </c>
      <c r="D12" t="s">
        <v>108</v>
      </c>
      <c r="F12" t="s">
        <v>157</v>
      </c>
      <c r="G12" t="s">
        <v>146</v>
      </c>
      <c r="J12" t="s">
        <v>158</v>
      </c>
      <c r="K12" t="s">
        <v>146</v>
      </c>
      <c r="N12" t="s">
        <v>170</v>
      </c>
      <c r="O12" t="s">
        <v>145</v>
      </c>
    </row>
    <row r="13" spans="1:16" x14ac:dyDescent="0.25">
      <c r="B13" t="s">
        <v>135</v>
      </c>
      <c r="C13" t="s">
        <v>136</v>
      </c>
      <c r="D13" t="s">
        <v>108</v>
      </c>
      <c r="F13" t="s">
        <v>158</v>
      </c>
      <c r="G13" t="s">
        <v>146</v>
      </c>
      <c r="J13" t="s">
        <v>165</v>
      </c>
      <c r="K13" t="s">
        <v>136</v>
      </c>
      <c r="L13" t="s">
        <v>108</v>
      </c>
      <c r="N13" t="s">
        <v>205</v>
      </c>
      <c r="O13" t="s">
        <v>145</v>
      </c>
    </row>
    <row r="14" spans="1:16" x14ac:dyDescent="0.25">
      <c r="B14" t="s">
        <v>137</v>
      </c>
      <c r="C14" t="s">
        <v>136</v>
      </c>
      <c r="D14" t="s">
        <v>140</v>
      </c>
      <c r="F14" t="s">
        <v>159</v>
      </c>
      <c r="G14" t="s">
        <v>146</v>
      </c>
      <c r="J14" t="s">
        <v>166</v>
      </c>
      <c r="K14" t="s">
        <v>136</v>
      </c>
      <c r="L14" t="s">
        <v>108</v>
      </c>
      <c r="N14" t="s">
        <v>206</v>
      </c>
      <c r="O14" t="s">
        <v>145</v>
      </c>
    </row>
    <row r="15" spans="1:16" x14ac:dyDescent="0.25">
      <c r="B15" t="s">
        <v>138</v>
      </c>
      <c r="C15" t="s">
        <v>136</v>
      </c>
      <c r="D15" t="s">
        <v>140</v>
      </c>
      <c r="F15" t="s">
        <v>160</v>
      </c>
      <c r="G15" t="s">
        <v>146</v>
      </c>
      <c r="J15" t="s">
        <v>150</v>
      </c>
      <c r="K15" t="s">
        <v>136</v>
      </c>
      <c r="L15" t="s">
        <v>69</v>
      </c>
    </row>
    <row r="16" spans="1:16" x14ac:dyDescent="0.25">
      <c r="B16" t="s">
        <v>139</v>
      </c>
      <c r="C16" t="s">
        <v>136</v>
      </c>
      <c r="D16" t="s">
        <v>140</v>
      </c>
      <c r="F16" t="s">
        <v>161</v>
      </c>
      <c r="G16" t="s">
        <v>146</v>
      </c>
      <c r="J16" t="s">
        <v>151</v>
      </c>
      <c r="K16" t="s">
        <v>136</v>
      </c>
      <c r="L16" t="s">
        <v>69</v>
      </c>
    </row>
    <row r="17" spans="2:12" x14ac:dyDescent="0.25">
      <c r="B17" t="s">
        <v>141</v>
      </c>
      <c r="C17" t="s">
        <v>136</v>
      </c>
      <c r="D17" t="s">
        <v>106</v>
      </c>
      <c r="F17" t="s">
        <v>162</v>
      </c>
      <c r="G17" t="s">
        <v>145</v>
      </c>
      <c r="J17" t="s">
        <v>152</v>
      </c>
      <c r="K17" t="s">
        <v>136</v>
      </c>
      <c r="L17" t="s">
        <v>153</v>
      </c>
    </row>
    <row r="18" spans="2:12" x14ac:dyDescent="0.25">
      <c r="B18" t="s">
        <v>142</v>
      </c>
      <c r="C18" t="s">
        <v>136</v>
      </c>
      <c r="D18" t="s">
        <v>106</v>
      </c>
      <c r="F18" t="s">
        <v>163</v>
      </c>
      <c r="G18" t="s">
        <v>164</v>
      </c>
      <c r="J18" t="s">
        <v>141</v>
      </c>
      <c r="K18" t="s">
        <v>136</v>
      </c>
      <c r="L18" t="s">
        <v>106</v>
      </c>
    </row>
    <row r="19" spans="2:12" x14ac:dyDescent="0.25">
      <c r="B19" t="s">
        <v>143</v>
      </c>
      <c r="C19" t="s">
        <v>136</v>
      </c>
      <c r="D19" t="s">
        <v>106</v>
      </c>
      <c r="F19" t="s">
        <v>191</v>
      </c>
      <c r="G19" t="s">
        <v>192</v>
      </c>
      <c r="J19" t="s">
        <v>142</v>
      </c>
      <c r="K19" t="s">
        <v>136</v>
      </c>
      <c r="L19" t="s">
        <v>106</v>
      </c>
    </row>
    <row r="20" spans="2:12" x14ac:dyDescent="0.25">
      <c r="B20" t="s">
        <v>144</v>
      </c>
      <c r="C20" t="s">
        <v>145</v>
      </c>
      <c r="D20" t="s">
        <v>185</v>
      </c>
      <c r="F20" t="s">
        <v>194</v>
      </c>
      <c r="G20" t="s">
        <v>146</v>
      </c>
      <c r="J20" t="s">
        <v>143</v>
      </c>
      <c r="K20" t="s">
        <v>136</v>
      </c>
      <c r="L20" t="s">
        <v>106</v>
      </c>
    </row>
    <row r="21" spans="2:12" x14ac:dyDescent="0.25">
      <c r="B21" t="s">
        <v>149</v>
      </c>
      <c r="C21" t="s">
        <v>145</v>
      </c>
      <c r="D21" t="s">
        <v>185</v>
      </c>
      <c r="F21" t="s">
        <v>195</v>
      </c>
      <c r="G21" t="s">
        <v>146</v>
      </c>
      <c r="J21" t="s">
        <v>167</v>
      </c>
      <c r="K21" t="s">
        <v>145</v>
      </c>
    </row>
    <row r="22" spans="2:12" x14ac:dyDescent="0.25">
      <c r="B22" t="s">
        <v>176</v>
      </c>
      <c r="C22" t="s">
        <v>136</v>
      </c>
      <c r="D22" t="s">
        <v>69</v>
      </c>
      <c r="F22" t="s">
        <v>196</v>
      </c>
      <c r="G22" t="s">
        <v>146</v>
      </c>
      <c r="J22" t="s">
        <v>168</v>
      </c>
      <c r="K22" t="s">
        <v>155</v>
      </c>
    </row>
    <row r="23" spans="2:12" x14ac:dyDescent="0.25">
      <c r="B23" t="s">
        <v>177</v>
      </c>
      <c r="C23" t="s">
        <v>136</v>
      </c>
      <c r="D23" t="s">
        <v>69</v>
      </c>
      <c r="F23" t="s">
        <v>141</v>
      </c>
      <c r="G23" t="s">
        <v>136</v>
      </c>
    </row>
    <row r="24" spans="2:12" x14ac:dyDescent="0.25">
      <c r="B24" t="s">
        <v>178</v>
      </c>
      <c r="C24" t="s">
        <v>136</v>
      </c>
      <c r="D24" t="s">
        <v>153</v>
      </c>
      <c r="F24" t="s">
        <v>142</v>
      </c>
      <c r="G24" t="s">
        <v>136</v>
      </c>
    </row>
    <row r="25" spans="2:12" x14ac:dyDescent="0.25">
      <c r="B25" t="s">
        <v>179</v>
      </c>
      <c r="C25" t="s">
        <v>136</v>
      </c>
      <c r="D25" t="s">
        <v>69</v>
      </c>
      <c r="F25" t="s">
        <v>143</v>
      </c>
      <c r="G25" t="s">
        <v>136</v>
      </c>
    </row>
    <row r="26" spans="2:12" x14ac:dyDescent="0.25">
      <c r="B26" t="s">
        <v>180</v>
      </c>
      <c r="C26" t="s">
        <v>136</v>
      </c>
      <c r="D26" t="s">
        <v>69</v>
      </c>
      <c r="F26" t="s">
        <v>197</v>
      </c>
      <c r="G26" t="s">
        <v>136</v>
      </c>
    </row>
    <row r="27" spans="2:12" x14ac:dyDescent="0.25">
      <c r="B27" t="s">
        <v>181</v>
      </c>
      <c r="C27" t="s">
        <v>136</v>
      </c>
      <c r="D27" t="s">
        <v>153</v>
      </c>
      <c r="F27" t="s">
        <v>135</v>
      </c>
      <c r="G27" t="s">
        <v>136</v>
      </c>
    </row>
    <row r="28" spans="2:12" x14ac:dyDescent="0.25">
      <c r="B28" t="s">
        <v>154</v>
      </c>
      <c r="C28" t="s">
        <v>145</v>
      </c>
      <c r="D28" t="s">
        <v>185</v>
      </c>
      <c r="F28" t="s">
        <v>134</v>
      </c>
      <c r="G28" t="s">
        <v>136</v>
      </c>
    </row>
    <row r="29" spans="2:12" x14ac:dyDescent="0.25">
      <c r="B29" t="s">
        <v>186</v>
      </c>
      <c r="C29" t="s">
        <v>155</v>
      </c>
      <c r="F29" t="s">
        <v>176</v>
      </c>
      <c r="G29" t="s">
        <v>136</v>
      </c>
    </row>
    <row r="30" spans="2:12" x14ac:dyDescent="0.25">
      <c r="B30" t="s">
        <v>187</v>
      </c>
      <c r="C30" t="s">
        <v>155</v>
      </c>
      <c r="F30" t="s">
        <v>177</v>
      </c>
      <c r="G30" t="s">
        <v>136</v>
      </c>
    </row>
    <row r="31" spans="2:12" x14ac:dyDescent="0.25">
      <c r="B31" t="s">
        <v>188</v>
      </c>
      <c r="C31" t="s">
        <v>145</v>
      </c>
      <c r="F31" t="s">
        <v>178</v>
      </c>
      <c r="G31" t="s">
        <v>136</v>
      </c>
    </row>
    <row r="32" spans="2:12" x14ac:dyDescent="0.25">
      <c r="B32" t="s">
        <v>189</v>
      </c>
      <c r="C32" t="s">
        <v>145</v>
      </c>
      <c r="F32" t="s">
        <v>179</v>
      </c>
      <c r="G32" t="s">
        <v>136</v>
      </c>
    </row>
    <row r="33" spans="2:8" x14ac:dyDescent="0.25">
      <c r="B33" t="s">
        <v>168</v>
      </c>
      <c r="C33" t="s">
        <v>155</v>
      </c>
      <c r="F33" t="s">
        <v>180</v>
      </c>
      <c r="G33" t="s">
        <v>136</v>
      </c>
    </row>
    <row r="34" spans="2:8" x14ac:dyDescent="0.25">
      <c r="B34" t="s">
        <v>171</v>
      </c>
      <c r="C34" t="s">
        <v>136</v>
      </c>
      <c r="D34" t="s">
        <v>172</v>
      </c>
      <c r="F34" t="s">
        <v>181</v>
      </c>
      <c r="G34" t="s">
        <v>136</v>
      </c>
    </row>
    <row r="35" spans="2:8" x14ac:dyDescent="0.25">
      <c r="B35" t="s">
        <v>173</v>
      </c>
      <c r="C35" t="s">
        <v>136</v>
      </c>
      <c r="D35" t="s">
        <v>172</v>
      </c>
      <c r="F35" t="s">
        <v>198</v>
      </c>
      <c r="G35" t="s">
        <v>155</v>
      </c>
    </row>
    <row r="36" spans="2:8" x14ac:dyDescent="0.25">
      <c r="B36" t="s">
        <v>174</v>
      </c>
      <c r="C36" t="s">
        <v>136</v>
      </c>
      <c r="D36" t="s">
        <v>172</v>
      </c>
      <c r="F36" t="s">
        <v>171</v>
      </c>
      <c r="G36" t="s">
        <v>136</v>
      </c>
      <c r="H36" t="s">
        <v>172</v>
      </c>
    </row>
    <row r="37" spans="2:8" x14ac:dyDescent="0.25">
      <c r="B37" t="s">
        <v>175</v>
      </c>
      <c r="C37" t="s">
        <v>136</v>
      </c>
      <c r="D37" t="s">
        <v>172</v>
      </c>
      <c r="F37" t="s">
        <v>173</v>
      </c>
      <c r="G37" t="s">
        <v>136</v>
      </c>
      <c r="H37" t="s">
        <v>172</v>
      </c>
    </row>
    <row r="38" spans="2:8" x14ac:dyDescent="0.25">
      <c r="B38" t="s">
        <v>182</v>
      </c>
      <c r="C38" t="s">
        <v>145</v>
      </c>
      <c r="D38" t="s">
        <v>190</v>
      </c>
      <c r="F38" t="s">
        <v>174</v>
      </c>
      <c r="G38" t="s">
        <v>136</v>
      </c>
      <c r="H38" t="s">
        <v>172</v>
      </c>
    </row>
    <row r="39" spans="2:8" x14ac:dyDescent="0.25">
      <c r="B39" t="s">
        <v>183</v>
      </c>
      <c r="C39" t="s">
        <v>145</v>
      </c>
      <c r="D39" t="s">
        <v>190</v>
      </c>
      <c r="F39" t="s">
        <v>175</v>
      </c>
      <c r="G39" t="s">
        <v>136</v>
      </c>
      <c r="H39" t="s">
        <v>172</v>
      </c>
    </row>
    <row r="40" spans="2:8" x14ac:dyDescent="0.25">
      <c r="B40" t="s">
        <v>193</v>
      </c>
      <c r="C40" t="s">
        <v>192</v>
      </c>
      <c r="F40" t="s">
        <v>199</v>
      </c>
      <c r="G40" t="s">
        <v>136</v>
      </c>
      <c r="H40" t="s">
        <v>200</v>
      </c>
    </row>
    <row r="41" spans="2:8" x14ac:dyDescent="0.25">
      <c r="F41" t="s">
        <v>201</v>
      </c>
      <c r="G41" t="s">
        <v>136</v>
      </c>
      <c r="H41" t="s">
        <v>202</v>
      </c>
    </row>
    <row r="42" spans="2:8" x14ac:dyDescent="0.25">
      <c r="F42" t="s">
        <v>203</v>
      </c>
      <c r="G42" t="s">
        <v>136</v>
      </c>
      <c r="H42" t="s">
        <v>204</v>
      </c>
    </row>
  </sheetData>
  <pageMargins left="0.7" right="0.7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String</dc:creator>
  <cp:lastModifiedBy>Andrew String</cp:lastModifiedBy>
  <cp:lastPrinted>2014-01-08T22:20:45Z</cp:lastPrinted>
  <dcterms:created xsi:type="dcterms:W3CDTF">2013-03-27T19:49:13Z</dcterms:created>
  <dcterms:modified xsi:type="dcterms:W3CDTF">2014-01-09T15:18:36Z</dcterms:modified>
</cp:coreProperties>
</file>