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lawless-ck\"/>
    </mc:Choice>
  </mc:AlternateContent>
  <xr:revisionPtr revIDLastSave="0" documentId="13_ncr:1_{B054571E-C4F9-4B90-9397-F6456435DFA3}" xr6:coauthVersionLast="47" xr6:coauthVersionMax="47" xr10:uidLastSave="{00000000-0000-0000-0000-000000000000}"/>
  <bookViews>
    <workbookView xWindow="5910" yWindow="2955" windowWidth="21600" windowHeight="12930" firstSheet="1" activeTab="2" xr2:uid="{00000000-000D-0000-FFFF-FFFF00000000}"/>
  </bookViews>
  <sheets>
    <sheet name="Data RCV September" sheetId="1" state="hidden" r:id="rId1"/>
    <sheet name="SUPPLIES" sheetId="4" r:id="rId2"/>
    <sheet name="FOOD" sheetId="2" r:id="rId3"/>
    <sheet name="RNd" sheetId="6" r:id="rId4"/>
    <sheet name="Summary" sheetId="3" r:id="rId5"/>
  </sheets>
  <definedNames>
    <definedName name="_xlnm._FilterDatabase" localSheetId="2" hidden="1">FOOD!$A$1:$N$5</definedName>
    <definedName name="_xlnm._FilterDatabase" localSheetId="3" hidden="1">RNd!$A$1:$N$2</definedName>
    <definedName name="_xlnm._FilterDatabase" localSheetId="1" hidden="1">SUPPLIES!$A$1:$N$3</definedName>
  </definedNames>
  <calcPr calcId="191029" calcMode="autoNoTable"/>
</workbook>
</file>

<file path=xl/calcChain.xml><?xml version="1.0" encoding="utf-8"?>
<calcChain xmlns="http://schemas.openxmlformats.org/spreadsheetml/2006/main">
  <c r="L160" i="2" l="1"/>
  <c r="J160" i="2"/>
  <c r="M160" i="2" s="1"/>
  <c r="L159" i="2"/>
  <c r="J159" i="2"/>
  <c r="M159" i="2" s="1"/>
  <c r="L158" i="2"/>
  <c r="J158" i="2"/>
  <c r="L157" i="2"/>
  <c r="J157" i="2"/>
  <c r="L156" i="2"/>
  <c r="J156" i="2"/>
  <c r="M156" i="2" s="1"/>
  <c r="L155" i="2"/>
  <c r="J155" i="2"/>
  <c r="M155" i="2" s="1"/>
  <c r="L154" i="2"/>
  <c r="J154" i="2"/>
  <c r="M154" i="2" s="1"/>
  <c r="L153" i="2"/>
  <c r="J153" i="2"/>
  <c r="L152" i="2"/>
  <c r="J152" i="2"/>
  <c r="L151" i="2"/>
  <c r="J151" i="2"/>
  <c r="L150" i="2"/>
  <c r="J150" i="2"/>
  <c r="J27" i="4"/>
  <c r="M27" i="4" s="1"/>
  <c r="L149" i="2"/>
  <c r="J149" i="2"/>
  <c r="M149" i="2" s="1"/>
  <c r="L147" i="2"/>
  <c r="J147" i="2"/>
  <c r="M147" i="2" s="1"/>
  <c r="L146" i="2"/>
  <c r="J146" i="2"/>
  <c r="M146" i="2" s="1"/>
  <c r="L145" i="2"/>
  <c r="J145" i="2"/>
  <c r="L144" i="2"/>
  <c r="J144" i="2"/>
  <c r="L143" i="2"/>
  <c r="J143" i="2"/>
  <c r="M143" i="2" s="1"/>
  <c r="L24" i="4"/>
  <c r="J24" i="4"/>
  <c r="L141" i="2"/>
  <c r="J141" i="2"/>
  <c r="M141" i="2" s="1"/>
  <c r="M145" i="2" l="1"/>
  <c r="M153" i="2"/>
  <c r="M158" i="2"/>
  <c r="M157" i="2"/>
  <c r="M152" i="2"/>
  <c r="M151" i="2"/>
  <c r="M150" i="2"/>
  <c r="M144" i="2"/>
  <c r="M148" i="2" s="1"/>
  <c r="M24" i="4"/>
  <c r="M26" i="4" s="1"/>
  <c r="L140" i="2"/>
  <c r="J140" i="2"/>
  <c r="L139" i="2"/>
  <c r="J139" i="2"/>
  <c r="M139" i="2" s="1"/>
  <c r="L138" i="2"/>
  <c r="J138" i="2"/>
  <c r="M138" i="2" s="1"/>
  <c r="M140" i="2" l="1"/>
  <c r="L137" i="2"/>
  <c r="J137" i="2"/>
  <c r="L136" i="2"/>
  <c r="J136" i="2"/>
  <c r="L135" i="2"/>
  <c r="J135" i="2"/>
  <c r="L134" i="2"/>
  <c r="J134" i="2"/>
  <c r="M134" i="2" s="1"/>
  <c r="L133" i="2"/>
  <c r="J133" i="2"/>
  <c r="L121" i="2"/>
  <c r="J121" i="2"/>
  <c r="L120" i="2"/>
  <c r="J120" i="2"/>
  <c r="L132" i="2"/>
  <c r="J132" i="2"/>
  <c r="M132" i="2" s="1"/>
  <c r="L131" i="2"/>
  <c r="J131" i="2"/>
  <c r="L130" i="2"/>
  <c r="J130" i="2"/>
  <c r="L129" i="2"/>
  <c r="J129" i="2"/>
  <c r="L128" i="2"/>
  <c r="J128" i="2"/>
  <c r="M128" i="2" s="1"/>
  <c r="L127" i="2"/>
  <c r="J127" i="2"/>
  <c r="L126" i="2"/>
  <c r="J126" i="2"/>
  <c r="L125" i="2"/>
  <c r="J125" i="2"/>
  <c r="L124" i="2"/>
  <c r="J124" i="2"/>
  <c r="M124" i="2" s="1"/>
  <c r="L123" i="2"/>
  <c r="J123" i="2"/>
  <c r="L22" i="4"/>
  <c r="L21" i="4"/>
  <c r="L20" i="4"/>
  <c r="J22" i="4"/>
  <c r="J21" i="4"/>
  <c r="J20" i="4"/>
  <c r="L119" i="2"/>
  <c r="J119" i="2"/>
  <c r="L19" i="4"/>
  <c r="J19" i="4"/>
  <c r="M19" i="4" s="1"/>
  <c r="M129" i="2" l="1"/>
  <c r="M120" i="2"/>
  <c r="M135" i="2"/>
  <c r="M126" i="2"/>
  <c r="M130" i="2"/>
  <c r="M121" i="2"/>
  <c r="M136" i="2"/>
  <c r="M119" i="2"/>
  <c r="M123" i="2"/>
  <c r="M142" i="2" s="1"/>
  <c r="M127" i="2"/>
  <c r="M131" i="2"/>
  <c r="M133" i="2"/>
  <c r="M137" i="2"/>
  <c r="M125" i="2"/>
  <c r="M21" i="4"/>
  <c r="M22" i="4"/>
  <c r="M20" i="4"/>
  <c r="M23" i="4" s="1"/>
  <c r="L118" i="2"/>
  <c r="J118" i="2"/>
  <c r="L117" i="2"/>
  <c r="J117" i="2"/>
  <c r="M117" i="2" s="1"/>
  <c r="L116" i="2"/>
  <c r="J116" i="2"/>
  <c r="L114" i="2"/>
  <c r="J114" i="2"/>
  <c r="L115" i="2"/>
  <c r="J115" i="2"/>
  <c r="M115" i="2" s="1"/>
  <c r="M116" i="2" l="1"/>
  <c r="M118" i="2"/>
  <c r="M114" i="2"/>
  <c r="L20" i="6"/>
  <c r="L19" i="6"/>
  <c r="J20" i="6"/>
  <c r="M20" i="6" s="1"/>
  <c r="J19" i="6"/>
  <c r="M19" i="6" s="1"/>
  <c r="L18" i="6"/>
  <c r="J18" i="6"/>
  <c r="L113" i="2"/>
  <c r="J113" i="2"/>
  <c r="L111" i="2"/>
  <c r="L112" i="2"/>
  <c r="J112" i="2"/>
  <c r="J111" i="2"/>
  <c r="L110" i="2"/>
  <c r="J110" i="2"/>
  <c r="L109" i="2"/>
  <c r="J109" i="2"/>
  <c r="M109" i="2" s="1"/>
  <c r="L25" i="6"/>
  <c r="J25" i="6"/>
  <c r="L108" i="2"/>
  <c r="J108" i="2"/>
  <c r="L107" i="2"/>
  <c r="J107" i="2"/>
  <c r="L106" i="2"/>
  <c r="J106" i="2"/>
  <c r="L105" i="2"/>
  <c r="J105" i="2"/>
  <c r="L104" i="2"/>
  <c r="J104" i="2"/>
  <c r="M104" i="2" s="1"/>
  <c r="L24" i="6"/>
  <c r="J24" i="6"/>
  <c r="L23" i="6"/>
  <c r="J23" i="6"/>
  <c r="M23" i="6" s="1"/>
  <c r="L22" i="6"/>
  <c r="J22" i="6"/>
  <c r="L103" i="2"/>
  <c r="J103" i="2"/>
  <c r="M103" i="2" s="1"/>
  <c r="L102" i="2"/>
  <c r="J102" i="2"/>
  <c r="L101" i="2"/>
  <c r="J101" i="2"/>
  <c r="M101" i="2" s="1"/>
  <c r="L100" i="2"/>
  <c r="J100" i="2"/>
  <c r="L99" i="2"/>
  <c r="J99" i="2"/>
  <c r="M99" i="2" s="1"/>
  <c r="L98" i="2"/>
  <c r="J98" i="2"/>
  <c r="L97" i="2"/>
  <c r="J97" i="2"/>
  <c r="M97" i="2" s="1"/>
  <c r="L96" i="2"/>
  <c r="J96" i="2"/>
  <c r="L95" i="2"/>
  <c r="J95" i="2"/>
  <c r="L94" i="2"/>
  <c r="J94" i="2"/>
  <c r="L93" i="2"/>
  <c r="J93" i="2"/>
  <c r="M93" i="2" s="1"/>
  <c r="M25" i="6" l="1"/>
  <c r="M96" i="2"/>
  <c r="M98" i="2"/>
  <c r="M111" i="2"/>
  <c r="M95" i="2"/>
  <c r="M100" i="2"/>
  <c r="M102" i="2"/>
  <c r="M107" i="2"/>
  <c r="M110" i="2"/>
  <c r="M112" i="2"/>
  <c r="M18" i="6"/>
  <c r="M21" i="6" s="1"/>
  <c r="I12" i="3" s="1"/>
  <c r="M113" i="2"/>
  <c r="M108" i="2"/>
  <c r="M106" i="2"/>
  <c r="M105" i="2"/>
  <c r="M24" i="6"/>
  <c r="M22" i="6"/>
  <c r="M94" i="2"/>
  <c r="L47" i="2"/>
  <c r="J47" i="2"/>
  <c r="L46" i="2"/>
  <c r="J46" i="2"/>
  <c r="L10" i="2"/>
  <c r="L9" i="2"/>
  <c r="J9" i="2"/>
  <c r="L91" i="2"/>
  <c r="J91" i="2"/>
  <c r="L90" i="2"/>
  <c r="J90" i="2"/>
  <c r="L89" i="2"/>
  <c r="J89" i="2"/>
  <c r="L88" i="2"/>
  <c r="J88" i="2"/>
  <c r="L87" i="2"/>
  <c r="J87" i="2"/>
  <c r="L86" i="2"/>
  <c r="J86" i="2"/>
  <c r="L85" i="2"/>
  <c r="J85" i="2"/>
  <c r="L84" i="2"/>
  <c r="J84" i="2"/>
  <c r="L83" i="2"/>
  <c r="J83" i="2"/>
  <c r="M83" i="2" s="1"/>
  <c r="L82" i="2"/>
  <c r="L81" i="2"/>
  <c r="J82" i="2"/>
  <c r="J81" i="2"/>
  <c r="L79" i="2"/>
  <c r="J79" i="2"/>
  <c r="L80" i="2"/>
  <c r="J80" i="2"/>
  <c r="M80" i="2" s="1"/>
  <c r="L78" i="2"/>
  <c r="J78" i="2"/>
  <c r="L77" i="2"/>
  <c r="J77" i="2"/>
  <c r="L74" i="2"/>
  <c r="J75" i="2"/>
  <c r="J74" i="2"/>
  <c r="L73" i="2"/>
  <c r="J73" i="2"/>
  <c r="L72" i="2"/>
  <c r="J72" i="2"/>
  <c r="L71" i="2"/>
  <c r="J71" i="2"/>
  <c r="M85" i="2" l="1"/>
  <c r="M87" i="2"/>
  <c r="M81" i="2"/>
  <c r="M47" i="2"/>
  <c r="M79" i="2"/>
  <c r="M82" i="2"/>
  <c r="M88" i="2"/>
  <c r="M90" i="2"/>
  <c r="M9" i="2"/>
  <c r="M46" i="2"/>
  <c r="M91" i="2"/>
  <c r="M89" i="2"/>
  <c r="M86" i="2"/>
  <c r="M84" i="2"/>
  <c r="M74" i="2"/>
  <c r="M78" i="2"/>
  <c r="M72" i="2"/>
  <c r="M71" i="2"/>
  <c r="M77" i="2"/>
  <c r="M73" i="2"/>
  <c r="M75" i="2"/>
  <c r="L70" i="2"/>
  <c r="J70" i="2"/>
  <c r="L69" i="2"/>
  <c r="J69" i="2"/>
  <c r="L68" i="2"/>
  <c r="J68" i="2"/>
  <c r="L67" i="2"/>
  <c r="J67" i="2"/>
  <c r="L66" i="2"/>
  <c r="J66" i="2"/>
  <c r="L65" i="2"/>
  <c r="J65" i="2"/>
  <c r="L64" i="2"/>
  <c r="J64" i="2"/>
  <c r="L63" i="2"/>
  <c r="J63" i="2"/>
  <c r="L62" i="2"/>
  <c r="J62" i="2"/>
  <c r="L61" i="2"/>
  <c r="J61" i="2"/>
  <c r="L60" i="2"/>
  <c r="J60" i="2"/>
  <c r="L59" i="2"/>
  <c r="J59" i="2"/>
  <c r="L58" i="2"/>
  <c r="J58" i="2"/>
  <c r="L57" i="2"/>
  <c r="J57" i="2"/>
  <c r="L56" i="2"/>
  <c r="J56" i="2"/>
  <c r="L55" i="2"/>
  <c r="L54" i="2"/>
  <c r="J55" i="2"/>
  <c r="J54" i="2"/>
  <c r="L53" i="2"/>
  <c r="J53" i="2"/>
  <c r="L52" i="2"/>
  <c r="J52" i="2"/>
  <c r="L50" i="2"/>
  <c r="J50" i="2"/>
  <c r="L51" i="2"/>
  <c r="J51" i="2"/>
  <c r="L49" i="2"/>
  <c r="J49" i="2"/>
  <c r="L16" i="6"/>
  <c r="J16" i="6"/>
  <c r="L15" i="6"/>
  <c r="M15" i="6" s="1"/>
  <c r="J15" i="6"/>
  <c r="L7" i="6"/>
  <c r="L14" i="6"/>
  <c r="J14" i="6"/>
  <c r="M14" i="6" s="1"/>
  <c r="L10" i="6"/>
  <c r="L9" i="6"/>
  <c r="L12" i="6"/>
  <c r="L13" i="6"/>
  <c r="M13" i="6" s="1"/>
  <c r="J13" i="6"/>
  <c r="J12" i="6"/>
  <c r="L11" i="6"/>
  <c r="J11" i="6"/>
  <c r="J10" i="6"/>
  <c r="M10" i="6" s="1"/>
  <c r="J9" i="6"/>
  <c r="L8" i="6"/>
  <c r="J8" i="6"/>
  <c r="M8" i="6" s="1"/>
  <c r="L17" i="4"/>
  <c r="J17" i="4"/>
  <c r="M17" i="4"/>
  <c r="J7" i="6"/>
  <c r="M7" i="6" s="1"/>
  <c r="L16" i="4"/>
  <c r="L15" i="4"/>
  <c r="J16" i="4"/>
  <c r="M16" i="4"/>
  <c r="J15" i="4"/>
  <c r="L14" i="4"/>
  <c r="J14" i="4"/>
  <c r="M14" i="4" s="1"/>
  <c r="L5" i="6"/>
  <c r="L4" i="6"/>
  <c r="J5" i="6"/>
  <c r="J4" i="6"/>
  <c r="L3" i="6"/>
  <c r="J3" i="6"/>
  <c r="L13" i="4"/>
  <c r="L12" i="4"/>
  <c r="L11" i="4"/>
  <c r="L10" i="4"/>
  <c r="L9" i="4"/>
  <c r="L8" i="4"/>
  <c r="J13" i="4"/>
  <c r="M13" i="4" s="1"/>
  <c r="J12" i="4"/>
  <c r="M12" i="4"/>
  <c r="J11" i="4"/>
  <c r="J10" i="4"/>
  <c r="J9" i="4"/>
  <c r="M9" i="4" s="1"/>
  <c r="J8" i="4"/>
  <c r="M8" i="4" s="1"/>
  <c r="L7" i="4"/>
  <c r="M7" i="4" s="1"/>
  <c r="J7" i="4"/>
  <c r="L6" i="4"/>
  <c r="M6" i="4" s="1"/>
  <c r="J6" i="4"/>
  <c r="L45" i="2"/>
  <c r="J45" i="2"/>
  <c r="L44" i="2"/>
  <c r="J44" i="2"/>
  <c r="L43" i="2"/>
  <c r="J43" i="2"/>
  <c r="L42" i="2"/>
  <c r="J42" i="2"/>
  <c r="J41" i="2"/>
  <c r="L41" i="2"/>
  <c r="L40" i="2"/>
  <c r="J40" i="2"/>
  <c r="J39" i="2"/>
  <c r="L39" i="2"/>
  <c r="L38" i="2"/>
  <c r="J38" i="2"/>
  <c r="L37" i="2"/>
  <c r="J37" i="2"/>
  <c r="L36" i="2"/>
  <c r="J36" i="2"/>
  <c r="L35" i="2"/>
  <c r="J35" i="2"/>
  <c r="M12" i="6"/>
  <c r="M15" i="4"/>
  <c r="M11" i="4"/>
  <c r="M10" i="4"/>
  <c r="L33" i="2"/>
  <c r="J33" i="2"/>
  <c r="L16" i="3"/>
  <c r="L15" i="3"/>
  <c r="J12" i="2"/>
  <c r="L12" i="2"/>
  <c r="J13" i="2"/>
  <c r="L13" i="2"/>
  <c r="J14" i="2"/>
  <c r="L14" i="2"/>
  <c r="J15" i="2"/>
  <c r="L15" i="2"/>
  <c r="J16" i="2"/>
  <c r="L16" i="2"/>
  <c r="J17" i="2"/>
  <c r="L17" i="2"/>
  <c r="J18" i="2"/>
  <c r="L18" i="2"/>
  <c r="J19" i="2"/>
  <c r="L19" i="2"/>
  <c r="J20" i="2"/>
  <c r="L20" i="2"/>
  <c r="J21" i="2"/>
  <c r="L21" i="2"/>
  <c r="J22" i="2"/>
  <c r="L22" i="2"/>
  <c r="J23" i="2"/>
  <c r="L23" i="2"/>
  <c r="J24" i="2"/>
  <c r="L24" i="2"/>
  <c r="J25" i="2"/>
  <c r="L25" i="2"/>
  <c r="J26" i="2"/>
  <c r="L26" i="2"/>
  <c r="J27" i="2"/>
  <c r="L27" i="2"/>
  <c r="J28" i="2"/>
  <c r="L28" i="2"/>
  <c r="J29" i="2"/>
  <c r="L29" i="2"/>
  <c r="J30" i="2"/>
  <c r="L30" i="2"/>
  <c r="J31" i="2"/>
  <c r="L31" i="2"/>
  <c r="L4" i="4"/>
  <c r="M4" i="4" s="1"/>
  <c r="J4" i="4"/>
  <c r="L3" i="4"/>
  <c r="M3" i="4" s="1"/>
  <c r="M5" i="4" s="1"/>
  <c r="E8" i="3" s="1"/>
  <c r="J3" i="4"/>
  <c r="J10" i="2"/>
  <c r="L5" i="2"/>
  <c r="L8" i="2"/>
  <c r="J8" i="2"/>
  <c r="L7" i="2"/>
  <c r="J7" i="2"/>
  <c r="L6" i="2"/>
  <c r="J6" i="2"/>
  <c r="J5" i="2"/>
  <c r="L4" i="2"/>
  <c r="J4" i="2"/>
  <c r="L3" i="2"/>
  <c r="J3" i="2"/>
  <c r="B36" i="3"/>
  <c r="B38" i="3"/>
  <c r="I34" i="3"/>
  <c r="I29" i="3"/>
  <c r="I26" i="3"/>
  <c r="I22" i="3"/>
  <c r="B34" i="3"/>
  <c r="B33" i="3"/>
  <c r="B31" i="3"/>
  <c r="B37" i="3"/>
  <c r="E37" i="3"/>
  <c r="E36" i="3"/>
  <c r="B35" i="3"/>
  <c r="E33" i="3"/>
  <c r="E32" i="3"/>
  <c r="B30" i="3"/>
  <c r="E26" i="3"/>
  <c r="B29" i="3"/>
  <c r="B27" i="3"/>
  <c r="B28" i="3"/>
  <c r="E25" i="3"/>
  <c r="B26" i="3"/>
  <c r="B25" i="3"/>
  <c r="B24" i="3"/>
  <c r="E23" i="3"/>
  <c r="B22" i="3"/>
  <c r="B23" i="3"/>
  <c r="E19" i="3"/>
  <c r="B21" i="3"/>
  <c r="E18" i="3"/>
  <c r="B18" i="3"/>
  <c r="B19" i="3"/>
  <c r="B20" i="3"/>
  <c r="B17" i="3"/>
  <c r="E16" i="3"/>
  <c r="B16" i="3"/>
  <c r="B15" i="3"/>
  <c r="B14" i="3"/>
  <c r="L9" i="3"/>
  <c r="I19" i="1"/>
  <c r="I18" i="1"/>
  <c r="I17" i="1"/>
  <c r="H16" i="1"/>
  <c r="I16" i="1"/>
  <c r="I15" i="1"/>
  <c r="J20" i="1" s="1"/>
  <c r="I13" i="1"/>
  <c r="I14" i="1"/>
  <c r="H11" i="1"/>
  <c r="I11" i="1"/>
  <c r="I10" i="1"/>
  <c r="H9" i="1"/>
  <c r="I9" i="1"/>
  <c r="I8" i="1"/>
  <c r="H7" i="1"/>
  <c r="I7" i="1"/>
  <c r="J12" i="1" s="1"/>
  <c r="H6" i="1"/>
  <c r="I6" i="1"/>
  <c r="I4" i="1"/>
  <c r="I3" i="1"/>
  <c r="J5" i="1" s="1"/>
  <c r="M18" i="4" l="1"/>
  <c r="E10" i="3" s="1"/>
  <c r="E39" i="3" s="1"/>
  <c r="E41" i="3" s="1"/>
  <c r="M5" i="6"/>
  <c r="M11" i="6"/>
  <c r="M3" i="6"/>
  <c r="M17" i="6" s="1"/>
  <c r="I10" i="3" s="1"/>
  <c r="I38" i="3" s="1"/>
  <c r="L14" i="3" s="1"/>
  <c r="I41" i="3" s="1"/>
  <c r="M16" i="6"/>
  <c r="M54" i="2"/>
  <c r="M44" i="2"/>
  <c r="M92" i="2"/>
  <c r="B12" i="3" s="1"/>
  <c r="M4" i="6"/>
  <c r="M9" i="6"/>
  <c r="M12" i="2"/>
  <c r="M58" i="2"/>
  <c r="M60" i="2"/>
  <c r="M66" i="2"/>
  <c r="M68" i="2"/>
  <c r="M4" i="2"/>
  <c r="M5" i="2"/>
  <c r="M13" i="2"/>
  <c r="M26" i="2"/>
  <c r="M70" i="2"/>
  <c r="M20" i="2"/>
  <c r="M14" i="2"/>
  <c r="M35" i="2"/>
  <c r="M43" i="2"/>
  <c r="M45" i="2"/>
  <c r="M51" i="2"/>
  <c r="M52" i="2"/>
  <c r="M59" i="2"/>
  <c r="M63" i="2"/>
  <c r="M69" i="2"/>
  <c r="M55" i="2"/>
  <c r="M29" i="2"/>
  <c r="M27" i="2"/>
  <c r="M25" i="2"/>
  <c r="M23" i="2"/>
  <c r="M21" i="2"/>
  <c r="M36" i="2"/>
  <c r="M38" i="2"/>
  <c r="M40" i="2"/>
  <c r="M42" i="2"/>
  <c r="M50" i="2"/>
  <c r="M53" i="2"/>
  <c r="M57" i="2"/>
  <c r="M10" i="2"/>
  <c r="M30" i="2"/>
  <c r="M17" i="2"/>
  <c r="M15" i="2"/>
  <c r="M37" i="2"/>
  <c r="M39" i="2"/>
  <c r="M41" i="2"/>
  <c r="M56" i="2"/>
  <c r="M28" i="2"/>
  <c r="M24" i="2"/>
  <c r="M22" i="2"/>
  <c r="M18" i="2"/>
  <c r="M3" i="2"/>
  <c r="M7" i="2"/>
  <c r="M31" i="2"/>
  <c r="M33" i="2"/>
  <c r="M62" i="2"/>
  <c r="M6" i="2"/>
  <c r="M8" i="2"/>
  <c r="M19" i="2"/>
  <c r="M16" i="2"/>
  <c r="M64" i="2"/>
  <c r="M49" i="2"/>
  <c r="M61" i="2"/>
  <c r="M65" i="2"/>
  <c r="M67" i="2"/>
  <c r="M11" i="2" l="1"/>
  <c r="B8" i="3" s="1"/>
  <c r="M48" i="2"/>
  <c r="B10" i="3" s="1"/>
  <c r="M34" i="2"/>
  <c r="B9" i="3" s="1"/>
  <c r="M76" i="2"/>
  <c r="B11" i="3" s="1"/>
  <c r="B40" i="3" l="1"/>
  <c r="L13" i="3" l="1"/>
  <c r="L18" i="3" s="1"/>
  <c r="L21" i="3" s="1"/>
  <c r="B42" i="3" l="1"/>
</calcChain>
</file>

<file path=xl/sharedStrings.xml><?xml version="1.0" encoding="utf-8"?>
<sst xmlns="http://schemas.openxmlformats.org/spreadsheetml/2006/main" count="1478" uniqueCount="289">
  <si>
    <t>CODE</t>
  </si>
  <si>
    <t>QTY</t>
  </si>
  <si>
    <t>UNIT</t>
  </si>
  <si>
    <t>DESCRIPTION</t>
  </si>
  <si>
    <t>UNIT PRICE</t>
  </si>
  <si>
    <t>AMOUNT</t>
  </si>
  <si>
    <t>KG</t>
  </si>
  <si>
    <t>ground beef</t>
  </si>
  <si>
    <t>NO RCV</t>
  </si>
  <si>
    <t>RCV-0001</t>
  </si>
  <si>
    <t>JAR</t>
  </si>
  <si>
    <t>french clasic yellow mustard</t>
  </si>
  <si>
    <t>TGL</t>
  </si>
  <si>
    <t>RCV-0005</t>
  </si>
  <si>
    <t>LTR</t>
  </si>
  <si>
    <t>Fresh milk UHT</t>
  </si>
  <si>
    <t>BTL</t>
  </si>
  <si>
    <t>pewarna makanan Kuning tua</t>
  </si>
  <si>
    <t>pewarna makanan Orange</t>
  </si>
  <si>
    <t>tepung Cakra</t>
  </si>
  <si>
    <t>SUPPLIER</t>
  </si>
  <si>
    <t>INDOGUNA</t>
  </si>
  <si>
    <t>TUNAS BUAH</t>
  </si>
  <si>
    <t>RCV-0006</t>
  </si>
  <si>
    <t>ken's mayonaise</t>
  </si>
  <si>
    <t>RCV-0009</t>
  </si>
  <si>
    <t>TIN</t>
  </si>
  <si>
    <t>Fallot Mustard De Dijon</t>
  </si>
  <si>
    <t>Anchor Cream Cheese</t>
  </si>
  <si>
    <t>PACk</t>
  </si>
  <si>
    <t>Igor Gorgonzola Dop Dolce</t>
  </si>
  <si>
    <t>Criss Cut Fries</t>
  </si>
  <si>
    <t>Shoestring Plain (polos)</t>
  </si>
  <si>
    <t>RCV-0010</t>
  </si>
  <si>
    <t>KARUNIA</t>
  </si>
  <si>
    <t>GAL</t>
  </si>
  <si>
    <t>French's Cattlemen's BBQ Sauce</t>
  </si>
  <si>
    <t>RCV-0011</t>
  </si>
  <si>
    <t>ANTA TIRTA</t>
  </si>
  <si>
    <t>PACK</t>
  </si>
  <si>
    <t>Dairymont Coloured Cheese Slices</t>
  </si>
  <si>
    <t>Date</t>
  </si>
  <si>
    <t>Total</t>
  </si>
  <si>
    <t>Kitchen (Food)</t>
  </si>
  <si>
    <t>Category</t>
  </si>
  <si>
    <t>Control Variant, OK!</t>
  </si>
  <si>
    <t>DATE</t>
  </si>
  <si>
    <t>ITEM</t>
  </si>
  <si>
    <t>Purchase UOM</t>
  </si>
  <si>
    <t>Based UOM</t>
  </si>
  <si>
    <t>Purchase UOM Based</t>
  </si>
  <si>
    <t>PRICE</t>
  </si>
  <si>
    <t>CATEGORY</t>
  </si>
  <si>
    <t>UOM</t>
  </si>
  <si>
    <t>FOOD</t>
  </si>
  <si>
    <t>Kitchen (Supplies)</t>
  </si>
  <si>
    <t>Summary Total Receiving (Supplies)</t>
  </si>
  <si>
    <t>Summary Total Receiving (Food)</t>
  </si>
  <si>
    <t>Cleaning (Supplies)</t>
  </si>
  <si>
    <t>Pack</t>
  </si>
  <si>
    <t>Summary Total Receiving (Kitchen -RND)</t>
  </si>
  <si>
    <t>Kitchen (Rnd)</t>
  </si>
  <si>
    <t>Btl</t>
  </si>
  <si>
    <t>Pcs</t>
  </si>
  <si>
    <t>Lembar</t>
  </si>
  <si>
    <t>Mentari Pagi</t>
  </si>
  <si>
    <t>Foto Copy Bin card</t>
  </si>
  <si>
    <t>RCV-03071</t>
  </si>
  <si>
    <t>Tunas Buah</t>
  </si>
  <si>
    <t>Daun Parsley</t>
  </si>
  <si>
    <t>Kg</t>
  </si>
  <si>
    <t>Gram</t>
  </si>
  <si>
    <t>Daun Dill</t>
  </si>
  <si>
    <t xml:space="preserve">Daun Bawang </t>
  </si>
  <si>
    <t>Pewarna Kuning Tua</t>
  </si>
  <si>
    <t>Pewarna Orange</t>
  </si>
  <si>
    <t>Telur Ayam Local</t>
  </si>
  <si>
    <t>RCV-03073</t>
  </si>
  <si>
    <t>RCV-03074</t>
  </si>
  <si>
    <t>Adiwangsa</t>
  </si>
  <si>
    <t>Boneless Paha Kulit</t>
  </si>
  <si>
    <t>RCV-03075</t>
  </si>
  <si>
    <t>Aqua Galon</t>
  </si>
  <si>
    <t>Gal</t>
  </si>
  <si>
    <t>RCV-03076</t>
  </si>
  <si>
    <t>Paprika Merah</t>
  </si>
  <si>
    <t>Paprika Hijau</t>
  </si>
  <si>
    <t>Daun Coriander</t>
  </si>
  <si>
    <t>Lemon import</t>
  </si>
  <si>
    <t>Garlic Kupas</t>
  </si>
  <si>
    <t>Tomat Merah</t>
  </si>
  <si>
    <t>Tomato Sauce Delmonte</t>
  </si>
  <si>
    <t>RCV-03077</t>
  </si>
  <si>
    <t>RCV-03078</t>
  </si>
  <si>
    <t>RCV-03079</t>
  </si>
  <si>
    <t>Sukanda</t>
  </si>
  <si>
    <t>Umammi Smoked Sausage</t>
  </si>
  <si>
    <t>Fruit Strawberry 1kg</t>
  </si>
  <si>
    <t>Apple Donut Bakery</t>
  </si>
  <si>
    <t>Hot Dog Bun</t>
  </si>
  <si>
    <t>Indoguna</t>
  </si>
  <si>
    <t>Ground Beef</t>
  </si>
  <si>
    <t>CIAO Tomato Peeled 2500gr</t>
  </si>
  <si>
    <t>Can</t>
  </si>
  <si>
    <t>Hause Kari Ala Japan</t>
  </si>
  <si>
    <t>RCV-03080</t>
  </si>
  <si>
    <t>RCV-03081</t>
  </si>
  <si>
    <t>Scenia</t>
  </si>
  <si>
    <t>Beef Bacon Slice</t>
  </si>
  <si>
    <t>UD.Amindo</t>
  </si>
  <si>
    <t>Pickle gherkins</t>
  </si>
  <si>
    <t>Saporito Jalapeno Slice</t>
  </si>
  <si>
    <t>RCV-03082</t>
  </si>
  <si>
    <t>Toko Pedia</t>
  </si>
  <si>
    <t>Tortilla Sedang 22cm</t>
  </si>
  <si>
    <t>MO Bucket Set @20lt</t>
  </si>
  <si>
    <t>Ongkir</t>
  </si>
  <si>
    <t>Periode Agustus'21</t>
  </si>
  <si>
    <t>Chilli Sauce Delmonte</t>
  </si>
  <si>
    <t>RCV-03083</t>
  </si>
  <si>
    <t>Pt.Soejasch Bali</t>
  </si>
  <si>
    <t>Beef Bacon SliceHalal Beef Pastrami</t>
  </si>
  <si>
    <t>RCV-03101</t>
  </si>
  <si>
    <t>RCV-03102</t>
  </si>
  <si>
    <t>Jalapeno Fresh</t>
  </si>
  <si>
    <t xml:space="preserve">Bawang Merah </t>
  </si>
  <si>
    <t>RCV-03103</t>
  </si>
  <si>
    <t>RCV-03104</t>
  </si>
  <si>
    <t>RCV-03105</t>
  </si>
  <si>
    <t>RCV-03106</t>
  </si>
  <si>
    <t>Pangan Lestari</t>
  </si>
  <si>
    <t>Bun Burger Lawless</t>
  </si>
  <si>
    <t>Karunia Sukses</t>
  </si>
  <si>
    <t>Mazetta Capote Cepers</t>
  </si>
  <si>
    <t>Ctn</t>
  </si>
  <si>
    <t>French Cattlemen BBQ Sauce 18,9L</t>
  </si>
  <si>
    <t>French Worchestershire</t>
  </si>
  <si>
    <t>Classic Yellow Mustard</t>
  </si>
  <si>
    <t>Toko Rico</t>
  </si>
  <si>
    <t>P.Sampah 60x100</t>
  </si>
  <si>
    <t>P.Sampah 90x120</t>
  </si>
  <si>
    <t xml:space="preserve">P.Wrapping </t>
  </si>
  <si>
    <t>Roll</t>
  </si>
  <si>
    <t>Plastik PE. 40x60</t>
  </si>
  <si>
    <t>Plastik Bun Burger</t>
  </si>
  <si>
    <t>Tali Rafia</t>
  </si>
  <si>
    <t>Bublle Wrap</t>
  </si>
  <si>
    <t>Label Tom&amp;Jerry</t>
  </si>
  <si>
    <t>Gold Leaf Sheet For Decarating Cake</t>
  </si>
  <si>
    <t xml:space="preserve">Gold Edible Leaf Sheet </t>
  </si>
  <si>
    <t>RCV-03107</t>
  </si>
  <si>
    <t>Grand Lucky</t>
  </si>
  <si>
    <t>Baygon Liq Elect ORNG</t>
  </si>
  <si>
    <t>Office (Supplies)</t>
  </si>
  <si>
    <t>Baygon Liq Electric Cucallu Ref 33ml</t>
  </si>
  <si>
    <t>Baygon Le Starter Lov Ref 22ml</t>
  </si>
  <si>
    <t xml:space="preserve">Jungle Juice Pincaple </t>
  </si>
  <si>
    <t>Baygon Liq ELKTR 45 Dual Set</t>
  </si>
  <si>
    <t>RCV-03108</t>
  </si>
  <si>
    <t xml:space="preserve">Wansui NS </t>
  </si>
  <si>
    <t>Daun Rosemary</t>
  </si>
  <si>
    <t>Kol Bulat</t>
  </si>
  <si>
    <t xml:space="preserve">Daun Basil </t>
  </si>
  <si>
    <t>Daun Thyme</t>
  </si>
  <si>
    <t>RCV-03109</t>
  </si>
  <si>
    <t xml:space="preserve">Diamond Jungle Juice orange </t>
  </si>
  <si>
    <t>Koepo-Koepo Jahe Bubuk</t>
  </si>
  <si>
    <t>Ferrero Rochar 35gr</t>
  </si>
  <si>
    <t>RCV-03110</t>
  </si>
  <si>
    <t>Bawang Bombay</t>
  </si>
  <si>
    <t>Lemon Import</t>
  </si>
  <si>
    <t>Cabe Rawit Merah</t>
  </si>
  <si>
    <t>RCV-03111</t>
  </si>
  <si>
    <t>Boneeles Paha Kulit</t>
  </si>
  <si>
    <t>RCV-03112</t>
  </si>
  <si>
    <t>RCV-03113</t>
  </si>
  <si>
    <t>RCV-03114</t>
  </si>
  <si>
    <t>RCV-03115</t>
  </si>
  <si>
    <t>RCV-03116</t>
  </si>
  <si>
    <t>Sepakat Merrobati</t>
  </si>
  <si>
    <t>Sirloin Slice</t>
  </si>
  <si>
    <t>AntaTirta</t>
  </si>
  <si>
    <t>Dairmont Red Cheese Slice 12x1</t>
  </si>
  <si>
    <t>Prambanan</t>
  </si>
  <si>
    <t>Fresh Milk UHT</t>
  </si>
  <si>
    <t>Keju Martabak</t>
  </si>
  <si>
    <t xml:space="preserve">Parmesan Cheese </t>
  </si>
  <si>
    <t>CIAO Tomato Paste 800gr</t>
  </si>
  <si>
    <t>Mustard Dijon</t>
  </si>
  <si>
    <t>Pail</t>
  </si>
  <si>
    <t>RCV-03117</t>
  </si>
  <si>
    <t>Halal Beef Pastrami</t>
  </si>
  <si>
    <t>Halal Beef Frank's 23cm</t>
  </si>
  <si>
    <t>RCV-03118</t>
  </si>
  <si>
    <t>Breadcrumbs</t>
  </si>
  <si>
    <t>Ball</t>
  </si>
  <si>
    <t>RCV-03119</t>
  </si>
  <si>
    <t>Anu Prima Jaya</t>
  </si>
  <si>
    <t>Minyak Goreng Bimoli</t>
  </si>
  <si>
    <t>Garam Refina</t>
  </si>
  <si>
    <t>Cipta Mandiri</t>
  </si>
  <si>
    <t>Hellmenns Real Mayonaise</t>
  </si>
  <si>
    <t>RCV-03121</t>
  </si>
  <si>
    <t>RCV-03122</t>
  </si>
  <si>
    <t>RCV-03123</t>
  </si>
  <si>
    <t>RCV-03124</t>
  </si>
  <si>
    <t>Sumber Alam Anugrah</t>
  </si>
  <si>
    <t>Tepung Lencana Merah</t>
  </si>
  <si>
    <t>RCV-03125</t>
  </si>
  <si>
    <t>RCV-03126</t>
  </si>
  <si>
    <t xml:space="preserve">Scenia </t>
  </si>
  <si>
    <t>French's BBQ Sauce 18.9 L</t>
  </si>
  <si>
    <t>RCV-03127</t>
  </si>
  <si>
    <t>Nz.Mozarella Potong 10x2</t>
  </si>
  <si>
    <t>Baker Mix Butter Blending</t>
  </si>
  <si>
    <t>RCV-03128</t>
  </si>
  <si>
    <t>RCV-03129</t>
  </si>
  <si>
    <t>Nyos Brisket</t>
  </si>
  <si>
    <t xml:space="preserve">Smoked Brisket </t>
  </si>
  <si>
    <t>Jahe Putih</t>
  </si>
  <si>
    <t>Pear Kuning</t>
  </si>
  <si>
    <t>Daun Basil</t>
  </si>
  <si>
    <t>Kecap Inggris</t>
  </si>
  <si>
    <t>Kecap Bango 620ml</t>
  </si>
  <si>
    <t>Blue Band</t>
  </si>
  <si>
    <t>Wortel</t>
  </si>
  <si>
    <t>Kentang</t>
  </si>
  <si>
    <t>Buncis besar</t>
  </si>
  <si>
    <t>Slada kriting</t>
  </si>
  <si>
    <t>Red Onion</t>
  </si>
  <si>
    <t>Kacang Polong Frozen</t>
  </si>
  <si>
    <t>RCV-03130</t>
  </si>
  <si>
    <t>RCV-03131</t>
  </si>
  <si>
    <t>Boneeles Dada</t>
  </si>
  <si>
    <t>RCV-03132</t>
  </si>
  <si>
    <t>RCV-03133</t>
  </si>
  <si>
    <t>Cooking Cream Special  1lt</t>
  </si>
  <si>
    <t>RCV-03134</t>
  </si>
  <si>
    <t>RCV-03135</t>
  </si>
  <si>
    <t>Alfamart</t>
  </si>
  <si>
    <t>Ritz Send Chees</t>
  </si>
  <si>
    <t>NS.CRSP CRK225G</t>
  </si>
  <si>
    <t xml:space="preserve"> KG Saltchs 200g</t>
  </si>
  <si>
    <t>RCV-03136</t>
  </si>
  <si>
    <t>CIAO Tomato Peleed 2500gr</t>
  </si>
  <si>
    <t>RCV-03137</t>
  </si>
  <si>
    <t>RCV-03138</t>
  </si>
  <si>
    <t>RCV-03139</t>
  </si>
  <si>
    <t>RCV-03140</t>
  </si>
  <si>
    <t>RCV-03141</t>
  </si>
  <si>
    <t>Revo Print</t>
  </si>
  <si>
    <t>Sticker Lawless Kitchen</t>
  </si>
  <si>
    <t>Sticker Bun Burger</t>
  </si>
  <si>
    <t>Sticker Beef Patty</t>
  </si>
  <si>
    <t>Mulia Raya</t>
  </si>
  <si>
    <t>RCV-03142</t>
  </si>
  <si>
    <t>RCV-03143</t>
  </si>
  <si>
    <t xml:space="preserve">Lime Fruit </t>
  </si>
  <si>
    <t>Chiili Sauce Delmonte</t>
  </si>
  <si>
    <t>RCV-03144</t>
  </si>
  <si>
    <t>RCV-03145</t>
  </si>
  <si>
    <t>Jungle Juice 6x1</t>
  </si>
  <si>
    <t>Margarin Satin 20kg</t>
  </si>
  <si>
    <t>RCV-03146</t>
  </si>
  <si>
    <t>RCV-03147</t>
  </si>
  <si>
    <t>RCV-03148</t>
  </si>
  <si>
    <t>Apple Donut &amp; Bakerry</t>
  </si>
  <si>
    <t>Hot Dog Bun Lawless</t>
  </si>
  <si>
    <t xml:space="preserve">Pt.Soejach </t>
  </si>
  <si>
    <t>RCV-03149</t>
  </si>
  <si>
    <t>Shoestring Plain</t>
  </si>
  <si>
    <t>RCV-03150</t>
  </si>
  <si>
    <t>RCV-03084</t>
  </si>
  <si>
    <t>Tokopedia</t>
  </si>
  <si>
    <t>Fun Baking Edible Gold -10pcs</t>
  </si>
  <si>
    <t>RCV-03085</t>
  </si>
  <si>
    <t>RCV-03086</t>
  </si>
  <si>
    <t>RCV-03087</t>
  </si>
  <si>
    <t>RCV-03088</t>
  </si>
  <si>
    <t>Alam Mustika Usaha</t>
  </si>
  <si>
    <t>Gas LPG 50kg</t>
  </si>
  <si>
    <t>Tbng</t>
  </si>
  <si>
    <t>RCV-03089</t>
  </si>
  <si>
    <t>CV.Baroma</t>
  </si>
  <si>
    <t>Black Papper Crushed</t>
  </si>
  <si>
    <t>RCV-03090</t>
  </si>
  <si>
    <t>RCV-03091</t>
  </si>
  <si>
    <t>Butter Bega 20x1</t>
  </si>
  <si>
    <t>Kol Putih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</si>
</sst>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[$-F800]dddd\,\ mmmm\ dd\,\ yyyy"/>
    <numFmt numFmtId="167" formatCode="_([$Rp-421]* #,##0_);_([$Rp-421]* \(#,##0\);_([$Rp-421]* &quot;-&quot;_);_(@_)"/>
    <numFmt numFmtId="168" formatCode="_(* #,##0.000_);_(* \(#,##0.000\);_(* &quot;-&quot;??_);_(@_)"/>
    <numFmt numFmtId="171" formatCode="yyyy\-mm\-d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43" fontId="3" fillId="0" borderId="1" xfId="1" applyFont="1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  <xf numFmtId="0" fontId="3" fillId="0" borderId="0" xfId="0" applyFont="1"/>
    <xf numFmtId="43" fontId="3" fillId="0" borderId="0" xfId="0" applyNumberFormat="1" applyFont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43" fontId="0" fillId="0" borderId="1" xfId="1" applyFont="1" applyBorder="1" applyAlignment="1">
      <alignment horizontal="center" readingOrder="1"/>
    </xf>
    <xf numFmtId="0" fontId="0" fillId="0" borderId="0" xfId="0" applyAlignment="1">
      <alignment horizontal="center" readingOrder="1"/>
    </xf>
    <xf numFmtId="43" fontId="0" fillId="0" borderId="1" xfId="1" applyFont="1" applyBorder="1" applyAlignment="1">
      <alignment horizontal="center"/>
    </xf>
    <xf numFmtId="43" fontId="0" fillId="0" borderId="0" xfId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1" xfId="0" applyNumberFormat="1" applyBorder="1"/>
    <xf numFmtId="167" fontId="3" fillId="2" borderId="4" xfId="0" applyNumberFormat="1" applyFont="1" applyFill="1" applyBorder="1"/>
    <xf numFmtId="43" fontId="0" fillId="0" borderId="1" xfId="1" applyFont="1" applyFill="1" applyBorder="1" applyAlignment="1">
      <alignment horizontal="center"/>
    </xf>
    <xf numFmtId="43" fontId="0" fillId="0" borderId="0" xfId="1" applyFont="1" applyFill="1" applyAlignment="1">
      <alignment horizontal="center"/>
    </xf>
    <xf numFmtId="167" fontId="0" fillId="0" borderId="0" xfId="0" applyNumberFormat="1"/>
    <xf numFmtId="0" fontId="6" fillId="0" borderId="0" xfId="0" applyFont="1" applyAlignment="1">
      <alignment horizontal="center" vertical="center"/>
    </xf>
    <xf numFmtId="43" fontId="0" fillId="0" borderId="1" xfId="1" applyNumberFormat="1" applyFont="1" applyBorder="1"/>
    <xf numFmtId="43" fontId="0" fillId="0" borderId="0" xfId="1" applyNumberFormat="1" applyFont="1"/>
    <xf numFmtId="43" fontId="7" fillId="2" borderId="1" xfId="1" applyFont="1" applyFill="1" applyBorder="1" applyAlignment="1">
      <alignment horizontal="center" vertical="top" wrapText="1" readingOrder="1"/>
    </xf>
    <xf numFmtId="0" fontId="7" fillId="2" borderId="1" xfId="1" applyNumberFormat="1" applyFont="1" applyFill="1" applyBorder="1" applyAlignment="1">
      <alignment horizontal="center" vertical="top" wrapText="1"/>
    </xf>
    <xf numFmtId="43" fontId="7" fillId="2" borderId="1" xfId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3" fontId="3" fillId="3" borderId="0" xfId="1" applyNumberFormat="1" applyFont="1" applyFill="1"/>
    <xf numFmtId="43" fontId="3" fillId="3" borderId="0" xfId="0" applyNumberFormat="1" applyFont="1" applyFill="1"/>
    <xf numFmtId="43" fontId="9" fillId="3" borderId="0" xfId="1" applyNumberFormat="1" applyFont="1" applyFill="1"/>
    <xf numFmtId="0" fontId="7" fillId="2" borderId="1" xfId="1" applyNumberFormat="1" applyFont="1" applyFill="1" applyBorder="1" applyAlignment="1">
      <alignment horizontal="center" vertical="top" wrapText="1" readingOrder="1"/>
    </xf>
    <xf numFmtId="0" fontId="8" fillId="2" borderId="1" xfId="1" applyNumberFormat="1" applyFont="1" applyFill="1" applyBorder="1" applyAlignment="1">
      <alignment vertical="top" wrapText="1"/>
    </xf>
    <xf numFmtId="168" fontId="7" fillId="2" borderId="1" xfId="1" applyNumberFormat="1" applyFont="1" applyFill="1" applyBorder="1" applyAlignment="1">
      <alignment horizontal="center" vertical="center" wrapText="1" readingOrder="1"/>
    </xf>
    <xf numFmtId="43" fontId="7" fillId="2" borderId="1" xfId="1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71" fontId="0" fillId="0" borderId="1" xfId="0" applyNumberFormat="1" applyBorder="1" applyAlignment="1">
      <alignment horizontal="center"/>
    </xf>
  </cellXfs>
  <cellStyles count="4">
    <cellStyle name="Comma 2" xfId="3" xr:uid="{00000000-0005-0000-0000-000001000000}"/>
    <cellStyle name="Koma" xfId="1" builtinId="3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J22"/>
  <sheetViews>
    <sheetView workbookViewId="0">
      <selection activeCell="C14" sqref="C14"/>
    </sheetView>
  </sheetViews>
  <sheetFormatPr defaultColWidth="8.85546875" defaultRowHeight="15" x14ac:dyDescent="0.25"/>
  <cols>
    <col min="1" max="1" width="18.42578125" style="2" bestFit="1" customWidth="1"/>
    <col min="2" max="2" width="9.28515625" style="2" bestFit="1" customWidth="1"/>
    <col min="3" max="3" width="14.7109375" style="2" customWidth="1"/>
    <col min="4" max="4" width="10.85546875" customWidth="1"/>
    <col min="5" max="6" width="9.140625" style="2"/>
    <col min="7" max="7" width="32" bestFit="1" customWidth="1"/>
    <col min="8" max="8" width="13.28515625" style="1" bestFit="1" customWidth="1"/>
    <col min="9" max="9" width="14.28515625" bestFit="1" customWidth="1"/>
    <col min="10" max="10" width="15.28515625" style="9" bestFit="1" customWidth="1"/>
  </cols>
  <sheetData>
    <row r="2" spans="1:10" s="2" customFormat="1" x14ac:dyDescent="0.25">
      <c r="A2" s="4" t="s">
        <v>12</v>
      </c>
      <c r="B2" s="4" t="s">
        <v>8</v>
      </c>
      <c r="C2" s="4" t="s">
        <v>20</v>
      </c>
      <c r="D2" s="4" t="s">
        <v>0</v>
      </c>
      <c r="E2" s="4" t="s">
        <v>1</v>
      </c>
      <c r="F2" s="4" t="s">
        <v>2</v>
      </c>
      <c r="G2" s="4" t="s">
        <v>3</v>
      </c>
      <c r="H2" s="5" t="s">
        <v>4</v>
      </c>
      <c r="I2" s="4" t="s">
        <v>5</v>
      </c>
      <c r="J2" s="3"/>
    </row>
    <row r="3" spans="1:10" x14ac:dyDescent="0.25">
      <c r="A3" s="11">
        <v>43732</v>
      </c>
      <c r="B3" s="12" t="s">
        <v>9</v>
      </c>
      <c r="C3" s="12" t="s">
        <v>21</v>
      </c>
      <c r="D3" s="6"/>
      <c r="E3" s="12">
        <v>200</v>
      </c>
      <c r="F3" s="12" t="s">
        <v>6</v>
      </c>
      <c r="G3" s="6" t="s">
        <v>7</v>
      </c>
      <c r="H3" s="7">
        <v>73000</v>
      </c>
      <c r="I3" s="8">
        <f>H3*E3</f>
        <v>14600000</v>
      </c>
    </row>
    <row r="4" spans="1:10" x14ac:dyDescent="0.25">
      <c r="A4" s="11">
        <v>43732</v>
      </c>
      <c r="B4" s="12" t="s">
        <v>9</v>
      </c>
      <c r="C4" s="12" t="s">
        <v>21</v>
      </c>
      <c r="D4" s="6"/>
      <c r="E4" s="12">
        <v>2</v>
      </c>
      <c r="F4" s="12" t="s">
        <v>10</v>
      </c>
      <c r="G4" s="6" t="s">
        <v>11</v>
      </c>
      <c r="H4" s="7">
        <v>144000</v>
      </c>
      <c r="I4" s="8">
        <f>H4*E4</f>
        <v>288000</v>
      </c>
    </row>
    <row r="5" spans="1:10" x14ac:dyDescent="0.25">
      <c r="J5" s="10">
        <f>SUM(I3:I4)</f>
        <v>14888000</v>
      </c>
    </row>
    <row r="6" spans="1:10" x14ac:dyDescent="0.25">
      <c r="A6" s="11">
        <v>43734</v>
      </c>
      <c r="B6" s="12" t="s">
        <v>13</v>
      </c>
      <c r="C6" s="12" t="s">
        <v>22</v>
      </c>
      <c r="D6" s="6"/>
      <c r="E6" s="12">
        <v>24</v>
      </c>
      <c r="F6" s="12" t="s">
        <v>14</v>
      </c>
      <c r="G6" s="6" t="s">
        <v>15</v>
      </c>
      <c r="H6" s="7">
        <f>216000/24</f>
        <v>9000</v>
      </c>
      <c r="I6" s="8">
        <f t="shared" ref="I6:I11" si="0">H6*E6</f>
        <v>216000</v>
      </c>
    </row>
    <row r="7" spans="1:10" x14ac:dyDescent="0.25">
      <c r="A7" s="11">
        <v>43734</v>
      </c>
      <c r="B7" s="12" t="s">
        <v>13</v>
      </c>
      <c r="C7" s="12" t="s">
        <v>22</v>
      </c>
      <c r="D7" s="6"/>
      <c r="E7" s="12">
        <v>18</v>
      </c>
      <c r="F7" s="12" t="s">
        <v>16</v>
      </c>
      <c r="G7" s="6" t="s">
        <v>17</v>
      </c>
      <c r="H7" s="7">
        <f>39000/6</f>
        <v>6500</v>
      </c>
      <c r="I7" s="8">
        <f t="shared" si="0"/>
        <v>117000</v>
      </c>
    </row>
    <row r="8" spans="1:10" x14ac:dyDescent="0.25">
      <c r="A8" s="11">
        <v>43734</v>
      </c>
      <c r="B8" s="12" t="s">
        <v>13</v>
      </c>
      <c r="C8" s="12" t="s">
        <v>22</v>
      </c>
      <c r="D8" s="6"/>
      <c r="E8" s="12">
        <v>6</v>
      </c>
      <c r="F8" s="12" t="s">
        <v>16</v>
      </c>
      <c r="G8" s="6" t="s">
        <v>18</v>
      </c>
      <c r="H8" s="7">
        <v>6500</v>
      </c>
      <c r="I8" s="8">
        <f t="shared" si="0"/>
        <v>39000</v>
      </c>
    </row>
    <row r="9" spans="1:10" x14ac:dyDescent="0.25">
      <c r="A9" s="11">
        <v>43734</v>
      </c>
      <c r="B9" s="12" t="s">
        <v>13</v>
      </c>
      <c r="C9" s="12" t="s">
        <v>22</v>
      </c>
      <c r="D9" s="6"/>
      <c r="E9" s="12">
        <v>12</v>
      </c>
      <c r="F9" s="12" t="s">
        <v>6</v>
      </c>
      <c r="G9" s="6" t="s">
        <v>19</v>
      </c>
      <c r="H9" s="7">
        <f>106000/12</f>
        <v>8833.3333333333339</v>
      </c>
      <c r="I9" s="8">
        <f t="shared" si="0"/>
        <v>106000</v>
      </c>
    </row>
    <row r="10" spans="1:10" x14ac:dyDescent="0.25">
      <c r="A10" s="11">
        <v>43734</v>
      </c>
      <c r="B10" s="12" t="s">
        <v>23</v>
      </c>
      <c r="C10" s="12" t="s">
        <v>21</v>
      </c>
      <c r="D10" s="6"/>
      <c r="E10" s="12">
        <v>200</v>
      </c>
      <c r="F10" s="12" t="s">
        <v>6</v>
      </c>
      <c r="G10" s="6" t="s">
        <v>7</v>
      </c>
      <c r="H10" s="7">
        <v>73000</v>
      </c>
      <c r="I10" s="8">
        <f t="shared" si="0"/>
        <v>14600000</v>
      </c>
    </row>
    <row r="11" spans="1:10" x14ac:dyDescent="0.25">
      <c r="A11" s="11">
        <v>43734</v>
      </c>
      <c r="B11" s="12" t="s">
        <v>23</v>
      </c>
      <c r="C11" s="12" t="s">
        <v>21</v>
      </c>
      <c r="D11" s="6"/>
      <c r="E11" s="12">
        <v>8</v>
      </c>
      <c r="F11" s="12" t="s">
        <v>10</v>
      </c>
      <c r="G11" s="6" t="s">
        <v>24</v>
      </c>
      <c r="H11" s="7">
        <f>1488000/E11</f>
        <v>186000</v>
      </c>
      <c r="I11" s="8">
        <f t="shared" si="0"/>
        <v>1488000</v>
      </c>
    </row>
    <row r="12" spans="1:10" x14ac:dyDescent="0.25">
      <c r="J12" s="10">
        <f>SUM(I6:I11)</f>
        <v>16566000</v>
      </c>
    </row>
    <row r="13" spans="1:10" x14ac:dyDescent="0.25">
      <c r="A13" s="11">
        <v>43735</v>
      </c>
      <c r="B13" s="12" t="s">
        <v>25</v>
      </c>
      <c r="C13" s="12" t="s">
        <v>21</v>
      </c>
      <c r="D13" s="6"/>
      <c r="E13" s="12">
        <v>1</v>
      </c>
      <c r="F13" s="12" t="s">
        <v>26</v>
      </c>
      <c r="G13" s="6" t="s">
        <v>27</v>
      </c>
      <c r="H13" s="7">
        <v>83000.5</v>
      </c>
      <c r="I13" s="8">
        <f t="shared" ref="I13:I19" si="1">H13*E13</f>
        <v>83000.5</v>
      </c>
    </row>
    <row r="14" spans="1:10" x14ac:dyDescent="0.25">
      <c r="A14" s="11">
        <v>43735</v>
      </c>
      <c r="B14" s="12" t="s">
        <v>25</v>
      </c>
      <c r="C14" s="12" t="s">
        <v>21</v>
      </c>
      <c r="D14" s="6"/>
      <c r="E14" s="12">
        <v>1</v>
      </c>
      <c r="F14" s="12" t="s">
        <v>6</v>
      </c>
      <c r="G14" s="6" t="s">
        <v>28</v>
      </c>
      <c r="H14" s="7">
        <v>118000.3</v>
      </c>
      <c r="I14" s="8">
        <f t="shared" si="1"/>
        <v>118000.3</v>
      </c>
    </row>
    <row r="15" spans="1:10" x14ac:dyDescent="0.25">
      <c r="A15" s="11">
        <v>43735</v>
      </c>
      <c r="B15" s="12" t="s">
        <v>25</v>
      </c>
      <c r="C15" s="12" t="s">
        <v>21</v>
      </c>
      <c r="D15" s="6"/>
      <c r="E15" s="12">
        <v>1</v>
      </c>
      <c r="F15" s="12" t="s">
        <v>29</v>
      </c>
      <c r="G15" s="6" t="s">
        <v>30</v>
      </c>
      <c r="H15" s="7">
        <v>95000.4</v>
      </c>
      <c r="I15" s="8">
        <f t="shared" si="1"/>
        <v>95000.4</v>
      </c>
    </row>
    <row r="16" spans="1:10" x14ac:dyDescent="0.25">
      <c r="A16" s="11">
        <v>43735</v>
      </c>
      <c r="B16" s="12" t="s">
        <v>25</v>
      </c>
      <c r="C16" s="12" t="s">
        <v>21</v>
      </c>
      <c r="D16" s="6"/>
      <c r="E16" s="12">
        <v>13.6</v>
      </c>
      <c r="F16" s="12" t="s">
        <v>6</v>
      </c>
      <c r="G16" s="6" t="s">
        <v>31</v>
      </c>
      <c r="H16" s="7">
        <f>571200.3/13.6</f>
        <v>42000.022058823532</v>
      </c>
      <c r="I16" s="8">
        <f t="shared" si="1"/>
        <v>571200.30000000005</v>
      </c>
    </row>
    <row r="17" spans="1:10" x14ac:dyDescent="0.25">
      <c r="A17" s="11">
        <v>43735</v>
      </c>
      <c r="B17" s="12" t="s">
        <v>25</v>
      </c>
      <c r="C17" s="12" t="s">
        <v>21</v>
      </c>
      <c r="D17" s="6"/>
      <c r="E17" s="12">
        <v>10</v>
      </c>
      <c r="F17" s="12" t="s">
        <v>6</v>
      </c>
      <c r="G17" s="6" t="s">
        <v>32</v>
      </c>
      <c r="H17" s="7">
        <v>21000.1</v>
      </c>
      <c r="I17" s="8">
        <f t="shared" si="1"/>
        <v>210001</v>
      </c>
    </row>
    <row r="18" spans="1:10" x14ac:dyDescent="0.25">
      <c r="A18" s="11">
        <v>43735</v>
      </c>
      <c r="B18" s="12" t="s">
        <v>33</v>
      </c>
      <c r="C18" s="12" t="s">
        <v>34</v>
      </c>
      <c r="D18" s="6"/>
      <c r="E18" s="12">
        <v>2</v>
      </c>
      <c r="F18" s="12" t="s">
        <v>35</v>
      </c>
      <c r="G18" s="6" t="s">
        <v>36</v>
      </c>
      <c r="H18" s="7">
        <v>1100000</v>
      </c>
      <c r="I18" s="8">
        <f t="shared" si="1"/>
        <v>2200000</v>
      </c>
    </row>
    <row r="19" spans="1:10" x14ac:dyDescent="0.25">
      <c r="A19" s="11">
        <v>43735</v>
      </c>
      <c r="B19" s="12" t="s">
        <v>37</v>
      </c>
      <c r="C19" s="12" t="s">
        <v>38</v>
      </c>
      <c r="D19" s="6"/>
      <c r="E19" s="12">
        <v>48</v>
      </c>
      <c r="F19" s="12" t="s">
        <v>39</v>
      </c>
      <c r="G19" s="6" t="s">
        <v>40</v>
      </c>
      <c r="H19" s="7">
        <v>94600</v>
      </c>
      <c r="I19" s="8">
        <f t="shared" si="1"/>
        <v>4540800</v>
      </c>
    </row>
    <row r="20" spans="1:10" x14ac:dyDescent="0.25">
      <c r="J20" s="10">
        <f>SUM(I13:I19)</f>
        <v>7818002.5</v>
      </c>
    </row>
    <row r="22" spans="1:10" x14ac:dyDescent="0.25">
      <c r="J22" s="10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7"/>
  <sheetViews>
    <sheetView zoomScale="90" zoomScaleNormal="100" workbookViewId="0">
      <pane ySplit="2" topLeftCell="A3" activePane="bottomLeft" state="frozen"/>
      <selection activeCell="C1" sqref="C1"/>
      <selection pane="bottomLeft" activeCell="E3" sqref="E3:M27"/>
    </sheetView>
  </sheetViews>
  <sheetFormatPr defaultColWidth="8.85546875" defaultRowHeight="15" x14ac:dyDescent="0.25"/>
  <cols>
    <col min="1" max="1" width="11" customWidth="1"/>
    <col min="2" max="2" width="11.28515625" bestFit="1" customWidth="1"/>
    <col min="3" max="3" width="21.28515625" customWidth="1"/>
    <col min="4" max="4" width="10.85546875" customWidth="1"/>
    <col min="5" max="5" width="28.28515625" customWidth="1"/>
    <col min="6" max="6" width="10.28515625" style="2" bestFit="1" customWidth="1"/>
    <col min="7" max="7" width="9.140625" style="2" customWidth="1"/>
    <col min="8" max="8" width="12.140625" style="15" bestFit="1" customWidth="1"/>
    <col min="9" max="9" width="8.85546875" style="17" bestFit="1" customWidth="1"/>
    <col min="10" max="10" width="13.85546875" style="17" bestFit="1" customWidth="1"/>
    <col min="11" max="11" width="7.42578125" style="2" bestFit="1" customWidth="1"/>
    <col min="12" max="12" width="16.85546875" style="31" bestFit="1" customWidth="1"/>
    <col min="13" max="13" width="21.140625" style="31" customWidth="1"/>
    <col min="14" max="14" width="26.28515625" style="27" customWidth="1"/>
  </cols>
  <sheetData>
    <row r="1" spans="1:14" s="2" customFormat="1" x14ac:dyDescent="0.25">
      <c r="A1" s="49" t="s">
        <v>46</v>
      </c>
      <c r="B1" s="49" t="s">
        <v>8</v>
      </c>
      <c r="C1" s="49" t="s">
        <v>20</v>
      </c>
      <c r="D1" s="49" t="s">
        <v>0</v>
      </c>
      <c r="E1" s="49" t="s">
        <v>47</v>
      </c>
      <c r="F1" s="45" t="s">
        <v>48</v>
      </c>
      <c r="G1" s="46"/>
      <c r="H1" s="45" t="s">
        <v>49</v>
      </c>
      <c r="I1" s="46"/>
      <c r="J1" s="45" t="s">
        <v>50</v>
      </c>
      <c r="K1" s="46"/>
      <c r="L1" s="47" t="s">
        <v>51</v>
      </c>
      <c r="M1" s="48" t="s">
        <v>5</v>
      </c>
      <c r="N1" s="48" t="s">
        <v>52</v>
      </c>
    </row>
    <row r="2" spans="1:14" x14ac:dyDescent="0.25">
      <c r="A2" s="49"/>
      <c r="B2" s="49"/>
      <c r="C2" s="49"/>
      <c r="D2" s="49"/>
      <c r="E2" s="49"/>
      <c r="F2" s="32" t="s">
        <v>1</v>
      </c>
      <c r="G2" s="33" t="s">
        <v>53</v>
      </c>
      <c r="H2" s="32" t="s">
        <v>1</v>
      </c>
      <c r="I2" s="33" t="s">
        <v>53</v>
      </c>
      <c r="J2" s="34" t="s">
        <v>1</v>
      </c>
      <c r="K2" s="33" t="s">
        <v>53</v>
      </c>
      <c r="L2" s="47"/>
      <c r="M2" s="48"/>
      <c r="N2" s="48"/>
    </row>
    <row r="3" spans="1:14" x14ac:dyDescent="0.25">
      <c r="A3" s="53">
        <v>44409</v>
      </c>
      <c r="B3" s="6" t="s">
        <v>78</v>
      </c>
      <c r="C3" s="6" t="s">
        <v>65</v>
      </c>
      <c r="D3" s="6"/>
      <c r="E3" s="6" t="s">
        <v>66</v>
      </c>
      <c r="F3" s="13">
        <v>200</v>
      </c>
      <c r="G3" s="12" t="s">
        <v>64</v>
      </c>
      <c r="H3" s="14">
        <v>1</v>
      </c>
      <c r="I3" s="12" t="s">
        <v>64</v>
      </c>
      <c r="J3" s="16">
        <f t="shared" ref="J3" si="0">F3*H3</f>
        <v>200</v>
      </c>
      <c r="K3" s="12" t="s">
        <v>64</v>
      </c>
      <c r="L3" s="30">
        <f>175/H3</f>
        <v>175</v>
      </c>
      <c r="M3" s="30">
        <f t="shared" ref="M3" si="1">J3*L3</f>
        <v>35000</v>
      </c>
      <c r="N3" s="26" t="s">
        <v>55</v>
      </c>
    </row>
    <row r="4" spans="1:14" x14ac:dyDescent="0.25">
      <c r="A4" s="53">
        <v>44409</v>
      </c>
      <c r="B4" s="6" t="s">
        <v>81</v>
      </c>
      <c r="C4" s="6" t="s">
        <v>82</v>
      </c>
      <c r="D4" s="6"/>
      <c r="E4" s="6" t="s">
        <v>82</v>
      </c>
      <c r="F4" s="13">
        <v>6</v>
      </c>
      <c r="G4" s="12" t="s">
        <v>83</v>
      </c>
      <c r="H4" s="14">
        <v>1</v>
      </c>
      <c r="I4" s="12" t="s">
        <v>83</v>
      </c>
      <c r="J4" s="16">
        <f t="shared" ref="J4" si="2">F4*H4</f>
        <v>6</v>
      </c>
      <c r="K4" s="12" t="s">
        <v>83</v>
      </c>
      <c r="L4" s="30">
        <f>19000/H4</f>
        <v>19000</v>
      </c>
      <c r="M4" s="30">
        <f t="shared" ref="M4" si="3">J4*L4</f>
        <v>114000</v>
      </c>
      <c r="N4" s="26" t="s">
        <v>55</v>
      </c>
    </row>
    <row r="5" spans="1:14" x14ac:dyDescent="0.25">
      <c r="A5" s="53"/>
      <c r="F5"/>
      <c r="G5"/>
      <c r="H5"/>
      <c r="I5"/>
      <c r="J5"/>
      <c r="K5"/>
      <c r="L5"/>
      <c r="M5" s="43">
        <f>SUM(M3:M4)</f>
        <v>149000</v>
      </c>
      <c r="N5"/>
    </row>
    <row r="6" spans="1:14" x14ac:dyDescent="0.25">
      <c r="A6" s="53">
        <v>44411</v>
      </c>
      <c r="B6" s="6" t="s">
        <v>128</v>
      </c>
      <c r="C6" s="6" t="s">
        <v>138</v>
      </c>
      <c r="D6" s="6"/>
      <c r="E6" s="6" t="s">
        <v>139</v>
      </c>
      <c r="F6" s="13">
        <v>5</v>
      </c>
      <c r="G6" s="12" t="s">
        <v>59</v>
      </c>
      <c r="H6" s="14">
        <v>1</v>
      </c>
      <c r="I6" s="12" t="s">
        <v>59</v>
      </c>
      <c r="J6" s="16">
        <f t="shared" ref="J6" si="4">F6*H6</f>
        <v>5</v>
      </c>
      <c r="K6" s="12" t="s">
        <v>59</v>
      </c>
      <c r="L6" s="30">
        <f>15000/H6</f>
        <v>15000</v>
      </c>
      <c r="M6" s="30">
        <f t="shared" ref="M6" si="5">J6*L6</f>
        <v>75000</v>
      </c>
      <c r="N6" s="26" t="s">
        <v>55</v>
      </c>
    </row>
    <row r="7" spans="1:14" x14ac:dyDescent="0.25">
      <c r="A7" s="53">
        <v>44411</v>
      </c>
      <c r="B7" s="6" t="s">
        <v>128</v>
      </c>
      <c r="C7" s="6" t="s">
        <v>138</v>
      </c>
      <c r="D7" s="6"/>
      <c r="E7" s="6" t="s">
        <v>140</v>
      </c>
      <c r="F7" s="13">
        <v>10</v>
      </c>
      <c r="G7" s="12" t="s">
        <v>59</v>
      </c>
      <c r="H7" s="14">
        <v>1</v>
      </c>
      <c r="I7" s="12" t="s">
        <v>59</v>
      </c>
      <c r="J7" s="16">
        <f t="shared" ref="J7:J13" si="6">F7*H7</f>
        <v>10</v>
      </c>
      <c r="K7" s="12" t="s">
        <v>59</v>
      </c>
      <c r="L7" s="30">
        <f t="shared" ref="L7" si="7">15000/H7</f>
        <v>15000</v>
      </c>
      <c r="M7" s="30">
        <f t="shared" ref="M7:M13" si="8">J7*L7</f>
        <v>150000</v>
      </c>
      <c r="N7" s="26" t="s">
        <v>55</v>
      </c>
    </row>
    <row r="8" spans="1:14" x14ac:dyDescent="0.25">
      <c r="A8" s="53">
        <v>44411</v>
      </c>
      <c r="B8" s="6" t="s">
        <v>128</v>
      </c>
      <c r="C8" s="6" t="s">
        <v>138</v>
      </c>
      <c r="D8" s="6"/>
      <c r="E8" s="6" t="s">
        <v>141</v>
      </c>
      <c r="F8" s="13">
        <v>2</v>
      </c>
      <c r="G8" s="12" t="s">
        <v>142</v>
      </c>
      <c r="H8" s="14">
        <v>1</v>
      </c>
      <c r="I8" s="12" t="s">
        <v>142</v>
      </c>
      <c r="J8" s="16">
        <f t="shared" si="6"/>
        <v>2</v>
      </c>
      <c r="K8" s="12" t="s">
        <v>142</v>
      </c>
      <c r="L8" s="30">
        <f>175000/H8</f>
        <v>175000</v>
      </c>
      <c r="M8" s="30">
        <f t="shared" si="8"/>
        <v>350000</v>
      </c>
      <c r="N8" s="26" t="s">
        <v>55</v>
      </c>
    </row>
    <row r="9" spans="1:14" x14ac:dyDescent="0.25">
      <c r="A9" s="53">
        <v>44411</v>
      </c>
      <c r="B9" s="6" t="s">
        <v>128</v>
      </c>
      <c r="C9" s="6" t="s">
        <v>138</v>
      </c>
      <c r="D9" s="6"/>
      <c r="E9" s="6" t="s">
        <v>143</v>
      </c>
      <c r="F9" s="13">
        <v>5</v>
      </c>
      <c r="G9" s="12" t="s">
        <v>59</v>
      </c>
      <c r="H9" s="14">
        <v>1</v>
      </c>
      <c r="I9" s="12" t="s">
        <v>59</v>
      </c>
      <c r="J9" s="16">
        <f t="shared" si="6"/>
        <v>5</v>
      </c>
      <c r="K9" s="12" t="s">
        <v>59</v>
      </c>
      <c r="L9" s="30">
        <f>18000/H9</f>
        <v>18000</v>
      </c>
      <c r="M9" s="30">
        <f t="shared" si="8"/>
        <v>90000</v>
      </c>
      <c r="N9" s="26" t="s">
        <v>55</v>
      </c>
    </row>
    <row r="10" spans="1:14" x14ac:dyDescent="0.25">
      <c r="A10" s="53">
        <v>44411</v>
      </c>
      <c r="B10" s="6" t="s">
        <v>128</v>
      </c>
      <c r="C10" s="6" t="s">
        <v>138</v>
      </c>
      <c r="D10" s="6"/>
      <c r="E10" s="6" t="s">
        <v>144</v>
      </c>
      <c r="F10" s="13">
        <v>3</v>
      </c>
      <c r="G10" s="12" t="s">
        <v>59</v>
      </c>
      <c r="H10" s="14">
        <v>1</v>
      </c>
      <c r="I10" s="12" t="s">
        <v>59</v>
      </c>
      <c r="J10" s="16">
        <f t="shared" si="6"/>
        <v>3</v>
      </c>
      <c r="K10" s="12" t="s">
        <v>59</v>
      </c>
      <c r="L10" s="30">
        <f>25000/H10</f>
        <v>25000</v>
      </c>
      <c r="M10" s="30">
        <f t="shared" si="8"/>
        <v>75000</v>
      </c>
      <c r="N10" s="26" t="s">
        <v>55</v>
      </c>
    </row>
    <row r="11" spans="1:14" x14ac:dyDescent="0.25">
      <c r="A11" s="53">
        <v>44411</v>
      </c>
      <c r="B11" s="6" t="s">
        <v>128</v>
      </c>
      <c r="C11" s="6" t="s">
        <v>138</v>
      </c>
      <c r="D11" s="6"/>
      <c r="E11" s="6" t="s">
        <v>145</v>
      </c>
      <c r="F11" s="13">
        <v>1</v>
      </c>
      <c r="G11" s="12" t="s">
        <v>142</v>
      </c>
      <c r="H11" s="14">
        <v>1</v>
      </c>
      <c r="I11" s="12" t="s">
        <v>142</v>
      </c>
      <c r="J11" s="16">
        <f t="shared" si="6"/>
        <v>1</v>
      </c>
      <c r="K11" s="12" t="s">
        <v>142</v>
      </c>
      <c r="L11" s="30">
        <f>20000/H11</f>
        <v>20000</v>
      </c>
      <c r="M11" s="30">
        <f t="shared" si="8"/>
        <v>20000</v>
      </c>
      <c r="N11" s="26" t="s">
        <v>55</v>
      </c>
    </row>
    <row r="12" spans="1:14" x14ac:dyDescent="0.25">
      <c r="A12" s="53">
        <v>44411</v>
      </c>
      <c r="B12" s="6" t="s">
        <v>128</v>
      </c>
      <c r="C12" s="6" t="s">
        <v>138</v>
      </c>
      <c r="D12" s="6"/>
      <c r="E12" s="6" t="s">
        <v>146</v>
      </c>
      <c r="F12" s="13">
        <v>1</v>
      </c>
      <c r="G12" s="12" t="s">
        <v>142</v>
      </c>
      <c r="H12" s="14">
        <v>1</v>
      </c>
      <c r="I12" s="12" t="s">
        <v>142</v>
      </c>
      <c r="J12" s="16">
        <f t="shared" si="6"/>
        <v>1</v>
      </c>
      <c r="K12" s="12" t="s">
        <v>142</v>
      </c>
      <c r="L12" s="30">
        <f>180000/H12</f>
        <v>180000</v>
      </c>
      <c r="M12" s="30">
        <f t="shared" si="8"/>
        <v>180000</v>
      </c>
      <c r="N12" s="26" t="s">
        <v>55</v>
      </c>
    </row>
    <row r="13" spans="1:14" x14ac:dyDescent="0.25">
      <c r="A13" s="53">
        <v>44411</v>
      </c>
      <c r="B13" s="6" t="s">
        <v>128</v>
      </c>
      <c r="C13" s="6" t="s">
        <v>138</v>
      </c>
      <c r="D13" s="6"/>
      <c r="E13" s="6" t="s">
        <v>147</v>
      </c>
      <c r="F13" s="13">
        <v>10</v>
      </c>
      <c r="G13" s="12" t="s">
        <v>59</v>
      </c>
      <c r="H13" s="14">
        <v>1</v>
      </c>
      <c r="I13" s="12" t="s">
        <v>59</v>
      </c>
      <c r="J13" s="16">
        <f t="shared" si="6"/>
        <v>10</v>
      </c>
      <c r="K13" s="12" t="s">
        <v>59</v>
      </c>
      <c r="L13" s="30">
        <f>10000/H13</f>
        <v>10000</v>
      </c>
      <c r="M13" s="30">
        <f t="shared" si="8"/>
        <v>100000</v>
      </c>
      <c r="N13" s="26" t="s">
        <v>55</v>
      </c>
    </row>
    <row r="14" spans="1:14" x14ac:dyDescent="0.25">
      <c r="A14" s="53">
        <v>44411</v>
      </c>
      <c r="B14" s="6" t="s">
        <v>150</v>
      </c>
      <c r="C14" s="6" t="s">
        <v>151</v>
      </c>
      <c r="D14" s="6"/>
      <c r="E14" s="6" t="s">
        <v>152</v>
      </c>
      <c r="F14" s="13">
        <v>1</v>
      </c>
      <c r="G14" s="12" t="s">
        <v>63</v>
      </c>
      <c r="H14" s="14">
        <v>1</v>
      </c>
      <c r="I14" s="12" t="s">
        <v>63</v>
      </c>
      <c r="J14" s="16">
        <f t="shared" ref="J14" si="9">F14*H14</f>
        <v>1</v>
      </c>
      <c r="K14" s="12" t="s">
        <v>63</v>
      </c>
      <c r="L14" s="30">
        <f>16500/H14</f>
        <v>16500</v>
      </c>
      <c r="M14" s="30">
        <f t="shared" ref="M14" si="10">J14*L14</f>
        <v>16500</v>
      </c>
      <c r="N14" s="26" t="s">
        <v>153</v>
      </c>
    </row>
    <row r="15" spans="1:14" x14ac:dyDescent="0.25">
      <c r="A15" s="53">
        <v>44411</v>
      </c>
      <c r="B15" s="6" t="s">
        <v>150</v>
      </c>
      <c r="C15" s="6" t="s">
        <v>151</v>
      </c>
      <c r="D15" s="6"/>
      <c r="E15" s="6" t="s">
        <v>154</v>
      </c>
      <c r="F15" s="13">
        <v>1</v>
      </c>
      <c r="G15" s="12" t="s">
        <v>63</v>
      </c>
      <c r="H15" s="14">
        <v>1</v>
      </c>
      <c r="I15" s="12" t="s">
        <v>63</v>
      </c>
      <c r="J15" s="16">
        <f>F15*H15</f>
        <v>1</v>
      </c>
      <c r="K15" s="12" t="s">
        <v>63</v>
      </c>
      <c r="L15" s="30">
        <f>23500/H15</f>
        <v>23500</v>
      </c>
      <c r="M15" s="30">
        <f>J15*L15</f>
        <v>23500</v>
      </c>
      <c r="N15" s="26" t="s">
        <v>153</v>
      </c>
    </row>
    <row r="16" spans="1:14" x14ac:dyDescent="0.25">
      <c r="A16" s="53">
        <v>44411</v>
      </c>
      <c r="B16" s="6" t="s">
        <v>150</v>
      </c>
      <c r="C16" s="6" t="s">
        <v>151</v>
      </c>
      <c r="D16" s="6"/>
      <c r="E16" s="6" t="s">
        <v>155</v>
      </c>
      <c r="F16" s="13">
        <v>1</v>
      </c>
      <c r="G16" s="12" t="s">
        <v>63</v>
      </c>
      <c r="H16" s="14">
        <v>1</v>
      </c>
      <c r="I16" s="12" t="s">
        <v>63</v>
      </c>
      <c r="J16" s="16">
        <f>F16*H16</f>
        <v>1</v>
      </c>
      <c r="K16" s="12" t="s">
        <v>63</v>
      </c>
      <c r="L16" s="30">
        <f>23500/H16</f>
        <v>23500</v>
      </c>
      <c r="M16" s="30">
        <f>J16*L16</f>
        <v>23500</v>
      </c>
      <c r="N16" s="26" t="s">
        <v>153</v>
      </c>
    </row>
    <row r="17" spans="1:14" x14ac:dyDescent="0.25">
      <c r="A17" s="53">
        <v>44411</v>
      </c>
      <c r="B17" s="6" t="s">
        <v>150</v>
      </c>
      <c r="C17" s="6" t="s">
        <v>151</v>
      </c>
      <c r="D17" s="6"/>
      <c r="E17" s="6" t="s">
        <v>157</v>
      </c>
      <c r="F17" s="13">
        <v>1</v>
      </c>
      <c r="G17" s="12" t="s">
        <v>63</v>
      </c>
      <c r="H17" s="14">
        <v>1</v>
      </c>
      <c r="I17" s="12" t="s">
        <v>63</v>
      </c>
      <c r="J17" s="16">
        <f>F17*H17</f>
        <v>1</v>
      </c>
      <c r="K17" s="12" t="s">
        <v>63</v>
      </c>
      <c r="L17" s="30">
        <f>28900/H17</f>
        <v>28900</v>
      </c>
      <c r="M17" s="30">
        <f>J17*L17</f>
        <v>28900</v>
      </c>
      <c r="N17" s="26" t="s">
        <v>153</v>
      </c>
    </row>
    <row r="18" spans="1:14" x14ac:dyDescent="0.25">
      <c r="A18" s="53"/>
      <c r="F18"/>
      <c r="G18"/>
      <c r="H18"/>
      <c r="I18"/>
      <c r="J18"/>
      <c r="K18"/>
      <c r="L18"/>
      <c r="M18" s="43">
        <f>SUM(M6:M17)</f>
        <v>1132400</v>
      </c>
      <c r="N18"/>
    </row>
    <row r="19" spans="1:14" x14ac:dyDescent="0.25">
      <c r="A19" s="53">
        <v>44414</v>
      </c>
      <c r="B19" s="6" t="s">
        <v>247</v>
      </c>
      <c r="C19" s="6" t="s">
        <v>82</v>
      </c>
      <c r="D19" s="6"/>
      <c r="E19" s="6" t="s">
        <v>82</v>
      </c>
      <c r="F19" s="13">
        <v>5</v>
      </c>
      <c r="G19" s="12" t="s">
        <v>83</v>
      </c>
      <c r="H19" s="14">
        <v>1</v>
      </c>
      <c r="I19" s="12" t="s">
        <v>83</v>
      </c>
      <c r="J19" s="16">
        <f t="shared" ref="J19" si="11">F19*H19</f>
        <v>5</v>
      </c>
      <c r="K19" s="12" t="s">
        <v>83</v>
      </c>
      <c r="L19" s="30">
        <f>19000/H19</f>
        <v>19000</v>
      </c>
      <c r="M19" s="30">
        <f t="shared" ref="M19" si="12">J19*L19</f>
        <v>95000</v>
      </c>
      <c r="N19" s="26" t="s">
        <v>55</v>
      </c>
    </row>
    <row r="20" spans="1:14" x14ac:dyDescent="0.25">
      <c r="A20" s="53">
        <v>44414</v>
      </c>
      <c r="B20" s="6" t="s">
        <v>249</v>
      </c>
      <c r="C20" s="6" t="s">
        <v>250</v>
      </c>
      <c r="D20" s="6"/>
      <c r="E20" s="6" t="s">
        <v>251</v>
      </c>
      <c r="F20" s="13">
        <v>500</v>
      </c>
      <c r="G20" s="12" t="s">
        <v>63</v>
      </c>
      <c r="H20" s="14">
        <v>1</v>
      </c>
      <c r="I20" s="12" t="s">
        <v>63</v>
      </c>
      <c r="J20" s="16">
        <f t="shared" ref="J20:J22" si="13">F20*H20</f>
        <v>500</v>
      </c>
      <c r="K20" s="12" t="s">
        <v>63</v>
      </c>
      <c r="L20" s="30">
        <f>3035.1/H20</f>
        <v>3035.1</v>
      </c>
      <c r="M20" s="30">
        <f t="shared" ref="M20:M22" si="14">J20*L20</f>
        <v>1517550</v>
      </c>
      <c r="N20" s="26" t="s">
        <v>55</v>
      </c>
    </row>
    <row r="21" spans="1:14" x14ac:dyDescent="0.25">
      <c r="A21" s="53">
        <v>44414</v>
      </c>
      <c r="B21" s="6" t="s">
        <v>249</v>
      </c>
      <c r="C21" s="6" t="s">
        <v>82</v>
      </c>
      <c r="D21" s="6"/>
      <c r="E21" s="6" t="s">
        <v>252</v>
      </c>
      <c r="F21" s="13">
        <v>50</v>
      </c>
      <c r="G21" s="12" t="s">
        <v>83</v>
      </c>
      <c r="H21" s="14">
        <v>1</v>
      </c>
      <c r="I21" s="12" t="s">
        <v>83</v>
      </c>
      <c r="J21" s="16">
        <f t="shared" si="13"/>
        <v>50</v>
      </c>
      <c r="K21" s="12" t="s">
        <v>83</v>
      </c>
      <c r="L21" s="30">
        <f>3035.1/H21</f>
        <v>3035.1</v>
      </c>
      <c r="M21" s="30">
        <f t="shared" si="14"/>
        <v>151755</v>
      </c>
      <c r="N21" s="26" t="s">
        <v>55</v>
      </c>
    </row>
    <row r="22" spans="1:14" x14ac:dyDescent="0.25">
      <c r="A22" s="53">
        <v>44414</v>
      </c>
      <c r="B22" s="6" t="s">
        <v>249</v>
      </c>
      <c r="C22" s="6" t="s">
        <v>82</v>
      </c>
      <c r="D22" s="6"/>
      <c r="E22" s="6" t="s">
        <v>253</v>
      </c>
      <c r="F22" s="13">
        <v>20</v>
      </c>
      <c r="G22" s="12" t="s">
        <v>83</v>
      </c>
      <c r="H22" s="14">
        <v>1</v>
      </c>
      <c r="I22" s="12" t="s">
        <v>83</v>
      </c>
      <c r="J22" s="16">
        <f t="shared" si="13"/>
        <v>20</v>
      </c>
      <c r="K22" s="12" t="s">
        <v>83</v>
      </c>
      <c r="L22" s="30">
        <f>3035.1/H22</f>
        <v>3035.1</v>
      </c>
      <c r="M22" s="30">
        <f t="shared" si="14"/>
        <v>60702</v>
      </c>
      <c r="N22" s="26" t="s">
        <v>55</v>
      </c>
    </row>
    <row r="23" spans="1:14" x14ac:dyDescent="0.25">
      <c r="A23" s="53"/>
      <c r="F23"/>
      <c r="G23"/>
      <c r="H23"/>
      <c r="I23"/>
      <c r="J23"/>
      <c r="K23"/>
      <c r="L23"/>
      <c r="M23" s="43">
        <f>SUM(M19:M22)</f>
        <v>1825007</v>
      </c>
      <c r="N23"/>
    </row>
    <row r="24" spans="1:14" x14ac:dyDescent="0.25">
      <c r="A24" s="53">
        <v>44415</v>
      </c>
      <c r="B24" s="6" t="s">
        <v>272</v>
      </c>
      <c r="C24" s="6" t="s">
        <v>273</v>
      </c>
      <c r="D24" s="6"/>
      <c r="E24" s="6" t="s">
        <v>274</v>
      </c>
      <c r="F24" s="13">
        <v>15</v>
      </c>
      <c r="G24" s="12" t="s">
        <v>59</v>
      </c>
      <c r="H24" s="14">
        <v>1</v>
      </c>
      <c r="I24" s="12" t="s">
        <v>59</v>
      </c>
      <c r="J24" s="16">
        <f t="shared" ref="J24" si="15">F24*H24</f>
        <v>15</v>
      </c>
      <c r="K24" s="12" t="s">
        <v>59</v>
      </c>
      <c r="L24" s="30">
        <f>55000/H24</f>
        <v>55000</v>
      </c>
      <c r="M24" s="30">
        <f t="shared" ref="M24" si="16">J24*L24</f>
        <v>825000</v>
      </c>
      <c r="N24" s="26" t="s">
        <v>55</v>
      </c>
    </row>
    <row r="25" spans="1:14" x14ac:dyDescent="0.25">
      <c r="A25" s="53">
        <v>44415</v>
      </c>
      <c r="B25" s="6" t="s">
        <v>272</v>
      </c>
      <c r="C25" s="6" t="s">
        <v>273</v>
      </c>
      <c r="D25" s="6"/>
      <c r="E25" s="6" t="s">
        <v>116</v>
      </c>
      <c r="F25" s="13"/>
      <c r="G25" s="12"/>
      <c r="H25" s="14"/>
      <c r="I25" s="12"/>
      <c r="J25" s="16"/>
      <c r="K25" s="12"/>
      <c r="L25" s="30"/>
      <c r="M25" s="30">
        <v>58700</v>
      </c>
      <c r="N25" s="26" t="s">
        <v>55</v>
      </c>
    </row>
    <row r="26" spans="1:14" x14ac:dyDescent="0.25">
      <c r="A26" s="53"/>
      <c r="F26"/>
      <c r="G26"/>
      <c r="H26"/>
      <c r="I26"/>
      <c r="J26"/>
      <c r="K26"/>
      <c r="L26"/>
      <c r="M26" s="43">
        <f>SUM(M24:M25)</f>
        <v>883700</v>
      </c>
      <c r="N26"/>
    </row>
    <row r="27" spans="1:14" x14ac:dyDescent="0.25">
      <c r="A27" s="53">
        <v>44417</v>
      </c>
      <c r="B27" s="6" t="s">
        <v>277</v>
      </c>
      <c r="C27" s="6" t="s">
        <v>279</v>
      </c>
      <c r="D27" s="6"/>
      <c r="E27" s="6" t="s">
        <v>280</v>
      </c>
      <c r="F27" s="13">
        <v>2</v>
      </c>
      <c r="G27" s="12" t="s">
        <v>281</v>
      </c>
      <c r="H27" s="14">
        <v>1</v>
      </c>
      <c r="I27" s="12" t="s">
        <v>281</v>
      </c>
      <c r="J27" s="16">
        <f t="shared" ref="J27" si="17">F27*H27</f>
        <v>2</v>
      </c>
      <c r="K27" s="12" t="s">
        <v>281</v>
      </c>
      <c r="L27" s="30"/>
      <c r="M27" s="30">
        <f t="shared" ref="M27" si="18">J27*L27</f>
        <v>0</v>
      </c>
      <c r="N27" s="26" t="s">
        <v>55</v>
      </c>
    </row>
    <row r="28" spans="1:14" x14ac:dyDescent="0.25">
      <c r="F28"/>
      <c r="G28"/>
      <c r="H28"/>
      <c r="I28"/>
      <c r="J28"/>
      <c r="K28"/>
      <c r="L28"/>
      <c r="M28"/>
      <c r="N28"/>
    </row>
    <row r="29" spans="1:14" x14ac:dyDescent="0.25">
      <c r="F29"/>
      <c r="G29"/>
      <c r="H29"/>
      <c r="I29"/>
      <c r="J29"/>
      <c r="K29"/>
      <c r="L29"/>
      <c r="M29"/>
      <c r="N29"/>
    </row>
    <row r="30" spans="1:14" x14ac:dyDescent="0.25">
      <c r="F30"/>
      <c r="G30"/>
      <c r="H30"/>
      <c r="I30"/>
      <c r="J30"/>
      <c r="K30"/>
      <c r="L30"/>
      <c r="M30"/>
      <c r="N30"/>
    </row>
    <row r="31" spans="1:14" x14ac:dyDescent="0.25">
      <c r="F31"/>
      <c r="G31"/>
      <c r="H31"/>
      <c r="I31"/>
      <c r="J31"/>
      <c r="K31"/>
      <c r="L31"/>
      <c r="M31"/>
      <c r="N31"/>
    </row>
    <row r="32" spans="1:14" x14ac:dyDescent="0.25">
      <c r="F32"/>
      <c r="G32"/>
      <c r="H32"/>
      <c r="I32"/>
      <c r="J32"/>
      <c r="K32"/>
      <c r="L32"/>
      <c r="M32"/>
      <c r="N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</sheetData>
  <mergeCells count="11">
    <mergeCell ref="F1:G1"/>
    <mergeCell ref="A1:A2"/>
    <mergeCell ref="B1:B2"/>
    <mergeCell ref="C1:C2"/>
    <mergeCell ref="D1:D2"/>
    <mergeCell ref="E1:E2"/>
    <mergeCell ref="H1:I1"/>
    <mergeCell ref="J1:K1"/>
    <mergeCell ref="L1:L2"/>
    <mergeCell ref="M1:M2"/>
    <mergeCell ref="N1:N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1046337"/>
  <sheetViews>
    <sheetView tabSelected="1" zoomScale="82" zoomScaleNormal="85" workbookViewId="0">
      <pane ySplit="2" topLeftCell="A140" activePane="bottomLeft" state="frozen"/>
      <selection activeCell="C1" sqref="C1"/>
      <selection pane="bottomLeft" activeCell="E3" sqref="E3:M160"/>
    </sheetView>
  </sheetViews>
  <sheetFormatPr defaultColWidth="8.85546875" defaultRowHeight="15" x14ac:dyDescent="0.25"/>
  <cols>
    <col min="1" max="1" width="10.5703125" style="53" bestFit="1" customWidth="1"/>
    <col min="2" max="2" width="11.28515625" bestFit="1" customWidth="1"/>
    <col min="3" max="3" width="26.28515625" customWidth="1"/>
    <col min="4" max="4" width="11.140625" customWidth="1"/>
    <col min="5" max="5" width="36.5703125" customWidth="1"/>
    <col min="6" max="6" width="12.28515625" style="2" customWidth="1"/>
    <col min="7" max="7" width="9.140625" style="2" customWidth="1"/>
    <col min="8" max="8" width="12.140625" style="15" bestFit="1" customWidth="1"/>
    <col min="9" max="9" width="8.85546875" style="17" bestFit="1" customWidth="1"/>
    <col min="10" max="10" width="13.85546875" style="17" bestFit="1" customWidth="1"/>
    <col min="11" max="11" width="9.28515625" style="2" customWidth="1"/>
    <col min="12" max="12" width="15.85546875" style="31" customWidth="1"/>
    <col min="13" max="13" width="20" style="31" customWidth="1"/>
    <col min="14" max="14" width="22.140625" style="27" customWidth="1"/>
    <col min="15" max="15" width="13.28515625" bestFit="1" customWidth="1"/>
  </cols>
  <sheetData>
    <row r="1" spans="1:14" s="2" customFormat="1" x14ac:dyDescent="0.25">
      <c r="A1" s="53" t="s">
        <v>46</v>
      </c>
      <c r="B1" s="49" t="s">
        <v>8</v>
      </c>
      <c r="C1" s="49" t="s">
        <v>20</v>
      </c>
      <c r="D1" s="49" t="s">
        <v>0</v>
      </c>
      <c r="E1" s="49" t="s">
        <v>47</v>
      </c>
      <c r="F1" s="45" t="s">
        <v>48</v>
      </c>
      <c r="G1" s="46"/>
      <c r="H1" s="45" t="s">
        <v>49</v>
      </c>
      <c r="I1" s="46"/>
      <c r="J1" s="45" t="s">
        <v>50</v>
      </c>
      <c r="K1" s="46"/>
      <c r="L1" s="47" t="s">
        <v>51</v>
      </c>
      <c r="M1" s="48" t="s">
        <v>5</v>
      </c>
      <c r="N1" s="48" t="s">
        <v>52</v>
      </c>
    </row>
    <row r="2" spans="1:14" ht="16.5" customHeight="1" x14ac:dyDescent="0.25">
      <c r="B2" s="49"/>
      <c r="C2" s="49"/>
      <c r="D2" s="49"/>
      <c r="E2" s="49"/>
      <c r="F2" s="32" t="s">
        <v>1</v>
      </c>
      <c r="G2" s="33" t="s">
        <v>53</v>
      </c>
      <c r="H2" s="32" t="s">
        <v>1</v>
      </c>
      <c r="I2" s="33" t="s">
        <v>53</v>
      </c>
      <c r="J2" s="34" t="s">
        <v>1</v>
      </c>
      <c r="K2" s="33" t="s">
        <v>53</v>
      </c>
      <c r="L2" s="47"/>
      <c r="M2" s="48"/>
      <c r="N2" s="48"/>
    </row>
    <row r="3" spans="1:14" s="2" customFormat="1" ht="15.75" customHeight="1" x14ac:dyDescent="0.25">
      <c r="A3" s="53">
        <v>44409</v>
      </c>
      <c r="B3" s="6" t="s">
        <v>67</v>
      </c>
      <c r="C3" s="6" t="s">
        <v>68</v>
      </c>
      <c r="D3" s="6"/>
      <c r="E3" s="6" t="s">
        <v>69</v>
      </c>
      <c r="F3" s="13">
        <v>3</v>
      </c>
      <c r="G3" s="12" t="s">
        <v>70</v>
      </c>
      <c r="H3" s="14">
        <v>1000</v>
      </c>
      <c r="I3" s="16" t="s">
        <v>71</v>
      </c>
      <c r="J3" s="16">
        <f>F3*H3</f>
        <v>3000</v>
      </c>
      <c r="K3" s="12" t="s">
        <v>71</v>
      </c>
      <c r="L3" s="30">
        <f>45000/H3</f>
        <v>45</v>
      </c>
      <c r="M3" s="30">
        <f>J3*L3</f>
        <v>135000</v>
      </c>
      <c r="N3" s="26" t="s">
        <v>43</v>
      </c>
    </row>
    <row r="4" spans="1:14" ht="13.5" customHeight="1" x14ac:dyDescent="0.25">
      <c r="A4" s="53">
        <v>44409</v>
      </c>
      <c r="B4" s="6" t="s">
        <v>67</v>
      </c>
      <c r="C4" s="6" t="s">
        <v>68</v>
      </c>
      <c r="D4" s="6"/>
      <c r="E4" s="6" t="s">
        <v>72</v>
      </c>
      <c r="F4" s="13">
        <v>2.2999999999999998</v>
      </c>
      <c r="G4" s="12" t="s">
        <v>70</v>
      </c>
      <c r="H4" s="14">
        <v>1000</v>
      </c>
      <c r="I4" s="16" t="s">
        <v>71</v>
      </c>
      <c r="J4" s="16">
        <f t="shared" ref="J4:J10" si="0">F4*H4</f>
        <v>2300</v>
      </c>
      <c r="K4" s="12" t="s">
        <v>71</v>
      </c>
      <c r="L4" s="30">
        <f>45000/H4</f>
        <v>45</v>
      </c>
      <c r="M4" s="30">
        <f t="shared" ref="M4:M10" si="1">J4*L4</f>
        <v>103500</v>
      </c>
      <c r="N4" s="26" t="s">
        <v>43</v>
      </c>
    </row>
    <row r="5" spans="1:14" x14ac:dyDescent="0.25">
      <c r="A5" s="53">
        <v>44409</v>
      </c>
      <c r="B5" s="6" t="s">
        <v>67</v>
      </c>
      <c r="C5" s="6" t="s">
        <v>68</v>
      </c>
      <c r="D5" s="6"/>
      <c r="E5" s="6" t="s">
        <v>73</v>
      </c>
      <c r="F5" s="13">
        <v>1</v>
      </c>
      <c r="G5" s="12" t="s">
        <v>70</v>
      </c>
      <c r="H5" s="14">
        <v>1000</v>
      </c>
      <c r="I5" s="16" t="s">
        <v>71</v>
      </c>
      <c r="J5" s="16">
        <f t="shared" si="0"/>
        <v>1000</v>
      </c>
      <c r="K5" s="12" t="s">
        <v>71</v>
      </c>
      <c r="L5" s="30">
        <f>35000/H5</f>
        <v>35</v>
      </c>
      <c r="M5" s="30">
        <f t="shared" si="1"/>
        <v>35000</v>
      </c>
      <c r="N5" s="26" t="s">
        <v>43</v>
      </c>
    </row>
    <row r="6" spans="1:14" x14ac:dyDescent="0.25">
      <c r="A6" s="53">
        <v>44409</v>
      </c>
      <c r="B6" s="6" t="s">
        <v>67</v>
      </c>
      <c r="C6" s="6" t="s">
        <v>68</v>
      </c>
      <c r="D6" s="6"/>
      <c r="E6" s="6" t="s">
        <v>74</v>
      </c>
      <c r="F6" s="13">
        <v>6</v>
      </c>
      <c r="G6" s="12" t="s">
        <v>62</v>
      </c>
      <c r="H6" s="14">
        <v>1</v>
      </c>
      <c r="I6" s="16" t="s">
        <v>62</v>
      </c>
      <c r="J6" s="16">
        <f t="shared" si="0"/>
        <v>6</v>
      </c>
      <c r="K6" s="12" t="s">
        <v>62</v>
      </c>
      <c r="L6" s="30">
        <f t="shared" ref="L6:L7" si="2">6500/H6</f>
        <v>6500</v>
      </c>
      <c r="M6" s="30">
        <f t="shared" si="1"/>
        <v>39000</v>
      </c>
      <c r="N6" s="26" t="s">
        <v>43</v>
      </c>
    </row>
    <row r="7" spans="1:14" x14ac:dyDescent="0.25">
      <c r="A7" s="53">
        <v>44409</v>
      </c>
      <c r="B7" s="6" t="s">
        <v>67</v>
      </c>
      <c r="C7" s="6" t="s">
        <v>68</v>
      </c>
      <c r="D7" s="6"/>
      <c r="E7" s="6" t="s">
        <v>75</v>
      </c>
      <c r="F7" s="13">
        <v>6</v>
      </c>
      <c r="G7" s="12" t="s">
        <v>62</v>
      </c>
      <c r="H7" s="14">
        <v>1</v>
      </c>
      <c r="I7" s="16" t="s">
        <v>62</v>
      </c>
      <c r="J7" s="16">
        <f t="shared" si="0"/>
        <v>6</v>
      </c>
      <c r="K7" s="12" t="s">
        <v>62</v>
      </c>
      <c r="L7" s="30">
        <f t="shared" si="2"/>
        <v>6500</v>
      </c>
      <c r="M7" s="30">
        <f t="shared" si="1"/>
        <v>39000</v>
      </c>
      <c r="N7" s="26" t="s">
        <v>43</v>
      </c>
    </row>
    <row r="8" spans="1:14" x14ac:dyDescent="0.25">
      <c r="A8" s="53">
        <v>44409</v>
      </c>
      <c r="B8" s="6" t="s">
        <v>67</v>
      </c>
      <c r="C8" s="6" t="s">
        <v>68</v>
      </c>
      <c r="D8" s="6"/>
      <c r="E8" s="6" t="s">
        <v>76</v>
      </c>
      <c r="F8" s="13">
        <v>10</v>
      </c>
      <c r="G8" s="12" t="s">
        <v>70</v>
      </c>
      <c r="H8" s="14">
        <v>1000</v>
      </c>
      <c r="I8" s="16" t="s">
        <v>71</v>
      </c>
      <c r="J8" s="16">
        <f t="shared" si="0"/>
        <v>10000</v>
      </c>
      <c r="K8" s="12" t="s">
        <v>71</v>
      </c>
      <c r="L8" s="30">
        <f>27000/H8</f>
        <v>27</v>
      </c>
      <c r="M8" s="30">
        <f t="shared" si="1"/>
        <v>270000</v>
      </c>
      <c r="N8" s="26" t="s">
        <v>43</v>
      </c>
    </row>
    <row r="9" spans="1:14" x14ac:dyDescent="0.25">
      <c r="A9" s="53">
        <v>44409</v>
      </c>
      <c r="B9" s="6" t="s">
        <v>77</v>
      </c>
      <c r="C9" s="6" t="s">
        <v>79</v>
      </c>
      <c r="D9" s="6"/>
      <c r="E9" s="6" t="s">
        <v>80</v>
      </c>
      <c r="F9" s="13">
        <v>50</v>
      </c>
      <c r="G9" s="12" t="s">
        <v>70</v>
      </c>
      <c r="H9" s="14">
        <v>1000</v>
      </c>
      <c r="I9" s="16" t="s">
        <v>71</v>
      </c>
      <c r="J9" s="16">
        <f t="shared" ref="J9" si="3">F9*H9</f>
        <v>50000</v>
      </c>
      <c r="K9" s="12" t="s">
        <v>71</v>
      </c>
      <c r="L9" s="30">
        <f>47000/H9</f>
        <v>47</v>
      </c>
      <c r="M9" s="30">
        <f t="shared" ref="M9" si="4">J9*L9</f>
        <v>2350000</v>
      </c>
      <c r="N9" s="26" t="s">
        <v>43</v>
      </c>
    </row>
    <row r="10" spans="1:14" x14ac:dyDescent="0.25">
      <c r="A10" s="53">
        <v>44409</v>
      </c>
      <c r="B10" s="6" t="s">
        <v>215</v>
      </c>
      <c r="C10" s="6" t="s">
        <v>217</v>
      </c>
      <c r="D10" s="6"/>
      <c r="E10" s="6" t="s">
        <v>218</v>
      </c>
      <c r="F10" s="13">
        <v>24.74</v>
      </c>
      <c r="G10" s="12" t="s">
        <v>70</v>
      </c>
      <c r="H10" s="14">
        <v>1000</v>
      </c>
      <c r="I10" s="16" t="s">
        <v>71</v>
      </c>
      <c r="J10" s="16">
        <f t="shared" si="0"/>
        <v>24740</v>
      </c>
      <c r="K10" s="12" t="s">
        <v>71</v>
      </c>
      <c r="L10" s="30">
        <f>330000/H10</f>
        <v>330</v>
      </c>
      <c r="M10" s="30">
        <f t="shared" si="1"/>
        <v>8164200</v>
      </c>
      <c r="N10" s="26" t="s">
        <v>43</v>
      </c>
    </row>
    <row r="11" spans="1:14" x14ac:dyDescent="0.25">
      <c r="M11" s="42">
        <f>SUM(M3:M10)</f>
        <v>11135700</v>
      </c>
    </row>
    <row r="12" spans="1:14" x14ac:dyDescent="0.25">
      <c r="A12" s="53">
        <v>44410</v>
      </c>
      <c r="B12" s="6" t="s">
        <v>84</v>
      </c>
      <c r="C12" s="6" t="s">
        <v>68</v>
      </c>
      <c r="D12" s="6"/>
      <c r="E12" s="6" t="s">
        <v>85</v>
      </c>
      <c r="F12" s="13">
        <v>5</v>
      </c>
      <c r="G12" s="12" t="s">
        <v>70</v>
      </c>
      <c r="H12" s="14">
        <v>1000</v>
      </c>
      <c r="I12" s="16" t="s">
        <v>71</v>
      </c>
      <c r="J12" s="16">
        <f t="shared" ref="J12:J13" si="5">F12*H12</f>
        <v>5000</v>
      </c>
      <c r="K12" s="12" t="s">
        <v>71</v>
      </c>
      <c r="L12" s="30">
        <f>55000/H12</f>
        <v>55</v>
      </c>
      <c r="M12" s="30">
        <f t="shared" ref="M12:M13" si="6">J12*L12</f>
        <v>275000</v>
      </c>
      <c r="N12" s="26" t="s">
        <v>43</v>
      </c>
    </row>
    <row r="13" spans="1:14" x14ac:dyDescent="0.25">
      <c r="A13" s="53">
        <v>44410</v>
      </c>
      <c r="B13" s="6" t="s">
        <v>84</v>
      </c>
      <c r="C13" s="6" t="s">
        <v>68</v>
      </c>
      <c r="D13" s="6"/>
      <c r="E13" s="6" t="s">
        <v>86</v>
      </c>
      <c r="F13" s="13">
        <v>2</v>
      </c>
      <c r="G13" s="12" t="s">
        <v>70</v>
      </c>
      <c r="H13" s="14">
        <v>1000</v>
      </c>
      <c r="I13" s="16" t="s">
        <v>71</v>
      </c>
      <c r="J13" s="16">
        <f t="shared" si="5"/>
        <v>2000</v>
      </c>
      <c r="K13" s="12" t="s">
        <v>71</v>
      </c>
      <c r="L13" s="30">
        <f>45000/H13</f>
        <v>45</v>
      </c>
      <c r="M13" s="30">
        <f t="shared" si="6"/>
        <v>90000</v>
      </c>
      <c r="N13" s="26" t="s">
        <v>43</v>
      </c>
    </row>
    <row r="14" spans="1:14" x14ac:dyDescent="0.25">
      <c r="A14" s="53">
        <v>44410</v>
      </c>
      <c r="B14" s="6" t="s">
        <v>84</v>
      </c>
      <c r="C14" s="6" t="s">
        <v>68</v>
      </c>
      <c r="D14" s="6"/>
      <c r="E14" s="6" t="s">
        <v>69</v>
      </c>
      <c r="F14" s="13">
        <v>3</v>
      </c>
      <c r="G14" s="12" t="s">
        <v>70</v>
      </c>
      <c r="H14" s="14">
        <v>1000</v>
      </c>
      <c r="I14" s="16" t="s">
        <v>71</v>
      </c>
      <c r="J14" s="16">
        <f>F14*H14</f>
        <v>3000</v>
      </c>
      <c r="K14" s="12" t="s">
        <v>71</v>
      </c>
      <c r="L14" s="30">
        <f>45000/H14</f>
        <v>45</v>
      </c>
      <c r="M14" s="30">
        <f>J14*L14</f>
        <v>135000</v>
      </c>
      <c r="N14" s="26" t="s">
        <v>43</v>
      </c>
    </row>
    <row r="15" spans="1:14" x14ac:dyDescent="0.25">
      <c r="A15" s="53">
        <v>44410</v>
      </c>
      <c r="B15" s="6" t="s">
        <v>84</v>
      </c>
      <c r="C15" s="6" t="s">
        <v>68</v>
      </c>
      <c r="D15" s="6"/>
      <c r="E15" s="6" t="s">
        <v>87</v>
      </c>
      <c r="F15" s="13">
        <v>1</v>
      </c>
      <c r="G15" s="12" t="s">
        <v>70</v>
      </c>
      <c r="H15" s="14">
        <v>1000</v>
      </c>
      <c r="I15" s="16" t="s">
        <v>71</v>
      </c>
      <c r="J15" s="16">
        <f t="shared" ref="J15:J17" si="7">F15*H15</f>
        <v>1000</v>
      </c>
      <c r="K15" s="12" t="s">
        <v>71</v>
      </c>
      <c r="L15" s="30">
        <f>90000/H15</f>
        <v>90</v>
      </c>
      <c r="M15" s="30">
        <f t="shared" ref="M15:M17" si="8">J15*L15</f>
        <v>90000</v>
      </c>
      <c r="N15" s="26" t="s">
        <v>43</v>
      </c>
    </row>
    <row r="16" spans="1:14" x14ac:dyDescent="0.25">
      <c r="A16" s="53">
        <v>44410</v>
      </c>
      <c r="B16" s="6" t="s">
        <v>84</v>
      </c>
      <c r="C16" s="6" t="s">
        <v>68</v>
      </c>
      <c r="D16" s="6"/>
      <c r="E16" s="6" t="s">
        <v>89</v>
      </c>
      <c r="F16" s="13">
        <v>2</v>
      </c>
      <c r="G16" s="12" t="s">
        <v>70</v>
      </c>
      <c r="H16" s="14">
        <v>1000</v>
      </c>
      <c r="I16" s="16" t="s">
        <v>71</v>
      </c>
      <c r="J16" s="16">
        <f t="shared" si="7"/>
        <v>2000</v>
      </c>
      <c r="K16" s="12" t="s">
        <v>71</v>
      </c>
      <c r="L16" s="30">
        <f>35000/H16</f>
        <v>35</v>
      </c>
      <c r="M16" s="30">
        <f t="shared" si="8"/>
        <v>70000</v>
      </c>
      <c r="N16" s="26" t="s">
        <v>43</v>
      </c>
    </row>
    <row r="17" spans="1:14" x14ac:dyDescent="0.25">
      <c r="A17" s="53">
        <v>44410</v>
      </c>
      <c r="B17" s="6" t="s">
        <v>84</v>
      </c>
      <c r="C17" s="6" t="s">
        <v>68</v>
      </c>
      <c r="D17" s="6"/>
      <c r="E17" s="6" t="s">
        <v>90</v>
      </c>
      <c r="F17" s="13">
        <v>1</v>
      </c>
      <c r="G17" s="12" t="s">
        <v>70</v>
      </c>
      <c r="H17" s="14">
        <v>1000</v>
      </c>
      <c r="I17" s="16" t="s">
        <v>71</v>
      </c>
      <c r="J17" s="16">
        <f t="shared" si="7"/>
        <v>1000</v>
      </c>
      <c r="K17" s="12" t="s">
        <v>71</v>
      </c>
      <c r="L17" s="30">
        <f>22000/H17</f>
        <v>22</v>
      </c>
      <c r="M17" s="30">
        <f t="shared" si="8"/>
        <v>22000</v>
      </c>
      <c r="N17" s="26" t="s">
        <v>43</v>
      </c>
    </row>
    <row r="18" spans="1:14" x14ac:dyDescent="0.25">
      <c r="A18" s="53">
        <v>44410</v>
      </c>
      <c r="B18" s="6" t="s">
        <v>84</v>
      </c>
      <c r="C18" s="6" t="s">
        <v>68</v>
      </c>
      <c r="D18" s="6"/>
      <c r="E18" s="6" t="s">
        <v>88</v>
      </c>
      <c r="F18" s="13">
        <v>6.8</v>
      </c>
      <c r="G18" s="12" t="s">
        <v>70</v>
      </c>
      <c r="H18" s="14">
        <v>1000</v>
      </c>
      <c r="I18" s="16" t="s">
        <v>71</v>
      </c>
      <c r="J18" s="16">
        <f t="shared" ref="J18:J20" si="9">F18*H18</f>
        <v>6800</v>
      </c>
      <c r="K18" s="12" t="s">
        <v>71</v>
      </c>
      <c r="L18" s="30">
        <f>30000/H18</f>
        <v>30</v>
      </c>
      <c r="M18" s="30">
        <f t="shared" ref="M18:M20" si="10">J18*L18</f>
        <v>204000</v>
      </c>
      <c r="N18" s="26" t="s">
        <v>43</v>
      </c>
    </row>
    <row r="19" spans="1:14" x14ac:dyDescent="0.25">
      <c r="A19" s="53">
        <v>44410</v>
      </c>
      <c r="B19" s="6" t="s">
        <v>84</v>
      </c>
      <c r="C19" s="6" t="s">
        <v>68</v>
      </c>
      <c r="D19" s="6"/>
      <c r="E19" s="6" t="s">
        <v>91</v>
      </c>
      <c r="F19" s="13">
        <v>2</v>
      </c>
      <c r="G19" s="12" t="s">
        <v>83</v>
      </c>
      <c r="H19" s="14">
        <v>1</v>
      </c>
      <c r="I19" s="12" t="s">
        <v>83</v>
      </c>
      <c r="J19" s="16">
        <f t="shared" si="9"/>
        <v>2</v>
      </c>
      <c r="K19" s="12" t="s">
        <v>83</v>
      </c>
      <c r="L19" s="30">
        <f>95000/H19</f>
        <v>95000</v>
      </c>
      <c r="M19" s="30">
        <f t="shared" si="10"/>
        <v>190000</v>
      </c>
      <c r="N19" s="26" t="s">
        <v>43</v>
      </c>
    </row>
    <row r="20" spans="1:14" x14ac:dyDescent="0.25">
      <c r="A20" s="53">
        <v>44410</v>
      </c>
      <c r="B20" s="6" t="s">
        <v>84</v>
      </c>
      <c r="C20" s="6" t="s">
        <v>68</v>
      </c>
      <c r="D20" s="6"/>
      <c r="E20" s="6" t="s">
        <v>118</v>
      </c>
      <c r="F20" s="13">
        <v>2</v>
      </c>
      <c r="G20" s="12" t="s">
        <v>83</v>
      </c>
      <c r="H20" s="14">
        <v>1</v>
      </c>
      <c r="I20" s="12" t="s">
        <v>83</v>
      </c>
      <c r="J20" s="16">
        <f t="shared" si="9"/>
        <v>2</v>
      </c>
      <c r="K20" s="12" t="s">
        <v>83</v>
      </c>
      <c r="L20" s="30">
        <f>105000/H20</f>
        <v>105000</v>
      </c>
      <c r="M20" s="30">
        <f t="shared" si="10"/>
        <v>210000</v>
      </c>
      <c r="N20" s="26" t="s">
        <v>43</v>
      </c>
    </row>
    <row r="21" spans="1:14" x14ac:dyDescent="0.25">
      <c r="A21" s="53">
        <v>44410</v>
      </c>
      <c r="B21" s="6" t="s">
        <v>92</v>
      </c>
      <c r="C21" s="6" t="s">
        <v>95</v>
      </c>
      <c r="D21" s="6"/>
      <c r="E21" s="6" t="s">
        <v>96</v>
      </c>
      <c r="F21" s="13">
        <v>90</v>
      </c>
      <c r="G21" s="12" t="s">
        <v>70</v>
      </c>
      <c r="H21" s="14">
        <v>1000</v>
      </c>
      <c r="I21" s="16" t="s">
        <v>71</v>
      </c>
      <c r="J21" s="16">
        <f>F21*H21</f>
        <v>90000</v>
      </c>
      <c r="K21" s="12" t="s">
        <v>71</v>
      </c>
      <c r="L21" s="30">
        <f>92000/H21</f>
        <v>92</v>
      </c>
      <c r="M21" s="30">
        <f>J21*L21</f>
        <v>8280000</v>
      </c>
      <c r="N21" s="26" t="s">
        <v>43</v>
      </c>
    </row>
    <row r="22" spans="1:14" x14ac:dyDescent="0.25">
      <c r="A22" s="53">
        <v>44410</v>
      </c>
      <c r="B22" s="6" t="s">
        <v>92</v>
      </c>
      <c r="C22" s="6" t="s">
        <v>95</v>
      </c>
      <c r="D22" s="6"/>
      <c r="E22" s="6" t="s">
        <v>97</v>
      </c>
      <c r="F22" s="13">
        <v>5</v>
      </c>
      <c r="G22" s="12" t="s">
        <v>59</v>
      </c>
      <c r="H22" s="14">
        <v>1</v>
      </c>
      <c r="I22" s="16" t="s">
        <v>59</v>
      </c>
      <c r="J22" s="16">
        <f>F22*H22</f>
        <v>5</v>
      </c>
      <c r="K22" s="12" t="s">
        <v>59</v>
      </c>
      <c r="L22" s="30">
        <f>60000/H22</f>
        <v>60000</v>
      </c>
      <c r="M22" s="30">
        <f>J22*L22</f>
        <v>300000</v>
      </c>
      <c r="N22" s="26" t="s">
        <v>43</v>
      </c>
    </row>
    <row r="23" spans="1:14" x14ac:dyDescent="0.25">
      <c r="A23" s="53">
        <v>44410</v>
      </c>
      <c r="B23" s="6" t="s">
        <v>93</v>
      </c>
      <c r="C23" s="6" t="s">
        <v>98</v>
      </c>
      <c r="D23" s="6"/>
      <c r="E23" s="6" t="s">
        <v>99</v>
      </c>
      <c r="F23" s="13">
        <v>600</v>
      </c>
      <c r="G23" s="12" t="s">
        <v>63</v>
      </c>
      <c r="H23" s="14">
        <v>1</v>
      </c>
      <c r="I23" s="16" t="s">
        <v>63</v>
      </c>
      <c r="J23" s="16">
        <f t="shared" ref="J23:J29" si="11">F23*H23</f>
        <v>600</v>
      </c>
      <c r="K23" s="16" t="s">
        <v>63</v>
      </c>
      <c r="L23" s="30">
        <f>1900/H23</f>
        <v>1900</v>
      </c>
      <c r="M23" s="30">
        <f t="shared" ref="M23:M29" si="12">J23*L23</f>
        <v>1140000</v>
      </c>
      <c r="N23" s="26" t="s">
        <v>43</v>
      </c>
    </row>
    <row r="24" spans="1:14" x14ac:dyDescent="0.25">
      <c r="A24" s="53">
        <v>44410</v>
      </c>
      <c r="B24" s="6" t="s">
        <v>94</v>
      </c>
      <c r="C24" s="6" t="s">
        <v>100</v>
      </c>
      <c r="D24" s="6"/>
      <c r="E24" s="6" t="s">
        <v>101</v>
      </c>
      <c r="F24" s="13">
        <v>300</v>
      </c>
      <c r="G24" s="12" t="s">
        <v>70</v>
      </c>
      <c r="H24" s="14">
        <v>1000</v>
      </c>
      <c r="I24" s="16" t="s">
        <v>71</v>
      </c>
      <c r="J24" s="16">
        <f t="shared" si="11"/>
        <v>300000</v>
      </c>
      <c r="K24" s="12" t="s">
        <v>71</v>
      </c>
      <c r="L24" s="30">
        <f>75000/H24</f>
        <v>75</v>
      </c>
      <c r="M24" s="30">
        <f t="shared" si="12"/>
        <v>22500000</v>
      </c>
      <c r="N24" s="26" t="s">
        <v>43</v>
      </c>
    </row>
    <row r="25" spans="1:14" x14ac:dyDescent="0.25">
      <c r="A25" s="53">
        <v>44410</v>
      </c>
      <c r="B25" s="6" t="s">
        <v>94</v>
      </c>
      <c r="C25" s="6" t="s">
        <v>100</v>
      </c>
      <c r="D25" s="6"/>
      <c r="E25" s="6" t="s">
        <v>102</v>
      </c>
      <c r="F25" s="13">
        <v>10</v>
      </c>
      <c r="G25" s="12" t="s">
        <v>103</v>
      </c>
      <c r="H25" s="14">
        <v>1</v>
      </c>
      <c r="I25" s="16" t="s">
        <v>103</v>
      </c>
      <c r="J25" s="16">
        <f t="shared" si="11"/>
        <v>10</v>
      </c>
      <c r="K25" s="12" t="s">
        <v>103</v>
      </c>
      <c r="L25" s="30">
        <f>40000/H25</f>
        <v>40000</v>
      </c>
      <c r="M25" s="30">
        <f t="shared" si="12"/>
        <v>400000</v>
      </c>
      <c r="N25" s="26" t="s">
        <v>43</v>
      </c>
    </row>
    <row r="26" spans="1:14" x14ac:dyDescent="0.25">
      <c r="A26" s="53">
        <v>44410</v>
      </c>
      <c r="B26" s="6" t="s">
        <v>94</v>
      </c>
      <c r="C26" s="6" t="s">
        <v>100</v>
      </c>
      <c r="D26" s="6"/>
      <c r="E26" s="6" t="s">
        <v>104</v>
      </c>
      <c r="F26" s="13">
        <v>6</v>
      </c>
      <c r="G26" s="12" t="s">
        <v>59</v>
      </c>
      <c r="H26" s="14">
        <v>1</v>
      </c>
      <c r="I26" s="16" t="s">
        <v>59</v>
      </c>
      <c r="J26" s="16">
        <f t="shared" si="11"/>
        <v>6</v>
      </c>
      <c r="K26" s="12" t="s">
        <v>59</v>
      </c>
      <c r="L26" s="30">
        <f>63500/H26</f>
        <v>63500</v>
      </c>
      <c r="M26" s="30">
        <f t="shared" si="12"/>
        <v>381000</v>
      </c>
      <c r="N26" s="26" t="s">
        <v>43</v>
      </c>
    </row>
    <row r="27" spans="1:14" x14ac:dyDescent="0.25">
      <c r="A27" s="53">
        <v>44410</v>
      </c>
      <c r="B27" s="6" t="s">
        <v>105</v>
      </c>
      <c r="C27" s="6" t="s">
        <v>107</v>
      </c>
      <c r="D27" s="6"/>
      <c r="E27" s="6" t="s">
        <v>108</v>
      </c>
      <c r="F27" s="13">
        <v>70</v>
      </c>
      <c r="G27" s="12" t="s">
        <v>70</v>
      </c>
      <c r="H27" s="14">
        <v>1000</v>
      </c>
      <c r="I27" s="16" t="s">
        <v>71</v>
      </c>
      <c r="J27" s="16">
        <f t="shared" si="11"/>
        <v>70000</v>
      </c>
      <c r="K27" s="12" t="s">
        <v>71</v>
      </c>
      <c r="L27" s="30">
        <f>243000/H27</f>
        <v>243</v>
      </c>
      <c r="M27" s="30">
        <f t="shared" si="12"/>
        <v>17010000</v>
      </c>
      <c r="N27" s="26" t="s">
        <v>43</v>
      </c>
    </row>
    <row r="28" spans="1:14" x14ac:dyDescent="0.25">
      <c r="A28" s="53">
        <v>44410</v>
      </c>
      <c r="B28" s="6" t="s">
        <v>106</v>
      </c>
      <c r="C28" s="6" t="s">
        <v>109</v>
      </c>
      <c r="D28" s="6"/>
      <c r="E28" s="6" t="s">
        <v>110</v>
      </c>
      <c r="F28" s="13">
        <v>114</v>
      </c>
      <c r="G28" s="12" t="s">
        <v>103</v>
      </c>
      <c r="H28" s="14">
        <v>1</v>
      </c>
      <c r="I28" s="12" t="s">
        <v>103</v>
      </c>
      <c r="J28" s="16">
        <f t="shared" si="11"/>
        <v>114</v>
      </c>
      <c r="K28" s="12" t="s">
        <v>103</v>
      </c>
      <c r="L28" s="30">
        <f>40000/H28</f>
        <v>40000</v>
      </c>
      <c r="M28" s="30">
        <f t="shared" si="12"/>
        <v>4560000</v>
      </c>
      <c r="N28" s="26" t="s">
        <v>43</v>
      </c>
    </row>
    <row r="29" spans="1:14" x14ac:dyDescent="0.25">
      <c r="A29" s="53">
        <v>44410</v>
      </c>
      <c r="B29" s="6" t="s">
        <v>106</v>
      </c>
      <c r="C29" s="6" t="s">
        <v>109</v>
      </c>
      <c r="D29" s="6"/>
      <c r="E29" s="6" t="s">
        <v>111</v>
      </c>
      <c r="F29" s="13">
        <v>12</v>
      </c>
      <c r="G29" s="12" t="s">
        <v>103</v>
      </c>
      <c r="H29" s="14">
        <v>1</v>
      </c>
      <c r="I29" s="12" t="s">
        <v>103</v>
      </c>
      <c r="J29" s="16">
        <f t="shared" si="11"/>
        <v>12</v>
      </c>
      <c r="K29" s="12" t="s">
        <v>103</v>
      </c>
      <c r="L29" s="30">
        <f>165000/H29</f>
        <v>165000</v>
      </c>
      <c r="M29" s="30">
        <f t="shared" si="12"/>
        <v>1980000</v>
      </c>
      <c r="N29" s="26" t="s">
        <v>43</v>
      </c>
    </row>
    <row r="30" spans="1:14" x14ac:dyDescent="0.25">
      <c r="A30" s="53">
        <v>44410</v>
      </c>
      <c r="B30" s="6" t="s">
        <v>112</v>
      </c>
      <c r="C30" s="6" t="s">
        <v>113</v>
      </c>
      <c r="D30" s="6"/>
      <c r="E30" s="6" t="s">
        <v>114</v>
      </c>
      <c r="F30" s="13">
        <v>20</v>
      </c>
      <c r="G30" s="12" t="s">
        <v>59</v>
      </c>
      <c r="H30" s="14">
        <v>1</v>
      </c>
      <c r="I30" s="16" t="s">
        <v>59</v>
      </c>
      <c r="J30" s="16">
        <f t="shared" ref="J30" si="13">F30*H30</f>
        <v>20</v>
      </c>
      <c r="K30" s="12" t="s">
        <v>59</v>
      </c>
      <c r="L30" s="30">
        <f>23000/H30</f>
        <v>23000</v>
      </c>
      <c r="M30" s="30">
        <f t="shared" ref="M30" si="14">J30*L30</f>
        <v>460000</v>
      </c>
      <c r="N30" s="26" t="s">
        <v>43</v>
      </c>
    </row>
    <row r="31" spans="1:14" x14ac:dyDescent="0.25">
      <c r="A31" s="53">
        <v>44410</v>
      </c>
      <c r="B31" s="6" t="s">
        <v>112</v>
      </c>
      <c r="C31" s="6" t="s">
        <v>113</v>
      </c>
      <c r="D31" s="6"/>
      <c r="E31" s="6" t="s">
        <v>115</v>
      </c>
      <c r="F31" s="13">
        <v>1</v>
      </c>
      <c r="G31" s="12" t="s">
        <v>83</v>
      </c>
      <c r="H31" s="14">
        <v>1</v>
      </c>
      <c r="I31" s="12" t="s">
        <v>83</v>
      </c>
      <c r="J31" s="16">
        <f t="shared" ref="J31" si="15">F31*H31</f>
        <v>1</v>
      </c>
      <c r="K31" s="12" t="s">
        <v>83</v>
      </c>
      <c r="L31" s="30">
        <f>390000/H31</f>
        <v>390000</v>
      </c>
      <c r="M31" s="30">
        <f t="shared" ref="M31" si="16">J31*L31</f>
        <v>390000</v>
      </c>
      <c r="N31" s="26" t="s">
        <v>43</v>
      </c>
    </row>
    <row r="32" spans="1:14" x14ac:dyDescent="0.25">
      <c r="A32" s="53">
        <v>44410</v>
      </c>
      <c r="B32" s="6" t="s">
        <v>112</v>
      </c>
      <c r="C32" s="6" t="s">
        <v>113</v>
      </c>
      <c r="D32" s="6"/>
      <c r="E32" s="6" t="s">
        <v>116</v>
      </c>
      <c r="F32" s="13"/>
      <c r="G32" s="12"/>
      <c r="H32" s="14"/>
      <c r="I32" s="12"/>
      <c r="J32" s="16"/>
      <c r="K32" s="12"/>
      <c r="L32" s="30"/>
      <c r="M32" s="30">
        <v>60700</v>
      </c>
      <c r="N32" s="26" t="s">
        <v>43</v>
      </c>
    </row>
    <row r="33" spans="1:14" x14ac:dyDescent="0.25">
      <c r="A33" s="53">
        <v>44410</v>
      </c>
      <c r="B33" s="6" t="s">
        <v>119</v>
      </c>
      <c r="C33" s="6" t="s">
        <v>120</v>
      </c>
      <c r="D33" s="6"/>
      <c r="E33" s="6" t="s">
        <v>121</v>
      </c>
      <c r="F33" s="13">
        <v>20</v>
      </c>
      <c r="G33" s="12" t="s">
        <v>70</v>
      </c>
      <c r="H33" s="14">
        <v>1000</v>
      </c>
      <c r="I33" s="16" t="s">
        <v>71</v>
      </c>
      <c r="J33" s="16">
        <f t="shared" ref="J33" si="17">F33*H33</f>
        <v>20000</v>
      </c>
      <c r="K33" s="12" t="s">
        <v>71</v>
      </c>
      <c r="L33" s="30">
        <f>158840/H33</f>
        <v>158.84</v>
      </c>
      <c r="M33" s="30">
        <f t="shared" ref="M33" si="18">J33*L33</f>
        <v>3176800</v>
      </c>
      <c r="N33" s="26" t="s">
        <v>43</v>
      </c>
    </row>
    <row r="34" spans="1:14" x14ac:dyDescent="0.25">
      <c r="M34" s="42">
        <f>SUM(M12:M33)</f>
        <v>61924500</v>
      </c>
    </row>
    <row r="35" spans="1:14" x14ac:dyDescent="0.25">
      <c r="A35" s="53">
        <v>44411</v>
      </c>
      <c r="B35" s="6" t="s">
        <v>122</v>
      </c>
      <c r="C35" s="6" t="s">
        <v>100</v>
      </c>
      <c r="D35" s="6"/>
      <c r="E35" s="6" t="s">
        <v>101</v>
      </c>
      <c r="F35" s="13">
        <v>300</v>
      </c>
      <c r="G35" s="12" t="s">
        <v>70</v>
      </c>
      <c r="H35" s="14">
        <v>1000</v>
      </c>
      <c r="I35" s="16" t="s">
        <v>71</v>
      </c>
      <c r="J35" s="16">
        <f t="shared" ref="J35" si="19">F35*H35</f>
        <v>300000</v>
      </c>
      <c r="K35" s="12" t="s">
        <v>71</v>
      </c>
      <c r="L35" s="30">
        <f>75000/H35</f>
        <v>75</v>
      </c>
      <c r="M35" s="30">
        <f t="shared" ref="M35" si="20">J35*L35</f>
        <v>22500000</v>
      </c>
      <c r="N35" s="26" t="s">
        <v>43</v>
      </c>
    </row>
    <row r="36" spans="1:14" x14ac:dyDescent="0.25">
      <c r="A36" s="53">
        <v>44411</v>
      </c>
      <c r="B36" s="6" t="s">
        <v>123</v>
      </c>
      <c r="C36" s="6" t="s">
        <v>68</v>
      </c>
      <c r="D36" s="6"/>
      <c r="E36" s="6" t="s">
        <v>69</v>
      </c>
      <c r="F36" s="13">
        <v>3</v>
      </c>
      <c r="G36" s="12" t="s">
        <v>70</v>
      </c>
      <c r="H36" s="14">
        <v>1000</v>
      </c>
      <c r="I36" s="16" t="s">
        <v>71</v>
      </c>
      <c r="J36" s="16">
        <f>F36*H36</f>
        <v>3000</v>
      </c>
      <c r="K36" s="12" t="s">
        <v>71</v>
      </c>
      <c r="L36" s="30">
        <f>45000/H36</f>
        <v>45</v>
      </c>
      <c r="M36" s="30">
        <f>J36*L36</f>
        <v>135000</v>
      </c>
      <c r="N36" s="26" t="s">
        <v>43</v>
      </c>
    </row>
    <row r="37" spans="1:14" x14ac:dyDescent="0.25">
      <c r="A37" s="53">
        <v>44411</v>
      </c>
      <c r="B37" s="6" t="s">
        <v>123</v>
      </c>
      <c r="C37" s="6" t="s">
        <v>68</v>
      </c>
      <c r="D37" s="6"/>
      <c r="E37" s="6" t="s">
        <v>124</v>
      </c>
      <c r="F37" s="13">
        <v>5</v>
      </c>
      <c r="G37" s="12" t="s">
        <v>70</v>
      </c>
      <c r="H37" s="14">
        <v>1000</v>
      </c>
      <c r="I37" s="16" t="s">
        <v>71</v>
      </c>
      <c r="J37" s="16">
        <f>F37*H37</f>
        <v>5000</v>
      </c>
      <c r="K37" s="12" t="s">
        <v>71</v>
      </c>
      <c r="L37" s="30">
        <f>40000/H37</f>
        <v>40</v>
      </c>
      <c r="M37" s="30">
        <f>J37*L37</f>
        <v>200000</v>
      </c>
      <c r="N37" s="26" t="s">
        <v>43</v>
      </c>
    </row>
    <row r="38" spans="1:14" x14ac:dyDescent="0.25">
      <c r="A38" s="53">
        <v>44411</v>
      </c>
      <c r="B38" s="6" t="s">
        <v>123</v>
      </c>
      <c r="C38" s="6" t="s">
        <v>68</v>
      </c>
      <c r="D38" s="6"/>
      <c r="E38" s="6" t="s">
        <v>125</v>
      </c>
      <c r="F38" s="13">
        <v>1</v>
      </c>
      <c r="G38" s="12" t="s">
        <v>70</v>
      </c>
      <c r="H38" s="14">
        <v>1000</v>
      </c>
      <c r="I38" s="16" t="s">
        <v>71</v>
      </c>
      <c r="J38" s="16">
        <f t="shared" ref="J38:J42" si="21">F38*H38</f>
        <v>1000</v>
      </c>
      <c r="K38" s="12" t="s">
        <v>71</v>
      </c>
      <c r="L38" s="30">
        <f>35000/H38</f>
        <v>35</v>
      </c>
      <c r="M38" s="30">
        <f t="shared" ref="M38:M42" si="22">J38*L38</f>
        <v>35000</v>
      </c>
      <c r="N38" s="26" t="s">
        <v>43</v>
      </c>
    </row>
    <row r="39" spans="1:14" x14ac:dyDescent="0.25">
      <c r="A39" s="53">
        <v>44411</v>
      </c>
      <c r="B39" s="6" t="s">
        <v>123</v>
      </c>
      <c r="C39" s="6" t="s">
        <v>68</v>
      </c>
      <c r="D39" s="6"/>
      <c r="E39" s="6" t="s">
        <v>74</v>
      </c>
      <c r="F39" s="13">
        <v>6</v>
      </c>
      <c r="G39" s="12" t="s">
        <v>62</v>
      </c>
      <c r="H39" s="14">
        <v>1</v>
      </c>
      <c r="I39" s="16" t="s">
        <v>62</v>
      </c>
      <c r="J39" s="16">
        <f t="shared" si="21"/>
        <v>6</v>
      </c>
      <c r="K39" s="12" t="s">
        <v>62</v>
      </c>
      <c r="L39" s="30">
        <f t="shared" ref="L39:L40" si="23">6500/H39</f>
        <v>6500</v>
      </c>
      <c r="M39" s="30">
        <f t="shared" si="22"/>
        <v>39000</v>
      </c>
      <c r="N39" s="26" t="s">
        <v>43</v>
      </c>
    </row>
    <row r="40" spans="1:14" x14ac:dyDescent="0.25">
      <c r="A40" s="53">
        <v>44411</v>
      </c>
      <c r="B40" s="6" t="s">
        <v>123</v>
      </c>
      <c r="C40" s="6" t="s">
        <v>68</v>
      </c>
      <c r="D40" s="6"/>
      <c r="E40" s="6" t="s">
        <v>75</v>
      </c>
      <c r="F40" s="13">
        <v>6</v>
      </c>
      <c r="G40" s="12" t="s">
        <v>62</v>
      </c>
      <c r="H40" s="14">
        <v>1</v>
      </c>
      <c r="I40" s="16" t="s">
        <v>62</v>
      </c>
      <c r="J40" s="16">
        <f t="shared" si="21"/>
        <v>6</v>
      </c>
      <c r="K40" s="12" t="s">
        <v>62</v>
      </c>
      <c r="L40" s="30">
        <f t="shared" si="23"/>
        <v>6500</v>
      </c>
      <c r="M40" s="30">
        <f t="shared" si="22"/>
        <v>39000</v>
      </c>
      <c r="N40" s="26" t="s">
        <v>43</v>
      </c>
    </row>
    <row r="41" spans="1:14" x14ac:dyDescent="0.25">
      <c r="A41" s="53">
        <v>44411</v>
      </c>
      <c r="B41" s="6" t="s">
        <v>123</v>
      </c>
      <c r="C41" s="6" t="s">
        <v>68</v>
      </c>
      <c r="D41" s="6"/>
      <c r="E41" s="6" t="s">
        <v>91</v>
      </c>
      <c r="F41" s="13">
        <v>2</v>
      </c>
      <c r="G41" s="12" t="s">
        <v>83</v>
      </c>
      <c r="H41" s="14">
        <v>1</v>
      </c>
      <c r="I41" s="12" t="s">
        <v>83</v>
      </c>
      <c r="J41" s="16">
        <f t="shared" si="21"/>
        <v>2</v>
      </c>
      <c r="K41" s="12" t="s">
        <v>83</v>
      </c>
      <c r="L41" s="30">
        <f>95000/H41</f>
        <v>95000</v>
      </c>
      <c r="M41" s="30">
        <f t="shared" si="22"/>
        <v>190000</v>
      </c>
      <c r="N41" s="26" t="s">
        <v>43</v>
      </c>
    </row>
    <row r="42" spans="1:14" x14ac:dyDescent="0.25">
      <c r="A42" s="53">
        <v>44411</v>
      </c>
      <c r="B42" s="6" t="s">
        <v>126</v>
      </c>
      <c r="C42" s="6" t="s">
        <v>130</v>
      </c>
      <c r="D42" s="6"/>
      <c r="E42" s="6" t="s">
        <v>131</v>
      </c>
      <c r="F42" s="13">
        <v>560</v>
      </c>
      <c r="G42" s="12" t="s">
        <v>63</v>
      </c>
      <c r="H42" s="14">
        <v>1</v>
      </c>
      <c r="I42" s="16" t="s">
        <v>63</v>
      </c>
      <c r="J42" s="16">
        <f t="shared" si="21"/>
        <v>560</v>
      </c>
      <c r="K42" s="16" t="s">
        <v>63</v>
      </c>
      <c r="L42" s="30">
        <f>3200/H42</f>
        <v>3200</v>
      </c>
      <c r="M42" s="30">
        <f t="shared" si="22"/>
        <v>1792000</v>
      </c>
      <c r="N42" s="26" t="s">
        <v>43</v>
      </c>
    </row>
    <row r="43" spans="1:14" x14ac:dyDescent="0.25">
      <c r="A43" s="53">
        <v>44411</v>
      </c>
      <c r="B43" s="6" t="s">
        <v>127</v>
      </c>
      <c r="C43" s="6" t="s">
        <v>132</v>
      </c>
      <c r="D43" s="6"/>
      <c r="E43" s="6" t="s">
        <v>133</v>
      </c>
      <c r="F43" s="13">
        <v>4</v>
      </c>
      <c r="G43" s="12" t="s">
        <v>134</v>
      </c>
      <c r="H43" s="14">
        <v>1</v>
      </c>
      <c r="I43" s="12" t="s">
        <v>134</v>
      </c>
      <c r="J43" s="16">
        <f t="shared" ref="J43:J45" si="24">F43*H43</f>
        <v>4</v>
      </c>
      <c r="K43" s="12" t="s">
        <v>134</v>
      </c>
      <c r="L43" s="30">
        <f>412500/H43</f>
        <v>412500</v>
      </c>
      <c r="M43" s="30">
        <f t="shared" ref="M43:M45" si="25">J43*L43</f>
        <v>1650000</v>
      </c>
      <c r="N43" s="26" t="s">
        <v>43</v>
      </c>
    </row>
    <row r="44" spans="1:14" x14ac:dyDescent="0.25">
      <c r="A44" s="53">
        <v>44411</v>
      </c>
      <c r="B44" s="6" t="s">
        <v>127</v>
      </c>
      <c r="C44" s="6" t="s">
        <v>132</v>
      </c>
      <c r="D44" s="6"/>
      <c r="E44" s="6" t="s">
        <v>135</v>
      </c>
      <c r="F44" s="13">
        <v>3</v>
      </c>
      <c r="G44" s="12" t="s">
        <v>83</v>
      </c>
      <c r="H44" s="14">
        <v>1</v>
      </c>
      <c r="I44" s="12" t="s">
        <v>83</v>
      </c>
      <c r="J44" s="16">
        <f t="shared" si="24"/>
        <v>3</v>
      </c>
      <c r="K44" s="12" t="s">
        <v>83</v>
      </c>
      <c r="L44" s="30">
        <f>1210000/H44</f>
        <v>1210000</v>
      </c>
      <c r="M44" s="30">
        <f t="shared" si="25"/>
        <v>3630000</v>
      </c>
      <c r="N44" s="26" t="s">
        <v>43</v>
      </c>
    </row>
    <row r="45" spans="1:14" x14ac:dyDescent="0.25">
      <c r="A45" s="53">
        <v>44411</v>
      </c>
      <c r="B45" s="6" t="s">
        <v>127</v>
      </c>
      <c r="C45" s="6" t="s">
        <v>132</v>
      </c>
      <c r="D45" s="6"/>
      <c r="E45" s="6" t="s">
        <v>136</v>
      </c>
      <c r="F45" s="13">
        <v>14</v>
      </c>
      <c r="G45" s="12" t="s">
        <v>62</v>
      </c>
      <c r="H45" s="14">
        <v>1</v>
      </c>
      <c r="I45" s="16" t="s">
        <v>62</v>
      </c>
      <c r="J45" s="16">
        <f t="shared" si="24"/>
        <v>14</v>
      </c>
      <c r="K45" s="12" t="s">
        <v>62</v>
      </c>
      <c r="L45" s="30">
        <f>27657.143/H45</f>
        <v>27657.143</v>
      </c>
      <c r="M45" s="30">
        <f t="shared" si="25"/>
        <v>387200.00199999998</v>
      </c>
      <c r="N45" s="26" t="s">
        <v>43</v>
      </c>
    </row>
    <row r="46" spans="1:14" x14ac:dyDescent="0.25">
      <c r="A46" s="53">
        <v>44411</v>
      </c>
      <c r="B46" s="6" t="s">
        <v>127</v>
      </c>
      <c r="C46" s="6" t="s">
        <v>132</v>
      </c>
      <c r="D46" s="6"/>
      <c r="E46" s="6" t="s">
        <v>137</v>
      </c>
      <c r="F46" s="13">
        <v>2</v>
      </c>
      <c r="G46" s="12" t="s">
        <v>134</v>
      </c>
      <c r="H46" s="14">
        <v>1</v>
      </c>
      <c r="I46" s="12" t="s">
        <v>134</v>
      </c>
      <c r="J46" s="16">
        <f t="shared" ref="J46:J47" si="26">F46*H46</f>
        <v>2</v>
      </c>
      <c r="K46" s="12" t="s">
        <v>134</v>
      </c>
      <c r="L46" s="30">
        <f>528000/H46</f>
        <v>528000</v>
      </c>
      <c r="M46" s="30">
        <f t="shared" ref="M46:M47" si="27">J46*L46</f>
        <v>1056000</v>
      </c>
      <c r="N46" s="26" t="s">
        <v>43</v>
      </c>
    </row>
    <row r="47" spans="1:14" x14ac:dyDescent="0.25">
      <c r="A47" s="53">
        <v>44411</v>
      </c>
      <c r="B47" s="6" t="s">
        <v>216</v>
      </c>
      <c r="C47" s="6" t="s">
        <v>217</v>
      </c>
      <c r="D47" s="6"/>
      <c r="E47" s="6" t="s">
        <v>218</v>
      </c>
      <c r="F47" s="13">
        <v>11.074999999999999</v>
      </c>
      <c r="G47" s="12" t="s">
        <v>70</v>
      </c>
      <c r="H47" s="14">
        <v>1000</v>
      </c>
      <c r="I47" s="16" t="s">
        <v>71</v>
      </c>
      <c r="J47" s="16">
        <f t="shared" si="26"/>
        <v>11075</v>
      </c>
      <c r="K47" s="12" t="s">
        <v>71</v>
      </c>
      <c r="L47" s="30">
        <f>330000/H47</f>
        <v>330</v>
      </c>
      <c r="M47" s="30">
        <f t="shared" si="27"/>
        <v>3654750</v>
      </c>
      <c r="N47" s="26" t="s">
        <v>43</v>
      </c>
    </row>
    <row r="48" spans="1:14" x14ac:dyDescent="0.25">
      <c r="M48" s="42">
        <f>SUM(M35:M47)</f>
        <v>35307950.002000004</v>
      </c>
    </row>
    <row r="49" spans="1:14" x14ac:dyDescent="0.25">
      <c r="A49" s="53">
        <v>44412</v>
      </c>
      <c r="B49" s="6" t="s">
        <v>168</v>
      </c>
      <c r="C49" s="6" t="s">
        <v>68</v>
      </c>
      <c r="D49" s="6"/>
      <c r="E49" s="6" t="s">
        <v>69</v>
      </c>
      <c r="F49" s="13">
        <v>3</v>
      </c>
      <c r="G49" s="12" t="s">
        <v>70</v>
      </c>
      <c r="H49" s="14">
        <v>1000</v>
      </c>
      <c r="I49" s="16" t="s">
        <v>71</v>
      </c>
      <c r="J49" s="16">
        <f>F49*H49</f>
        <v>3000</v>
      </c>
      <c r="K49" s="12" t="s">
        <v>71</v>
      </c>
      <c r="L49" s="30">
        <f>45000/H49</f>
        <v>45</v>
      </c>
      <c r="M49" s="30">
        <f>J49*L49</f>
        <v>135000</v>
      </c>
      <c r="N49" s="26" t="s">
        <v>43</v>
      </c>
    </row>
    <row r="50" spans="1:14" x14ac:dyDescent="0.25">
      <c r="A50" s="53">
        <v>44412</v>
      </c>
      <c r="B50" s="6" t="s">
        <v>168</v>
      </c>
      <c r="C50" s="6" t="s">
        <v>68</v>
      </c>
      <c r="D50" s="6"/>
      <c r="E50" s="6" t="s">
        <v>72</v>
      </c>
      <c r="F50" s="13">
        <v>2.7</v>
      </c>
      <c r="G50" s="12" t="s">
        <v>70</v>
      </c>
      <c r="H50" s="14">
        <v>1000</v>
      </c>
      <c r="I50" s="16" t="s">
        <v>71</v>
      </c>
      <c r="J50" s="16">
        <f t="shared" ref="J50" si="28">F50*H50</f>
        <v>2700</v>
      </c>
      <c r="K50" s="12" t="s">
        <v>71</v>
      </c>
      <c r="L50" s="30">
        <f>45000/H50</f>
        <v>45</v>
      </c>
      <c r="M50" s="30">
        <f t="shared" ref="M50" si="29">J50*L50</f>
        <v>121500</v>
      </c>
      <c r="N50" s="26" t="s">
        <v>43</v>
      </c>
    </row>
    <row r="51" spans="1:14" x14ac:dyDescent="0.25">
      <c r="A51" s="53">
        <v>44412</v>
      </c>
      <c r="B51" s="6" t="s">
        <v>168</v>
      </c>
      <c r="C51" s="6" t="s">
        <v>68</v>
      </c>
      <c r="D51" s="6"/>
      <c r="E51" s="6" t="s">
        <v>87</v>
      </c>
      <c r="F51" s="13">
        <v>3</v>
      </c>
      <c r="G51" s="12" t="s">
        <v>70</v>
      </c>
      <c r="H51" s="14">
        <v>1000</v>
      </c>
      <c r="I51" s="16" t="s">
        <v>71</v>
      </c>
      <c r="J51" s="16">
        <f t="shared" ref="J51" si="30">F51*H51</f>
        <v>3000</v>
      </c>
      <c r="K51" s="12" t="s">
        <v>71</v>
      </c>
      <c r="L51" s="30">
        <f>90000/H51</f>
        <v>90</v>
      </c>
      <c r="M51" s="30">
        <f t="shared" ref="M51" si="31">J51*L51</f>
        <v>270000</v>
      </c>
      <c r="N51" s="26" t="s">
        <v>43</v>
      </c>
    </row>
    <row r="52" spans="1:14" x14ac:dyDescent="0.25">
      <c r="A52" s="53">
        <v>44412</v>
      </c>
      <c r="B52" s="6" t="s">
        <v>168</v>
      </c>
      <c r="C52" s="6" t="s">
        <v>68</v>
      </c>
      <c r="D52" s="6"/>
      <c r="E52" s="6" t="s">
        <v>169</v>
      </c>
      <c r="F52" s="13">
        <v>20</v>
      </c>
      <c r="G52" s="12" t="s">
        <v>70</v>
      </c>
      <c r="H52" s="14">
        <v>1000</v>
      </c>
      <c r="I52" s="16" t="s">
        <v>71</v>
      </c>
      <c r="J52" s="16">
        <f t="shared" ref="J52" si="32">F52*H52</f>
        <v>20000</v>
      </c>
      <c r="K52" s="12" t="s">
        <v>71</v>
      </c>
      <c r="L52" s="30">
        <f>20000/H52</f>
        <v>20</v>
      </c>
      <c r="M52" s="30">
        <f t="shared" ref="M52" si="33">J52*L52</f>
        <v>400000</v>
      </c>
      <c r="N52" s="26" t="s">
        <v>43</v>
      </c>
    </row>
    <row r="53" spans="1:14" x14ac:dyDescent="0.25">
      <c r="A53" s="53">
        <v>44412</v>
      </c>
      <c r="B53" s="6" t="s">
        <v>168</v>
      </c>
      <c r="C53" s="6" t="s">
        <v>68</v>
      </c>
      <c r="D53" s="6"/>
      <c r="E53" s="6" t="s">
        <v>170</v>
      </c>
      <c r="F53" s="13">
        <v>10</v>
      </c>
      <c r="G53" s="12" t="s">
        <v>70</v>
      </c>
      <c r="H53" s="14">
        <v>1000</v>
      </c>
      <c r="I53" s="16" t="s">
        <v>71</v>
      </c>
      <c r="J53" s="16">
        <f t="shared" ref="J53" si="34">F53*H53</f>
        <v>10000</v>
      </c>
      <c r="K53" s="12" t="s">
        <v>71</v>
      </c>
      <c r="L53" s="30">
        <f>30000/H53</f>
        <v>30</v>
      </c>
      <c r="M53" s="30">
        <f t="shared" ref="M53" si="35">J53*L53</f>
        <v>300000</v>
      </c>
      <c r="N53" s="26" t="s">
        <v>43</v>
      </c>
    </row>
    <row r="54" spans="1:14" x14ac:dyDescent="0.25">
      <c r="A54" s="53">
        <v>44412</v>
      </c>
      <c r="B54" s="6" t="s">
        <v>168</v>
      </c>
      <c r="C54" s="6" t="s">
        <v>68</v>
      </c>
      <c r="D54" s="6"/>
      <c r="E54" s="6" t="s">
        <v>171</v>
      </c>
      <c r="F54" s="13">
        <v>1</v>
      </c>
      <c r="G54" s="12" t="s">
        <v>70</v>
      </c>
      <c r="H54" s="14">
        <v>1000</v>
      </c>
      <c r="I54" s="16" t="s">
        <v>71</v>
      </c>
      <c r="J54" s="16">
        <f t="shared" ref="J54:J56" si="36">F54*H54</f>
        <v>1000</v>
      </c>
      <c r="K54" s="12" t="s">
        <v>71</v>
      </c>
      <c r="L54" s="30">
        <f>65000/H54</f>
        <v>65</v>
      </c>
      <c r="M54" s="30">
        <f t="shared" ref="M54:M56" si="37">J54*L54</f>
        <v>65000</v>
      </c>
      <c r="N54" s="26" t="s">
        <v>43</v>
      </c>
    </row>
    <row r="55" spans="1:14" x14ac:dyDescent="0.25">
      <c r="A55" s="53">
        <v>44412</v>
      </c>
      <c r="B55" s="6" t="s">
        <v>168</v>
      </c>
      <c r="C55" s="6" t="s">
        <v>68</v>
      </c>
      <c r="D55" s="6"/>
      <c r="E55" s="6" t="s">
        <v>89</v>
      </c>
      <c r="F55" s="13">
        <v>2</v>
      </c>
      <c r="G55" s="12" t="s">
        <v>70</v>
      </c>
      <c r="H55" s="14">
        <v>1000</v>
      </c>
      <c r="I55" s="16" t="s">
        <v>71</v>
      </c>
      <c r="J55" s="16">
        <f t="shared" si="36"/>
        <v>2000</v>
      </c>
      <c r="K55" s="12" t="s">
        <v>71</v>
      </c>
      <c r="L55" s="30">
        <f>35000/H55</f>
        <v>35</v>
      </c>
      <c r="M55" s="30">
        <f t="shared" si="37"/>
        <v>70000</v>
      </c>
      <c r="N55" s="26" t="s">
        <v>43</v>
      </c>
    </row>
    <row r="56" spans="1:14" x14ac:dyDescent="0.25">
      <c r="A56" s="53">
        <v>44412</v>
      </c>
      <c r="B56" s="6" t="s">
        <v>168</v>
      </c>
      <c r="C56" s="6" t="s">
        <v>68</v>
      </c>
      <c r="D56" s="6"/>
      <c r="E56" s="6" t="s">
        <v>163</v>
      </c>
      <c r="F56" s="13">
        <v>2</v>
      </c>
      <c r="G56" s="12" t="s">
        <v>59</v>
      </c>
      <c r="H56" s="14">
        <v>1</v>
      </c>
      <c r="I56" s="12" t="s">
        <v>59</v>
      </c>
      <c r="J56" s="16">
        <f t="shared" si="36"/>
        <v>2</v>
      </c>
      <c r="K56" s="12" t="s">
        <v>59</v>
      </c>
      <c r="L56" s="30">
        <f>15000/H56</f>
        <v>15000</v>
      </c>
      <c r="M56" s="30">
        <f t="shared" si="37"/>
        <v>30000</v>
      </c>
      <c r="N56" s="26" t="s">
        <v>43</v>
      </c>
    </row>
    <row r="57" spans="1:14" x14ac:dyDescent="0.25">
      <c r="A57" s="53">
        <v>44412</v>
      </c>
      <c r="B57" s="6" t="s">
        <v>168</v>
      </c>
      <c r="C57" s="6" t="s">
        <v>68</v>
      </c>
      <c r="D57" s="6"/>
      <c r="E57" s="6" t="s">
        <v>160</v>
      </c>
      <c r="F57" s="13">
        <v>2</v>
      </c>
      <c r="G57" s="12" t="s">
        <v>59</v>
      </c>
      <c r="H57" s="14">
        <v>1</v>
      </c>
      <c r="I57" s="12" t="s">
        <v>59</v>
      </c>
      <c r="J57" s="16">
        <f t="shared" ref="J57:J58" si="38">F57*H57</f>
        <v>2</v>
      </c>
      <c r="K57" s="12" t="s">
        <v>59</v>
      </c>
      <c r="L57" s="30">
        <f>15000/H57</f>
        <v>15000</v>
      </c>
      <c r="M57" s="30">
        <f t="shared" ref="M57:M58" si="39">J57*L57</f>
        <v>30000</v>
      </c>
      <c r="N57" s="26" t="s">
        <v>43</v>
      </c>
    </row>
    <row r="58" spans="1:14" x14ac:dyDescent="0.25">
      <c r="A58" s="53">
        <v>44412</v>
      </c>
      <c r="B58" s="6" t="s">
        <v>168</v>
      </c>
      <c r="C58" s="6" t="s">
        <v>68</v>
      </c>
      <c r="D58" s="6"/>
      <c r="E58" s="6" t="s">
        <v>76</v>
      </c>
      <c r="F58" s="13">
        <v>15</v>
      </c>
      <c r="G58" s="12" t="s">
        <v>70</v>
      </c>
      <c r="H58" s="14">
        <v>1000</v>
      </c>
      <c r="I58" s="16" t="s">
        <v>71</v>
      </c>
      <c r="J58" s="16">
        <f t="shared" si="38"/>
        <v>15000</v>
      </c>
      <c r="K58" s="12" t="s">
        <v>71</v>
      </c>
      <c r="L58" s="30">
        <f>27000/H58</f>
        <v>27</v>
      </c>
      <c r="M58" s="30">
        <f t="shared" si="39"/>
        <v>405000</v>
      </c>
      <c r="N58" s="26" t="s">
        <v>43</v>
      </c>
    </row>
    <row r="59" spans="1:14" x14ac:dyDescent="0.25">
      <c r="A59" s="53">
        <v>44412</v>
      </c>
      <c r="B59" s="6" t="s">
        <v>172</v>
      </c>
      <c r="C59" s="6" t="s">
        <v>79</v>
      </c>
      <c r="D59" s="6"/>
      <c r="E59" s="6" t="s">
        <v>173</v>
      </c>
      <c r="F59" s="13">
        <v>47</v>
      </c>
      <c r="G59" s="12" t="s">
        <v>70</v>
      </c>
      <c r="H59" s="14">
        <v>1000</v>
      </c>
      <c r="I59" s="16" t="s">
        <v>71</v>
      </c>
      <c r="J59" s="16">
        <f t="shared" ref="J59" si="40">F59*H59</f>
        <v>47000</v>
      </c>
      <c r="K59" s="12" t="s">
        <v>71</v>
      </c>
      <c r="L59" s="30">
        <f>47000/H59</f>
        <v>47</v>
      </c>
      <c r="M59" s="30">
        <f t="shared" ref="M59" si="41">J59*L59</f>
        <v>2209000</v>
      </c>
      <c r="N59" s="26" t="s">
        <v>43</v>
      </c>
    </row>
    <row r="60" spans="1:14" x14ac:dyDescent="0.25">
      <c r="A60" s="53">
        <v>44412</v>
      </c>
      <c r="B60" s="6" t="s">
        <v>174</v>
      </c>
      <c r="C60" s="6" t="s">
        <v>179</v>
      </c>
      <c r="D60" s="6"/>
      <c r="E60" s="6" t="s">
        <v>180</v>
      </c>
      <c r="F60" s="13">
        <v>10</v>
      </c>
      <c r="G60" s="12" t="s">
        <v>70</v>
      </c>
      <c r="H60" s="14">
        <v>1000</v>
      </c>
      <c r="I60" s="16" t="s">
        <v>71</v>
      </c>
      <c r="J60" s="16">
        <f t="shared" ref="J60:J61" si="42">F60*H60</f>
        <v>10000</v>
      </c>
      <c r="K60" s="12" t="s">
        <v>71</v>
      </c>
      <c r="L60" s="30">
        <f>150000/H60</f>
        <v>150</v>
      </c>
      <c r="M60" s="30">
        <f t="shared" ref="M60:M61" si="43">J60*L60</f>
        <v>1500000</v>
      </c>
      <c r="N60" s="26" t="s">
        <v>43</v>
      </c>
    </row>
    <row r="61" spans="1:14" x14ac:dyDescent="0.25">
      <c r="A61" s="53">
        <v>44412</v>
      </c>
      <c r="B61" s="6" t="s">
        <v>175</v>
      </c>
      <c r="C61" s="6" t="s">
        <v>181</v>
      </c>
      <c r="D61" s="6"/>
      <c r="E61" s="6" t="s">
        <v>182</v>
      </c>
      <c r="F61" s="13">
        <v>10</v>
      </c>
      <c r="G61" s="12" t="s">
        <v>134</v>
      </c>
      <c r="H61" s="14">
        <v>1</v>
      </c>
      <c r="I61" s="12" t="s">
        <v>134</v>
      </c>
      <c r="J61" s="16">
        <f t="shared" si="42"/>
        <v>10</v>
      </c>
      <c r="K61" s="12" t="s">
        <v>134</v>
      </c>
      <c r="L61" s="30">
        <f>1359600/H61</f>
        <v>1359600</v>
      </c>
      <c r="M61" s="30">
        <f t="shared" si="43"/>
        <v>13596000</v>
      </c>
      <c r="N61" s="26" t="s">
        <v>43</v>
      </c>
    </row>
    <row r="62" spans="1:14" x14ac:dyDescent="0.25">
      <c r="A62" s="53">
        <v>44412</v>
      </c>
      <c r="B62" s="6" t="s">
        <v>176</v>
      </c>
      <c r="C62" s="6" t="s">
        <v>183</v>
      </c>
      <c r="D62" s="6"/>
      <c r="E62" s="6" t="s">
        <v>184</v>
      </c>
      <c r="F62" s="13">
        <v>15</v>
      </c>
      <c r="G62" s="12" t="s">
        <v>134</v>
      </c>
      <c r="H62" s="14">
        <v>1</v>
      </c>
      <c r="I62" s="12" t="s">
        <v>134</v>
      </c>
      <c r="J62" s="16">
        <f t="shared" ref="J62" si="44">F62*H62</f>
        <v>15</v>
      </c>
      <c r="K62" s="12" t="s">
        <v>134</v>
      </c>
      <c r="L62" s="30">
        <f>177500/H62</f>
        <v>177500</v>
      </c>
      <c r="M62" s="30">
        <f t="shared" ref="M62" si="45">J62*L62</f>
        <v>2662500</v>
      </c>
      <c r="N62" s="26" t="s">
        <v>43</v>
      </c>
    </row>
    <row r="63" spans="1:14" x14ac:dyDescent="0.25">
      <c r="A63" s="53">
        <v>44412</v>
      </c>
      <c r="B63" s="6" t="s">
        <v>176</v>
      </c>
      <c r="C63" s="6" t="s">
        <v>183</v>
      </c>
      <c r="D63" s="6"/>
      <c r="E63" s="6" t="s">
        <v>185</v>
      </c>
      <c r="F63" s="13">
        <v>3</v>
      </c>
      <c r="G63" s="12" t="s">
        <v>134</v>
      </c>
      <c r="H63" s="14">
        <v>1</v>
      </c>
      <c r="I63" s="12" t="s">
        <v>134</v>
      </c>
      <c r="J63" s="16">
        <f t="shared" ref="J63:J64" si="46">F63*H63</f>
        <v>3</v>
      </c>
      <c r="K63" s="12" t="s">
        <v>134</v>
      </c>
      <c r="L63" s="30">
        <f>1096000/H63</f>
        <v>1096000</v>
      </c>
      <c r="M63" s="30">
        <f t="shared" ref="M63:M64" si="47">J63*L63</f>
        <v>3288000</v>
      </c>
      <c r="N63" s="26" t="s">
        <v>43</v>
      </c>
    </row>
    <row r="64" spans="1:14" x14ac:dyDescent="0.25">
      <c r="A64" s="53">
        <v>44412</v>
      </c>
      <c r="B64" s="6" t="s">
        <v>177</v>
      </c>
      <c r="C64" s="6" t="s">
        <v>183</v>
      </c>
      <c r="D64" s="6"/>
      <c r="E64" s="6" t="s">
        <v>186</v>
      </c>
      <c r="F64" s="13">
        <v>5</v>
      </c>
      <c r="G64" s="12" t="s">
        <v>59</v>
      </c>
      <c r="H64" s="14">
        <v>1</v>
      </c>
      <c r="I64" s="12" t="s">
        <v>59</v>
      </c>
      <c r="J64" s="16">
        <f t="shared" si="46"/>
        <v>5</v>
      </c>
      <c r="K64" s="12" t="s">
        <v>59</v>
      </c>
      <c r="L64" s="30">
        <f>237000/H64</f>
        <v>237000</v>
      </c>
      <c r="M64" s="30">
        <f t="shared" si="47"/>
        <v>1185000</v>
      </c>
      <c r="N64" s="26" t="s">
        <v>43</v>
      </c>
    </row>
    <row r="65" spans="1:14" x14ac:dyDescent="0.25">
      <c r="A65" s="53">
        <v>44412</v>
      </c>
      <c r="B65" s="6" t="s">
        <v>178</v>
      </c>
      <c r="C65" s="6" t="s">
        <v>100</v>
      </c>
      <c r="D65" s="6"/>
      <c r="E65" s="6" t="s">
        <v>187</v>
      </c>
      <c r="F65" s="13">
        <v>3</v>
      </c>
      <c r="G65" s="12" t="s">
        <v>103</v>
      </c>
      <c r="H65" s="14">
        <v>1</v>
      </c>
      <c r="I65" s="12" t="s">
        <v>103</v>
      </c>
      <c r="J65" s="16">
        <f t="shared" ref="J65" si="48">F65*H65</f>
        <v>3</v>
      </c>
      <c r="K65" s="12" t="s">
        <v>103</v>
      </c>
      <c r="L65" s="30">
        <f>30000/H65</f>
        <v>30000</v>
      </c>
      <c r="M65" s="30">
        <f t="shared" ref="M65" si="49">J65*L65</f>
        <v>90000</v>
      </c>
      <c r="N65" s="26" t="s">
        <v>43</v>
      </c>
    </row>
    <row r="66" spans="1:14" x14ac:dyDescent="0.25">
      <c r="A66" s="53">
        <v>44412</v>
      </c>
      <c r="B66" s="6" t="s">
        <v>178</v>
      </c>
      <c r="C66" s="6" t="s">
        <v>100</v>
      </c>
      <c r="D66" s="6"/>
      <c r="E66" s="6" t="s">
        <v>188</v>
      </c>
      <c r="F66" s="13">
        <v>3</v>
      </c>
      <c r="G66" s="12" t="s">
        <v>189</v>
      </c>
      <c r="H66" s="14">
        <v>1</v>
      </c>
      <c r="I66" s="12" t="s">
        <v>189</v>
      </c>
      <c r="J66" s="16">
        <f t="shared" ref="J66:J67" si="50">F66*H66</f>
        <v>3</v>
      </c>
      <c r="K66" s="12" t="s">
        <v>189</v>
      </c>
      <c r="L66" s="30">
        <f>83000/H66</f>
        <v>83000</v>
      </c>
      <c r="M66" s="30">
        <f t="shared" ref="M66:M67" si="51">J66*L66</f>
        <v>249000</v>
      </c>
      <c r="N66" s="26" t="s">
        <v>43</v>
      </c>
    </row>
    <row r="67" spans="1:14" x14ac:dyDescent="0.25">
      <c r="A67" s="53">
        <v>44412</v>
      </c>
      <c r="B67" s="6" t="s">
        <v>178</v>
      </c>
      <c r="C67" s="6" t="s">
        <v>100</v>
      </c>
      <c r="D67" s="6"/>
      <c r="E67" s="6" t="s">
        <v>101</v>
      </c>
      <c r="F67" s="13">
        <v>250</v>
      </c>
      <c r="G67" s="12" t="s">
        <v>70</v>
      </c>
      <c r="H67" s="14">
        <v>1000</v>
      </c>
      <c r="I67" s="16" t="s">
        <v>71</v>
      </c>
      <c r="J67" s="16">
        <f t="shared" si="50"/>
        <v>250000</v>
      </c>
      <c r="K67" s="12" t="s">
        <v>71</v>
      </c>
      <c r="L67" s="30">
        <f>75000/H67</f>
        <v>75</v>
      </c>
      <c r="M67" s="30">
        <f t="shared" si="51"/>
        <v>18750000</v>
      </c>
      <c r="N67" s="26" t="s">
        <v>43</v>
      </c>
    </row>
    <row r="68" spans="1:14" x14ac:dyDescent="0.25">
      <c r="A68" s="53">
        <v>44412</v>
      </c>
      <c r="B68" s="6" t="s">
        <v>190</v>
      </c>
      <c r="C68" s="6" t="s">
        <v>120</v>
      </c>
      <c r="D68" s="6"/>
      <c r="E68" s="6" t="s">
        <v>191</v>
      </c>
      <c r="F68" s="13">
        <v>20</v>
      </c>
      <c r="G68" s="12" t="s">
        <v>70</v>
      </c>
      <c r="H68" s="14">
        <v>1000</v>
      </c>
      <c r="I68" s="16" t="s">
        <v>71</v>
      </c>
      <c r="J68" s="16">
        <f t="shared" ref="J68" si="52">F68*H68</f>
        <v>20000</v>
      </c>
      <c r="K68" s="12" t="s">
        <v>71</v>
      </c>
      <c r="L68" s="30">
        <f>158840/H68</f>
        <v>158.84</v>
      </c>
      <c r="M68" s="30">
        <f t="shared" ref="M68" si="53">J68*L68</f>
        <v>3176800</v>
      </c>
      <c r="N68" s="26" t="s">
        <v>43</v>
      </c>
    </row>
    <row r="69" spans="1:14" x14ac:dyDescent="0.25">
      <c r="A69" s="53">
        <v>44412</v>
      </c>
      <c r="B69" s="6" t="s">
        <v>190</v>
      </c>
      <c r="C69" s="6" t="s">
        <v>120</v>
      </c>
      <c r="D69" s="6"/>
      <c r="E69" s="6" t="s">
        <v>192</v>
      </c>
      <c r="F69" s="13">
        <v>50</v>
      </c>
      <c r="G69" s="12" t="s">
        <v>70</v>
      </c>
      <c r="H69" s="14">
        <v>1000</v>
      </c>
      <c r="I69" s="16" t="s">
        <v>71</v>
      </c>
      <c r="J69" s="16">
        <f t="shared" ref="J69:J71" si="54">F69*H69</f>
        <v>50000</v>
      </c>
      <c r="K69" s="12" t="s">
        <v>71</v>
      </c>
      <c r="L69" s="30">
        <f>86487.5/H69</f>
        <v>86.487499999999997</v>
      </c>
      <c r="M69" s="30">
        <f t="shared" ref="M69:M71" si="55">J69*L69</f>
        <v>4324375</v>
      </c>
      <c r="N69" s="26" t="s">
        <v>43</v>
      </c>
    </row>
    <row r="70" spans="1:14" x14ac:dyDescent="0.25">
      <c r="A70" s="53">
        <v>44412</v>
      </c>
      <c r="B70" s="6" t="s">
        <v>193</v>
      </c>
      <c r="C70" s="6" t="s">
        <v>138</v>
      </c>
      <c r="D70" s="6"/>
      <c r="E70" s="6" t="s">
        <v>194</v>
      </c>
      <c r="F70" s="13">
        <v>5</v>
      </c>
      <c r="G70" s="12" t="s">
        <v>195</v>
      </c>
      <c r="H70" s="14">
        <v>1</v>
      </c>
      <c r="I70" s="12" t="s">
        <v>195</v>
      </c>
      <c r="J70" s="16">
        <f t="shared" si="54"/>
        <v>5</v>
      </c>
      <c r="K70" s="12" t="s">
        <v>195</v>
      </c>
      <c r="L70" s="30">
        <f>180000/H70</f>
        <v>180000</v>
      </c>
      <c r="M70" s="30">
        <f t="shared" si="55"/>
        <v>900000</v>
      </c>
      <c r="N70" s="26" t="s">
        <v>43</v>
      </c>
    </row>
    <row r="71" spans="1:14" x14ac:dyDescent="0.25">
      <c r="A71" s="53">
        <v>44412</v>
      </c>
      <c r="B71" s="6" t="s">
        <v>196</v>
      </c>
      <c r="C71" s="6" t="s">
        <v>197</v>
      </c>
      <c r="D71" s="6"/>
      <c r="E71" s="6" t="s">
        <v>198</v>
      </c>
      <c r="F71" s="13">
        <v>14</v>
      </c>
      <c r="G71" s="12" t="s">
        <v>83</v>
      </c>
      <c r="H71" s="14">
        <v>1</v>
      </c>
      <c r="I71" s="12" t="s">
        <v>83</v>
      </c>
      <c r="J71" s="16">
        <f t="shared" si="54"/>
        <v>14</v>
      </c>
      <c r="K71" s="12" t="s">
        <v>83</v>
      </c>
      <c r="L71" s="30">
        <f>277500/H71</f>
        <v>277500</v>
      </c>
      <c r="M71" s="30">
        <f t="shared" si="55"/>
        <v>3885000</v>
      </c>
      <c r="N71" s="26" t="s">
        <v>43</v>
      </c>
    </row>
    <row r="72" spans="1:14" x14ac:dyDescent="0.25">
      <c r="A72" s="53">
        <v>44412</v>
      </c>
      <c r="B72" s="6" t="s">
        <v>196</v>
      </c>
      <c r="C72" s="6" t="s">
        <v>197</v>
      </c>
      <c r="D72" s="6"/>
      <c r="E72" s="6" t="s">
        <v>199</v>
      </c>
      <c r="F72" s="13">
        <v>50</v>
      </c>
      <c r="G72" s="12" t="s">
        <v>70</v>
      </c>
      <c r="H72" s="14">
        <v>1000</v>
      </c>
      <c r="I72" s="16" t="s">
        <v>71</v>
      </c>
      <c r="J72" s="16">
        <f t="shared" ref="J72:J75" si="56">F72*H72</f>
        <v>50000</v>
      </c>
      <c r="K72" s="12" t="s">
        <v>71</v>
      </c>
      <c r="L72" s="30">
        <f>9262.5/H72</f>
        <v>9.2624999999999993</v>
      </c>
      <c r="M72" s="30">
        <f t="shared" ref="M72:M75" si="57">J72*L72</f>
        <v>463124.99999999994</v>
      </c>
      <c r="N72" s="26" t="s">
        <v>43</v>
      </c>
    </row>
    <row r="73" spans="1:14" x14ac:dyDescent="0.25">
      <c r="A73" s="53">
        <v>44412</v>
      </c>
      <c r="B73" s="6" t="s">
        <v>202</v>
      </c>
      <c r="C73" s="6" t="s">
        <v>200</v>
      </c>
      <c r="D73" s="6"/>
      <c r="E73" s="6" t="s">
        <v>201</v>
      </c>
      <c r="F73" s="13">
        <v>18</v>
      </c>
      <c r="G73" s="12" t="s">
        <v>134</v>
      </c>
      <c r="H73" s="14">
        <v>1</v>
      </c>
      <c r="I73" s="12" t="s">
        <v>134</v>
      </c>
      <c r="J73" s="16">
        <f t="shared" si="56"/>
        <v>18</v>
      </c>
      <c r="K73" s="12" t="s">
        <v>134</v>
      </c>
      <c r="L73" s="30">
        <f>614801/H73</f>
        <v>614801</v>
      </c>
      <c r="M73" s="30">
        <f t="shared" si="57"/>
        <v>11066418</v>
      </c>
      <c r="N73" s="26" t="s">
        <v>43</v>
      </c>
    </row>
    <row r="74" spans="1:14" x14ac:dyDescent="0.25">
      <c r="A74" s="53">
        <v>44412</v>
      </c>
      <c r="B74" s="6" t="s">
        <v>202</v>
      </c>
      <c r="C74" s="6" t="s">
        <v>200</v>
      </c>
      <c r="D74" s="6"/>
      <c r="E74" s="6" t="s">
        <v>75</v>
      </c>
      <c r="F74" s="13">
        <v>114</v>
      </c>
      <c r="G74" s="12" t="s">
        <v>62</v>
      </c>
      <c r="H74" s="14">
        <v>1</v>
      </c>
      <c r="I74" s="16" t="s">
        <v>62</v>
      </c>
      <c r="J74" s="16">
        <f t="shared" si="56"/>
        <v>114</v>
      </c>
      <c r="K74" s="12" t="s">
        <v>62</v>
      </c>
      <c r="L74" s="30">
        <f>4400/H74</f>
        <v>4400</v>
      </c>
      <c r="M74" s="30">
        <f t="shared" si="57"/>
        <v>501600</v>
      </c>
      <c r="N74" s="26" t="s">
        <v>43</v>
      </c>
    </row>
    <row r="75" spans="1:14" x14ac:dyDescent="0.25">
      <c r="A75" s="53">
        <v>44412</v>
      </c>
      <c r="B75" s="6" t="s">
        <v>202</v>
      </c>
      <c r="C75" s="6" t="s">
        <v>200</v>
      </c>
      <c r="D75" s="6"/>
      <c r="E75" s="6" t="s">
        <v>74</v>
      </c>
      <c r="F75" s="13">
        <v>36</v>
      </c>
      <c r="G75" s="12" t="s">
        <v>62</v>
      </c>
      <c r="H75" s="14">
        <v>1</v>
      </c>
      <c r="I75" s="16" t="s">
        <v>62</v>
      </c>
      <c r="J75" s="16">
        <f t="shared" si="56"/>
        <v>36</v>
      </c>
      <c r="K75" s="12" t="s">
        <v>62</v>
      </c>
      <c r="L75" s="30">
        <v>3483.3333333330002</v>
      </c>
      <c r="M75" s="30">
        <f t="shared" si="57"/>
        <v>125399.99999998801</v>
      </c>
      <c r="N75" s="26" t="s">
        <v>43</v>
      </c>
    </row>
    <row r="76" spans="1:14" x14ac:dyDescent="0.25">
      <c r="M76" s="44">
        <f>SUM(M49:M75)</f>
        <v>69798717.999999985</v>
      </c>
    </row>
    <row r="77" spans="1:14" x14ac:dyDescent="0.25">
      <c r="A77" s="53">
        <v>44413</v>
      </c>
      <c r="B77" s="6" t="s">
        <v>203</v>
      </c>
      <c r="C77" s="6" t="s">
        <v>68</v>
      </c>
      <c r="D77" s="6"/>
      <c r="E77" s="6" t="s">
        <v>69</v>
      </c>
      <c r="F77" s="13">
        <v>6</v>
      </c>
      <c r="G77" s="12" t="s">
        <v>70</v>
      </c>
      <c r="H77" s="14">
        <v>1000</v>
      </c>
      <c r="I77" s="16" t="s">
        <v>71</v>
      </c>
      <c r="J77" s="16">
        <f>F77*H77</f>
        <v>6000</v>
      </c>
      <c r="K77" s="12" t="s">
        <v>71</v>
      </c>
      <c r="L77" s="30">
        <f>45000/H77</f>
        <v>45</v>
      </c>
      <c r="M77" s="30">
        <f>J77*L77</f>
        <v>270000</v>
      </c>
      <c r="N77" s="26" t="s">
        <v>43</v>
      </c>
    </row>
    <row r="78" spans="1:14" x14ac:dyDescent="0.25">
      <c r="A78" s="53">
        <v>44413</v>
      </c>
      <c r="B78" s="6" t="s">
        <v>203</v>
      </c>
      <c r="C78" s="6" t="s">
        <v>68</v>
      </c>
      <c r="D78" s="6"/>
      <c r="E78" s="6" t="s">
        <v>87</v>
      </c>
      <c r="F78" s="13">
        <v>1</v>
      </c>
      <c r="G78" s="12" t="s">
        <v>70</v>
      </c>
      <c r="H78" s="14">
        <v>1000</v>
      </c>
      <c r="I78" s="16" t="s">
        <v>71</v>
      </c>
      <c r="J78" s="16">
        <f>F78*H78</f>
        <v>1000</v>
      </c>
      <c r="K78" s="12" t="s">
        <v>71</v>
      </c>
      <c r="L78" s="30">
        <f>90000/H78</f>
        <v>90</v>
      </c>
      <c r="M78" s="30">
        <f t="shared" ref="M78:M79" si="58">J78*L78</f>
        <v>90000</v>
      </c>
      <c r="N78" s="26" t="s">
        <v>43</v>
      </c>
    </row>
    <row r="79" spans="1:14" x14ac:dyDescent="0.25">
      <c r="A79" s="53">
        <v>44413</v>
      </c>
      <c r="B79" s="6" t="s">
        <v>203</v>
      </c>
      <c r="C79" s="6" t="s">
        <v>68</v>
      </c>
      <c r="D79" s="6"/>
      <c r="E79" s="6" t="s">
        <v>85</v>
      </c>
      <c r="F79" s="13">
        <v>2</v>
      </c>
      <c r="G79" s="12" t="s">
        <v>70</v>
      </c>
      <c r="H79" s="14">
        <v>1000</v>
      </c>
      <c r="I79" s="16" t="s">
        <v>71</v>
      </c>
      <c r="J79" s="16">
        <f t="shared" ref="J79" si="59">F79*H79</f>
        <v>2000</v>
      </c>
      <c r="K79" s="12" t="s">
        <v>71</v>
      </c>
      <c r="L79" s="30">
        <f>55000/H79</f>
        <v>55</v>
      </c>
      <c r="M79" s="30">
        <f t="shared" si="58"/>
        <v>110000</v>
      </c>
      <c r="N79" s="26" t="s">
        <v>43</v>
      </c>
    </row>
    <row r="80" spans="1:14" x14ac:dyDescent="0.25">
      <c r="A80" s="53">
        <v>44413</v>
      </c>
      <c r="B80" s="6" t="s">
        <v>203</v>
      </c>
      <c r="C80" s="6" t="s">
        <v>68</v>
      </c>
      <c r="D80" s="6"/>
      <c r="E80" s="6" t="s">
        <v>90</v>
      </c>
      <c r="F80" s="13">
        <v>1</v>
      </c>
      <c r="G80" s="12" t="s">
        <v>70</v>
      </c>
      <c r="H80" s="14">
        <v>1000</v>
      </c>
      <c r="I80" s="16" t="s">
        <v>71</v>
      </c>
      <c r="J80" s="16">
        <f t="shared" ref="J80" si="60">F80*H80</f>
        <v>1000</v>
      </c>
      <c r="K80" s="12" t="s">
        <v>71</v>
      </c>
      <c r="L80" s="30">
        <f>22000/H80</f>
        <v>22</v>
      </c>
      <c r="M80" s="30">
        <f t="shared" ref="M80" si="61">J80*L80</f>
        <v>22000</v>
      </c>
      <c r="N80" s="26" t="s">
        <v>43</v>
      </c>
    </row>
    <row r="81" spans="1:14" x14ac:dyDescent="0.25">
      <c r="A81" s="53">
        <v>44413</v>
      </c>
      <c r="B81" s="6" t="s">
        <v>203</v>
      </c>
      <c r="C81" s="6" t="s">
        <v>68</v>
      </c>
      <c r="D81" s="6"/>
      <c r="E81" s="6" t="s">
        <v>171</v>
      </c>
      <c r="F81" s="13">
        <v>1</v>
      </c>
      <c r="G81" s="12" t="s">
        <v>70</v>
      </c>
      <c r="H81" s="14">
        <v>1000</v>
      </c>
      <c r="I81" s="16" t="s">
        <v>71</v>
      </c>
      <c r="J81" s="16">
        <f t="shared" ref="J81:J82" si="62">F81*H81</f>
        <v>1000</v>
      </c>
      <c r="K81" s="12" t="s">
        <v>71</v>
      </c>
      <c r="L81" s="30">
        <f>65000/H81</f>
        <v>65</v>
      </c>
      <c r="M81" s="30">
        <f t="shared" ref="M81:M82" si="63">J81*L81</f>
        <v>65000</v>
      </c>
      <c r="N81" s="26" t="s">
        <v>43</v>
      </c>
    </row>
    <row r="82" spans="1:14" x14ac:dyDescent="0.25">
      <c r="A82" s="53">
        <v>44413</v>
      </c>
      <c r="B82" s="6" t="s">
        <v>203</v>
      </c>
      <c r="C82" s="6" t="s">
        <v>68</v>
      </c>
      <c r="D82" s="6"/>
      <c r="E82" s="6" t="s">
        <v>124</v>
      </c>
      <c r="F82" s="13">
        <v>2</v>
      </c>
      <c r="G82" s="12" t="s">
        <v>70</v>
      </c>
      <c r="H82" s="14">
        <v>1000</v>
      </c>
      <c r="I82" s="16" t="s">
        <v>71</v>
      </c>
      <c r="J82" s="16">
        <f t="shared" si="62"/>
        <v>2000</v>
      </c>
      <c r="K82" s="12" t="s">
        <v>71</v>
      </c>
      <c r="L82" s="30">
        <f>40000/H82</f>
        <v>40</v>
      </c>
      <c r="M82" s="30">
        <f t="shared" si="63"/>
        <v>80000</v>
      </c>
      <c r="N82" s="26" t="s">
        <v>43</v>
      </c>
    </row>
    <row r="83" spans="1:14" x14ac:dyDescent="0.25">
      <c r="A83" s="53">
        <v>44413</v>
      </c>
      <c r="B83" s="6" t="s">
        <v>203</v>
      </c>
      <c r="C83" s="6" t="s">
        <v>68</v>
      </c>
      <c r="D83" s="6"/>
      <c r="E83" s="6" t="s">
        <v>163</v>
      </c>
      <c r="F83" s="13">
        <v>5</v>
      </c>
      <c r="G83" s="12" t="s">
        <v>59</v>
      </c>
      <c r="H83" s="14">
        <v>1</v>
      </c>
      <c r="I83" s="16" t="s">
        <v>59</v>
      </c>
      <c r="J83" s="16">
        <f>F83*H83</f>
        <v>5</v>
      </c>
      <c r="K83" s="12" t="s">
        <v>59</v>
      </c>
      <c r="L83" s="30">
        <f>15000/H83</f>
        <v>15000</v>
      </c>
      <c r="M83" s="30">
        <f>J83*L83</f>
        <v>75000</v>
      </c>
      <c r="N83" s="26" t="s">
        <v>43</v>
      </c>
    </row>
    <row r="84" spans="1:14" x14ac:dyDescent="0.25">
      <c r="A84" s="53">
        <v>44413</v>
      </c>
      <c r="B84" s="6" t="s">
        <v>204</v>
      </c>
      <c r="C84" s="6" t="s">
        <v>206</v>
      </c>
      <c r="D84" s="6"/>
      <c r="E84" s="6" t="s">
        <v>207</v>
      </c>
      <c r="F84" s="13">
        <v>40</v>
      </c>
      <c r="G84" s="12" t="s">
        <v>134</v>
      </c>
      <c r="H84" s="14">
        <v>1</v>
      </c>
      <c r="I84" s="12" t="s">
        <v>134</v>
      </c>
      <c r="J84" s="16">
        <f t="shared" ref="J84:J86" si="64">F84*H84</f>
        <v>40</v>
      </c>
      <c r="K84" s="12" t="s">
        <v>134</v>
      </c>
      <c r="L84" s="30">
        <f>110000/H84</f>
        <v>110000</v>
      </c>
      <c r="M84" s="30">
        <f t="shared" ref="M84:M86" si="65">J84*L84</f>
        <v>4400000</v>
      </c>
      <c r="N84" s="26" t="s">
        <v>43</v>
      </c>
    </row>
    <row r="85" spans="1:14" x14ac:dyDescent="0.25">
      <c r="A85" s="53">
        <v>44413</v>
      </c>
      <c r="B85" s="6" t="s">
        <v>205</v>
      </c>
      <c r="C85" s="6" t="s">
        <v>100</v>
      </c>
      <c r="D85" s="6"/>
      <c r="E85" s="6" t="s">
        <v>101</v>
      </c>
      <c r="F85" s="13">
        <v>200</v>
      </c>
      <c r="G85" s="12" t="s">
        <v>70</v>
      </c>
      <c r="H85" s="14">
        <v>1000</v>
      </c>
      <c r="I85" s="16" t="s">
        <v>71</v>
      </c>
      <c r="J85" s="16">
        <f t="shared" si="64"/>
        <v>200000</v>
      </c>
      <c r="K85" s="12" t="s">
        <v>71</v>
      </c>
      <c r="L85" s="30">
        <f>75000/H85</f>
        <v>75</v>
      </c>
      <c r="M85" s="30">
        <f t="shared" si="65"/>
        <v>15000000</v>
      </c>
      <c r="N85" s="26" t="s">
        <v>43</v>
      </c>
    </row>
    <row r="86" spans="1:14" x14ac:dyDescent="0.25">
      <c r="A86" s="53">
        <v>44413</v>
      </c>
      <c r="B86" s="6" t="s">
        <v>208</v>
      </c>
      <c r="C86" s="6" t="s">
        <v>210</v>
      </c>
      <c r="D86" s="6"/>
      <c r="E86" s="6" t="s">
        <v>108</v>
      </c>
      <c r="F86" s="13">
        <v>70</v>
      </c>
      <c r="G86" s="12" t="s">
        <v>70</v>
      </c>
      <c r="H86" s="14">
        <v>1000</v>
      </c>
      <c r="I86" s="16" t="s">
        <v>71</v>
      </c>
      <c r="J86" s="16">
        <f t="shared" si="64"/>
        <v>70000</v>
      </c>
      <c r="K86" s="12" t="s">
        <v>71</v>
      </c>
      <c r="L86" s="30">
        <f>243000/H86</f>
        <v>243</v>
      </c>
      <c r="M86" s="30">
        <f t="shared" si="65"/>
        <v>17010000</v>
      </c>
      <c r="N86" s="26" t="s">
        <v>43</v>
      </c>
    </row>
    <row r="87" spans="1:14" x14ac:dyDescent="0.25">
      <c r="A87" s="53">
        <v>44413</v>
      </c>
      <c r="B87" s="6" t="s">
        <v>209</v>
      </c>
      <c r="C87" s="6" t="s">
        <v>132</v>
      </c>
      <c r="D87" s="6"/>
      <c r="E87" s="6" t="s">
        <v>136</v>
      </c>
      <c r="F87" s="13">
        <v>3</v>
      </c>
      <c r="G87" s="12" t="s">
        <v>134</v>
      </c>
      <c r="H87" s="14">
        <v>1</v>
      </c>
      <c r="I87" s="12" t="s">
        <v>134</v>
      </c>
      <c r="J87" s="16">
        <f t="shared" ref="J87:J89" si="66">F87*H87</f>
        <v>3</v>
      </c>
      <c r="K87" s="12" t="s">
        <v>134</v>
      </c>
      <c r="L87" s="30">
        <f>290400/H87</f>
        <v>290400</v>
      </c>
      <c r="M87" s="30">
        <f t="shared" ref="M87:M89" si="67">J87*L87</f>
        <v>871200</v>
      </c>
      <c r="N87" s="26" t="s">
        <v>43</v>
      </c>
    </row>
    <row r="88" spans="1:14" x14ac:dyDescent="0.25">
      <c r="A88" s="53">
        <v>44413</v>
      </c>
      <c r="B88" s="6" t="s">
        <v>209</v>
      </c>
      <c r="C88" s="6" t="s">
        <v>132</v>
      </c>
      <c r="D88" s="6"/>
      <c r="E88" s="6" t="s">
        <v>133</v>
      </c>
      <c r="F88" s="13">
        <v>2</v>
      </c>
      <c r="G88" s="12" t="s">
        <v>134</v>
      </c>
      <c r="H88" s="14">
        <v>1</v>
      </c>
      <c r="I88" s="12" t="s">
        <v>134</v>
      </c>
      <c r="J88" s="16">
        <f t="shared" si="66"/>
        <v>2</v>
      </c>
      <c r="K88" s="12" t="s">
        <v>134</v>
      </c>
      <c r="L88" s="30">
        <f>412500/H88</f>
        <v>412500</v>
      </c>
      <c r="M88" s="30">
        <f t="shared" si="67"/>
        <v>825000</v>
      </c>
      <c r="N88" s="26" t="s">
        <v>43</v>
      </c>
    </row>
    <row r="89" spans="1:14" x14ac:dyDescent="0.25">
      <c r="A89" s="53">
        <v>44413</v>
      </c>
      <c r="B89" s="6" t="s">
        <v>209</v>
      </c>
      <c r="C89" s="6" t="s">
        <v>132</v>
      </c>
      <c r="D89" s="6"/>
      <c r="E89" s="6" t="s">
        <v>211</v>
      </c>
      <c r="F89" s="13">
        <v>2</v>
      </c>
      <c r="G89" s="12" t="s">
        <v>83</v>
      </c>
      <c r="H89" s="14">
        <v>1</v>
      </c>
      <c r="I89" s="12" t="s">
        <v>83</v>
      </c>
      <c r="J89" s="16">
        <f t="shared" si="66"/>
        <v>2</v>
      </c>
      <c r="K89" s="12" t="s">
        <v>83</v>
      </c>
      <c r="L89" s="30">
        <f>1100000/H89</f>
        <v>1100000</v>
      </c>
      <c r="M89" s="30">
        <f t="shared" si="67"/>
        <v>2200000</v>
      </c>
      <c r="N89" s="26" t="s">
        <v>43</v>
      </c>
    </row>
    <row r="90" spans="1:14" x14ac:dyDescent="0.25">
      <c r="A90" s="53">
        <v>44413</v>
      </c>
      <c r="B90" s="6" t="s">
        <v>212</v>
      </c>
      <c r="C90" s="6" t="s">
        <v>254</v>
      </c>
      <c r="D90" s="6"/>
      <c r="E90" s="6" t="s">
        <v>213</v>
      </c>
      <c r="F90" s="13">
        <v>3</v>
      </c>
      <c r="G90" s="12" t="s">
        <v>134</v>
      </c>
      <c r="H90" s="14">
        <v>1</v>
      </c>
      <c r="I90" s="12" t="s">
        <v>134</v>
      </c>
      <c r="J90" s="16">
        <f t="shared" ref="J90" si="68">F90*H90</f>
        <v>3</v>
      </c>
      <c r="K90" s="12" t="s">
        <v>134</v>
      </c>
      <c r="L90" s="30">
        <f>1900000/H90</f>
        <v>1900000</v>
      </c>
      <c r="M90" s="30">
        <f t="shared" ref="M90" si="69">J90*L90</f>
        <v>5700000</v>
      </c>
      <c r="N90" s="26" t="s">
        <v>43</v>
      </c>
    </row>
    <row r="91" spans="1:14" x14ac:dyDescent="0.25">
      <c r="A91" s="53">
        <v>44413</v>
      </c>
      <c r="B91" s="6" t="s">
        <v>212</v>
      </c>
      <c r="C91" s="6" t="s">
        <v>254</v>
      </c>
      <c r="D91" s="6"/>
      <c r="E91" s="6" t="s">
        <v>214</v>
      </c>
      <c r="F91" s="13">
        <v>1</v>
      </c>
      <c r="G91" s="12" t="s">
        <v>134</v>
      </c>
      <c r="H91" s="14">
        <v>1</v>
      </c>
      <c r="I91" s="12" t="s">
        <v>134</v>
      </c>
      <c r="J91" s="16">
        <f t="shared" ref="J91" si="70">F91*H91</f>
        <v>1</v>
      </c>
      <c r="K91" s="12" t="s">
        <v>134</v>
      </c>
      <c r="L91" s="30">
        <f>697000/H91</f>
        <v>697000</v>
      </c>
      <c r="M91" s="30">
        <f t="shared" ref="M91" si="71">J91*L91</f>
        <v>697000</v>
      </c>
      <c r="N91" s="26" t="s">
        <v>43</v>
      </c>
    </row>
    <row r="92" spans="1:14" x14ac:dyDescent="0.25">
      <c r="M92" s="42">
        <f>SUM(M77:M91)</f>
        <v>47415200</v>
      </c>
    </row>
    <row r="93" spans="1:14" x14ac:dyDescent="0.25">
      <c r="A93" s="53">
        <v>44414</v>
      </c>
      <c r="B93" s="6" t="s">
        <v>231</v>
      </c>
      <c r="C93" s="6" t="s">
        <v>68</v>
      </c>
      <c r="D93" s="6"/>
      <c r="E93" s="6" t="s">
        <v>69</v>
      </c>
      <c r="F93" s="13">
        <v>2</v>
      </c>
      <c r="G93" s="12" t="s">
        <v>70</v>
      </c>
      <c r="H93" s="14">
        <v>1000</v>
      </c>
      <c r="I93" s="16" t="s">
        <v>71</v>
      </c>
      <c r="J93" s="16">
        <f>F93*H93</f>
        <v>2000</v>
      </c>
      <c r="K93" s="12" t="s">
        <v>71</v>
      </c>
      <c r="L93" s="30">
        <f>45000/H93</f>
        <v>45</v>
      </c>
      <c r="M93" s="30">
        <f>J93*L93</f>
        <v>90000</v>
      </c>
      <c r="N93" s="26" t="s">
        <v>43</v>
      </c>
    </row>
    <row r="94" spans="1:14" x14ac:dyDescent="0.25">
      <c r="A94" s="53">
        <v>44414</v>
      </c>
      <c r="B94" s="6" t="s">
        <v>231</v>
      </c>
      <c r="C94" s="6" t="s">
        <v>68</v>
      </c>
      <c r="D94" s="6"/>
      <c r="E94" s="6" t="s">
        <v>219</v>
      </c>
      <c r="F94" s="13">
        <v>0.5</v>
      </c>
      <c r="G94" s="12" t="s">
        <v>70</v>
      </c>
      <c r="H94" s="14">
        <v>1000</v>
      </c>
      <c r="I94" s="16" t="s">
        <v>71</v>
      </c>
      <c r="J94" s="16">
        <f>F94*H94</f>
        <v>500</v>
      </c>
      <c r="K94" s="12" t="s">
        <v>71</v>
      </c>
      <c r="L94" s="30">
        <f>30000/H94</f>
        <v>30</v>
      </c>
      <c r="M94" s="30">
        <f>J94*L94</f>
        <v>15000</v>
      </c>
      <c r="N94" s="26" t="s">
        <v>43</v>
      </c>
    </row>
    <row r="95" spans="1:14" x14ac:dyDescent="0.25">
      <c r="A95" s="53">
        <v>44414</v>
      </c>
      <c r="B95" s="6" t="s">
        <v>231</v>
      </c>
      <c r="C95" s="6" t="s">
        <v>68</v>
      </c>
      <c r="D95" s="6"/>
      <c r="E95" s="6" t="s">
        <v>220</v>
      </c>
      <c r="F95" s="13">
        <v>0.5</v>
      </c>
      <c r="G95" s="12" t="s">
        <v>70</v>
      </c>
      <c r="H95" s="14">
        <v>1000</v>
      </c>
      <c r="I95" s="16" t="s">
        <v>71</v>
      </c>
      <c r="J95" s="16">
        <f>F95*H95</f>
        <v>500</v>
      </c>
      <c r="K95" s="12" t="s">
        <v>71</v>
      </c>
      <c r="L95" s="30">
        <f>30000/H95</f>
        <v>30</v>
      </c>
      <c r="M95" s="30">
        <f>J95*L95</f>
        <v>15000</v>
      </c>
      <c r="N95" s="26" t="s">
        <v>43</v>
      </c>
    </row>
    <row r="96" spans="1:14" x14ac:dyDescent="0.25">
      <c r="A96" s="53">
        <v>44414</v>
      </c>
      <c r="B96" s="6" t="s">
        <v>231</v>
      </c>
      <c r="C96" s="6" t="s">
        <v>68</v>
      </c>
      <c r="D96" s="6"/>
      <c r="E96" s="6" t="s">
        <v>221</v>
      </c>
      <c r="F96" s="13">
        <v>0.5</v>
      </c>
      <c r="G96" s="12" t="s">
        <v>70</v>
      </c>
      <c r="H96" s="14">
        <v>1000</v>
      </c>
      <c r="I96" s="16" t="s">
        <v>71</v>
      </c>
      <c r="J96" s="16">
        <f>F96*H96</f>
        <v>500</v>
      </c>
      <c r="K96" s="12" t="s">
        <v>71</v>
      </c>
      <c r="L96" s="30">
        <f>60000/H96</f>
        <v>60</v>
      </c>
      <c r="M96" s="30">
        <f>J96*L96</f>
        <v>30000</v>
      </c>
      <c r="N96" s="26" t="s">
        <v>43</v>
      </c>
    </row>
    <row r="97" spans="1:14" x14ac:dyDescent="0.25">
      <c r="A97" s="53">
        <v>44414</v>
      </c>
      <c r="B97" s="6" t="s">
        <v>231</v>
      </c>
      <c r="C97" s="6" t="s">
        <v>68</v>
      </c>
      <c r="D97" s="6"/>
      <c r="E97" s="6" t="s">
        <v>87</v>
      </c>
      <c r="F97" s="13">
        <v>1</v>
      </c>
      <c r="G97" s="12" t="s">
        <v>70</v>
      </c>
      <c r="H97" s="14">
        <v>1000</v>
      </c>
      <c r="I97" s="16" t="s">
        <v>71</v>
      </c>
      <c r="J97" s="16">
        <f>F97*H97</f>
        <v>1000</v>
      </c>
      <c r="K97" s="12" t="s">
        <v>71</v>
      </c>
      <c r="L97" s="30">
        <f>90000/H97</f>
        <v>90</v>
      </c>
      <c r="M97" s="30">
        <f t="shared" ref="M97:M102" si="72">J97*L97</f>
        <v>90000</v>
      </c>
      <c r="N97" s="26" t="s">
        <v>43</v>
      </c>
    </row>
    <row r="98" spans="1:14" x14ac:dyDescent="0.25">
      <c r="A98" s="53">
        <v>44414</v>
      </c>
      <c r="B98" s="6" t="s">
        <v>231</v>
      </c>
      <c r="C98" s="6" t="s">
        <v>68</v>
      </c>
      <c r="D98" s="6"/>
      <c r="E98" s="6" t="s">
        <v>91</v>
      </c>
      <c r="F98" s="13">
        <v>2</v>
      </c>
      <c r="G98" s="12" t="s">
        <v>83</v>
      </c>
      <c r="H98" s="14">
        <v>1</v>
      </c>
      <c r="I98" s="12" t="s">
        <v>83</v>
      </c>
      <c r="J98" s="16">
        <f t="shared" ref="J98:J102" si="73">F98*H98</f>
        <v>2</v>
      </c>
      <c r="K98" s="12" t="s">
        <v>83</v>
      </c>
      <c r="L98" s="30">
        <f>95000/H98</f>
        <v>95000</v>
      </c>
      <c r="M98" s="30">
        <f t="shared" si="72"/>
        <v>190000</v>
      </c>
      <c r="N98" s="26" t="s">
        <v>43</v>
      </c>
    </row>
    <row r="99" spans="1:14" x14ac:dyDescent="0.25">
      <c r="A99" s="53">
        <v>44414</v>
      </c>
      <c r="B99" s="6" t="s">
        <v>231</v>
      </c>
      <c r="C99" s="6" t="s">
        <v>68</v>
      </c>
      <c r="D99" s="6"/>
      <c r="E99" s="6" t="s">
        <v>85</v>
      </c>
      <c r="F99" s="13">
        <v>2</v>
      </c>
      <c r="G99" s="12" t="s">
        <v>70</v>
      </c>
      <c r="H99" s="14">
        <v>1000</v>
      </c>
      <c r="I99" s="16" t="s">
        <v>71</v>
      </c>
      <c r="J99" s="16">
        <f t="shared" si="73"/>
        <v>2000</v>
      </c>
      <c r="K99" s="12" t="s">
        <v>71</v>
      </c>
      <c r="L99" s="30">
        <f>55000/H99</f>
        <v>55</v>
      </c>
      <c r="M99" s="30">
        <f t="shared" si="72"/>
        <v>110000</v>
      </c>
      <c r="N99" s="26" t="s">
        <v>43</v>
      </c>
    </row>
    <row r="100" spans="1:14" x14ac:dyDescent="0.25">
      <c r="A100" s="53">
        <v>44414</v>
      </c>
      <c r="B100" s="6" t="s">
        <v>231</v>
      </c>
      <c r="C100" s="6" t="s">
        <v>68</v>
      </c>
      <c r="D100" s="6"/>
      <c r="E100" s="6" t="s">
        <v>90</v>
      </c>
      <c r="F100" s="13">
        <v>2</v>
      </c>
      <c r="G100" s="12" t="s">
        <v>70</v>
      </c>
      <c r="H100" s="14">
        <v>1000</v>
      </c>
      <c r="I100" s="16" t="s">
        <v>71</v>
      </c>
      <c r="J100" s="16">
        <f t="shared" si="73"/>
        <v>2000</v>
      </c>
      <c r="K100" s="12" t="s">
        <v>71</v>
      </c>
      <c r="L100" s="30">
        <f>22000/H100</f>
        <v>22</v>
      </c>
      <c r="M100" s="30">
        <f t="shared" si="72"/>
        <v>44000</v>
      </c>
      <c r="N100" s="26" t="s">
        <v>43</v>
      </c>
    </row>
    <row r="101" spans="1:14" x14ac:dyDescent="0.25">
      <c r="A101" s="53">
        <v>44414</v>
      </c>
      <c r="B101" s="6" t="s">
        <v>231</v>
      </c>
      <c r="C101" s="6" t="s">
        <v>68</v>
      </c>
      <c r="D101" s="6"/>
      <c r="E101" s="6" t="s">
        <v>171</v>
      </c>
      <c r="F101" s="13">
        <v>1</v>
      </c>
      <c r="G101" s="12" t="s">
        <v>70</v>
      </c>
      <c r="H101" s="14">
        <v>1000</v>
      </c>
      <c r="I101" s="16" t="s">
        <v>71</v>
      </c>
      <c r="J101" s="16">
        <f t="shared" si="73"/>
        <v>1000</v>
      </c>
      <c r="K101" s="12" t="s">
        <v>71</v>
      </c>
      <c r="L101" s="30">
        <f>65000/H101</f>
        <v>65</v>
      </c>
      <c r="M101" s="30">
        <f t="shared" si="72"/>
        <v>65000</v>
      </c>
      <c r="N101" s="26" t="s">
        <v>43</v>
      </c>
    </row>
    <row r="102" spans="1:14" x14ac:dyDescent="0.25">
      <c r="A102" s="53">
        <v>44414</v>
      </c>
      <c r="B102" s="6" t="s">
        <v>231</v>
      </c>
      <c r="C102" s="6" t="s">
        <v>68</v>
      </c>
      <c r="D102" s="6"/>
      <c r="E102" s="6" t="s">
        <v>169</v>
      </c>
      <c r="F102" s="13">
        <v>10</v>
      </c>
      <c r="G102" s="12" t="s">
        <v>70</v>
      </c>
      <c r="H102" s="14">
        <v>1000</v>
      </c>
      <c r="I102" s="16" t="s">
        <v>71</v>
      </c>
      <c r="J102" s="16">
        <f t="shared" si="73"/>
        <v>10000</v>
      </c>
      <c r="K102" s="12" t="s">
        <v>71</v>
      </c>
      <c r="L102" s="30">
        <f>20000/H102</f>
        <v>20</v>
      </c>
      <c r="M102" s="30">
        <f t="shared" si="72"/>
        <v>200000</v>
      </c>
      <c r="N102" s="26" t="s">
        <v>43</v>
      </c>
    </row>
    <row r="103" spans="1:14" x14ac:dyDescent="0.25">
      <c r="A103" s="53">
        <v>44414</v>
      </c>
      <c r="B103" s="6" t="s">
        <v>231</v>
      </c>
      <c r="C103" s="6" t="s">
        <v>68</v>
      </c>
      <c r="D103" s="6"/>
      <c r="E103" s="6" t="s">
        <v>73</v>
      </c>
      <c r="F103" s="13">
        <v>0.5</v>
      </c>
      <c r="G103" s="12" t="s">
        <v>70</v>
      </c>
      <c r="H103" s="14">
        <v>1000</v>
      </c>
      <c r="I103" s="16" t="s">
        <v>71</v>
      </c>
      <c r="J103" s="16">
        <f t="shared" ref="J103:J108" si="74">F103*H103</f>
        <v>500</v>
      </c>
      <c r="K103" s="12" t="s">
        <v>71</v>
      </c>
      <c r="L103" s="30">
        <f>20000/H103</f>
        <v>20</v>
      </c>
      <c r="M103" s="30">
        <f t="shared" ref="M103:M108" si="75">J103*L103</f>
        <v>10000</v>
      </c>
      <c r="N103" s="26" t="s">
        <v>43</v>
      </c>
    </row>
    <row r="104" spans="1:14" x14ac:dyDescent="0.25">
      <c r="A104" s="53">
        <v>44414</v>
      </c>
      <c r="B104" s="6" t="s">
        <v>231</v>
      </c>
      <c r="C104" s="6" t="s">
        <v>68</v>
      </c>
      <c r="D104" s="6"/>
      <c r="E104" s="6" t="s">
        <v>225</v>
      </c>
      <c r="F104" s="13">
        <v>3</v>
      </c>
      <c r="G104" s="12" t="s">
        <v>70</v>
      </c>
      <c r="H104" s="14">
        <v>1000</v>
      </c>
      <c r="I104" s="16" t="s">
        <v>71</v>
      </c>
      <c r="J104" s="16">
        <f t="shared" si="74"/>
        <v>3000</v>
      </c>
      <c r="K104" s="12" t="s">
        <v>71</v>
      </c>
      <c r="L104" s="30">
        <f>20000/H104</f>
        <v>20</v>
      </c>
      <c r="M104" s="30">
        <f t="shared" si="75"/>
        <v>60000</v>
      </c>
      <c r="N104" s="26" t="s">
        <v>43</v>
      </c>
    </row>
    <row r="105" spans="1:14" x14ac:dyDescent="0.25">
      <c r="A105" s="53">
        <v>44414</v>
      </c>
      <c r="B105" s="6" t="s">
        <v>231</v>
      </c>
      <c r="C105" s="6" t="s">
        <v>68</v>
      </c>
      <c r="D105" s="6"/>
      <c r="E105" s="6" t="s">
        <v>226</v>
      </c>
      <c r="F105" s="13">
        <v>4</v>
      </c>
      <c r="G105" s="12" t="s">
        <v>70</v>
      </c>
      <c r="H105" s="14">
        <v>1000</v>
      </c>
      <c r="I105" s="16" t="s">
        <v>71</v>
      </c>
      <c r="J105" s="16">
        <f t="shared" si="74"/>
        <v>4000</v>
      </c>
      <c r="K105" s="12" t="s">
        <v>71</v>
      </c>
      <c r="L105" s="30">
        <f>20000/H105</f>
        <v>20</v>
      </c>
      <c r="M105" s="30">
        <f t="shared" si="75"/>
        <v>80000</v>
      </c>
      <c r="N105" s="26" t="s">
        <v>43</v>
      </c>
    </row>
    <row r="106" spans="1:14" x14ac:dyDescent="0.25">
      <c r="A106" s="53">
        <v>44414</v>
      </c>
      <c r="B106" s="6" t="s">
        <v>231</v>
      </c>
      <c r="C106" s="6" t="s">
        <v>68</v>
      </c>
      <c r="D106" s="6"/>
      <c r="E106" s="6" t="s">
        <v>227</v>
      </c>
      <c r="F106" s="13">
        <v>1.5</v>
      </c>
      <c r="G106" s="12" t="s">
        <v>70</v>
      </c>
      <c r="H106" s="14">
        <v>1000</v>
      </c>
      <c r="I106" s="16" t="s">
        <v>71</v>
      </c>
      <c r="J106" s="16">
        <f t="shared" si="74"/>
        <v>1500</v>
      </c>
      <c r="K106" s="12" t="s">
        <v>71</v>
      </c>
      <c r="L106" s="30">
        <f>18000/H106</f>
        <v>18</v>
      </c>
      <c r="M106" s="30">
        <f t="shared" si="75"/>
        <v>27000</v>
      </c>
      <c r="N106" s="26" t="s">
        <v>43</v>
      </c>
    </row>
    <row r="107" spans="1:14" x14ac:dyDescent="0.25">
      <c r="A107" s="53">
        <v>44414</v>
      </c>
      <c r="B107" s="6" t="s">
        <v>231</v>
      </c>
      <c r="C107" s="6" t="s">
        <v>68</v>
      </c>
      <c r="D107" s="6"/>
      <c r="E107" s="6" t="s">
        <v>228</v>
      </c>
      <c r="F107" s="13">
        <v>2</v>
      </c>
      <c r="G107" s="12" t="s">
        <v>70</v>
      </c>
      <c r="H107" s="14">
        <v>1000</v>
      </c>
      <c r="I107" s="16" t="s">
        <v>71</v>
      </c>
      <c r="J107" s="16">
        <f t="shared" si="74"/>
        <v>2000</v>
      </c>
      <c r="K107" s="12" t="s">
        <v>71</v>
      </c>
      <c r="L107" s="30">
        <f>25000/H107</f>
        <v>25</v>
      </c>
      <c r="M107" s="30">
        <f t="shared" si="75"/>
        <v>50000</v>
      </c>
      <c r="N107" s="26" t="s">
        <v>43</v>
      </c>
    </row>
    <row r="108" spans="1:14" x14ac:dyDescent="0.25">
      <c r="A108" s="53">
        <v>44414</v>
      </c>
      <c r="B108" s="6" t="s">
        <v>231</v>
      </c>
      <c r="C108" s="6" t="s">
        <v>68</v>
      </c>
      <c r="D108" s="6"/>
      <c r="E108" s="6" t="s">
        <v>229</v>
      </c>
      <c r="F108" s="13">
        <v>1</v>
      </c>
      <c r="G108" s="12" t="s">
        <v>70</v>
      </c>
      <c r="H108" s="14">
        <v>1000</v>
      </c>
      <c r="I108" s="16" t="s">
        <v>71</v>
      </c>
      <c r="J108" s="16">
        <f t="shared" si="74"/>
        <v>1000</v>
      </c>
      <c r="K108" s="12" t="s">
        <v>71</v>
      </c>
      <c r="L108" s="30">
        <f>35000/H108</f>
        <v>35</v>
      </c>
      <c r="M108" s="30">
        <f t="shared" si="75"/>
        <v>35000</v>
      </c>
      <c r="N108" s="26" t="s">
        <v>43</v>
      </c>
    </row>
    <row r="109" spans="1:14" x14ac:dyDescent="0.25">
      <c r="A109" s="53">
        <v>44414</v>
      </c>
      <c r="B109" s="6" t="s">
        <v>232</v>
      </c>
      <c r="C109" s="6" t="s">
        <v>79</v>
      </c>
      <c r="D109" s="6"/>
      <c r="E109" s="6" t="s">
        <v>233</v>
      </c>
      <c r="F109" s="13">
        <v>1</v>
      </c>
      <c r="G109" s="12" t="s">
        <v>70</v>
      </c>
      <c r="H109" s="14">
        <v>1000</v>
      </c>
      <c r="I109" s="16" t="s">
        <v>71</v>
      </c>
      <c r="J109" s="16">
        <f t="shared" ref="J109:J111" si="76">F109*H109</f>
        <v>1000</v>
      </c>
      <c r="K109" s="12" t="s">
        <v>71</v>
      </c>
      <c r="L109" s="30">
        <f>51000/H109</f>
        <v>51</v>
      </c>
      <c r="M109" s="30">
        <f t="shared" ref="M109:M111" si="77">J109*L109</f>
        <v>51000</v>
      </c>
      <c r="N109" s="26" t="s">
        <v>43</v>
      </c>
    </row>
    <row r="110" spans="1:14" x14ac:dyDescent="0.25">
      <c r="A110" s="53">
        <v>44414</v>
      </c>
      <c r="B110" s="6" t="s">
        <v>234</v>
      </c>
      <c r="C110" s="6" t="s">
        <v>95</v>
      </c>
      <c r="D110" s="6"/>
      <c r="E110" s="6" t="s">
        <v>236</v>
      </c>
      <c r="F110" s="13">
        <v>12</v>
      </c>
      <c r="G110" s="12" t="s">
        <v>59</v>
      </c>
      <c r="H110" s="14">
        <v>1</v>
      </c>
      <c r="I110" s="12" t="s">
        <v>59</v>
      </c>
      <c r="J110" s="16">
        <f t="shared" si="76"/>
        <v>12</v>
      </c>
      <c r="K110" s="12" t="s">
        <v>59</v>
      </c>
      <c r="L110" s="30">
        <f>85000/H110</f>
        <v>85000</v>
      </c>
      <c r="M110" s="30">
        <f t="shared" si="77"/>
        <v>1020000</v>
      </c>
      <c r="N110" s="26" t="s">
        <v>43</v>
      </c>
    </row>
    <row r="111" spans="1:14" x14ac:dyDescent="0.25">
      <c r="A111" s="53">
        <v>44414</v>
      </c>
      <c r="B111" s="6" t="s">
        <v>235</v>
      </c>
      <c r="C111" s="6" t="s">
        <v>109</v>
      </c>
      <c r="D111" s="6"/>
      <c r="E111" s="6" t="s">
        <v>198</v>
      </c>
      <c r="F111" s="13">
        <v>10</v>
      </c>
      <c r="G111" s="12" t="s">
        <v>83</v>
      </c>
      <c r="H111" s="14">
        <v>1</v>
      </c>
      <c r="I111" s="12" t="s">
        <v>83</v>
      </c>
      <c r="J111" s="16">
        <f t="shared" si="76"/>
        <v>10</v>
      </c>
      <c r="K111" s="12" t="s">
        <v>83</v>
      </c>
      <c r="L111" s="30">
        <f>280000/H111</f>
        <v>280000</v>
      </c>
      <c r="M111" s="30">
        <f t="shared" si="77"/>
        <v>2800000</v>
      </c>
      <c r="N111" s="26" t="s">
        <v>43</v>
      </c>
    </row>
    <row r="112" spans="1:14" x14ac:dyDescent="0.25">
      <c r="A112" s="53">
        <v>44414</v>
      </c>
      <c r="B112" s="6" t="s">
        <v>235</v>
      </c>
      <c r="C112" s="6" t="s">
        <v>109</v>
      </c>
      <c r="D112" s="6"/>
      <c r="E112" s="6" t="s">
        <v>111</v>
      </c>
      <c r="F112" s="13">
        <v>12</v>
      </c>
      <c r="G112" s="12" t="s">
        <v>103</v>
      </c>
      <c r="H112" s="14">
        <v>1</v>
      </c>
      <c r="I112" s="12" t="s">
        <v>103</v>
      </c>
      <c r="J112" s="16">
        <f t="shared" ref="J112:J113" si="78">F112*H112</f>
        <v>12</v>
      </c>
      <c r="K112" s="12" t="s">
        <v>103</v>
      </c>
      <c r="L112" s="30">
        <f>165000/H112</f>
        <v>165000</v>
      </c>
      <c r="M112" s="30">
        <f t="shared" ref="M112:M113" si="79">J112*L112</f>
        <v>1980000</v>
      </c>
      <c r="N112" s="26" t="s">
        <v>43</v>
      </c>
    </row>
    <row r="113" spans="1:14" x14ac:dyDescent="0.25">
      <c r="A113" s="53">
        <v>44414</v>
      </c>
      <c r="B113" s="6" t="s">
        <v>237</v>
      </c>
      <c r="C113" s="6" t="s">
        <v>197</v>
      </c>
      <c r="D113" s="6"/>
      <c r="E113" s="6" t="s">
        <v>198</v>
      </c>
      <c r="F113" s="13">
        <v>26</v>
      </c>
      <c r="G113" s="12" t="s">
        <v>83</v>
      </c>
      <c r="H113" s="14">
        <v>1</v>
      </c>
      <c r="I113" s="12" t="s">
        <v>83</v>
      </c>
      <c r="J113" s="16">
        <f t="shared" si="78"/>
        <v>26</v>
      </c>
      <c r="K113" s="12" t="s">
        <v>83</v>
      </c>
      <c r="L113" s="30">
        <f>277500/H113</f>
        <v>277500</v>
      </c>
      <c r="M113" s="30">
        <f t="shared" si="79"/>
        <v>7215000</v>
      </c>
      <c r="N113" s="26" t="s">
        <v>43</v>
      </c>
    </row>
    <row r="114" spans="1:14" x14ac:dyDescent="0.25">
      <c r="A114" s="53">
        <v>44414</v>
      </c>
      <c r="B114" s="6" t="s">
        <v>243</v>
      </c>
      <c r="C114" s="6" t="s">
        <v>100</v>
      </c>
      <c r="D114" s="6"/>
      <c r="E114" s="6" t="s">
        <v>244</v>
      </c>
      <c r="F114" s="13">
        <v>6</v>
      </c>
      <c r="G114" s="12" t="s">
        <v>103</v>
      </c>
      <c r="H114" s="14">
        <v>1</v>
      </c>
      <c r="I114" s="12" t="s">
        <v>103</v>
      </c>
      <c r="J114" s="16">
        <f t="shared" ref="J114" si="80">F114*H114</f>
        <v>6</v>
      </c>
      <c r="K114" s="12" t="s">
        <v>103</v>
      </c>
      <c r="L114" s="30">
        <f>40000/H114</f>
        <v>40000</v>
      </c>
      <c r="M114" s="30">
        <f t="shared" ref="M114" si="81">J114*L114</f>
        <v>240000</v>
      </c>
      <c r="N114" s="26" t="s">
        <v>43</v>
      </c>
    </row>
    <row r="115" spans="1:14" x14ac:dyDescent="0.25">
      <c r="A115" s="53">
        <v>44414</v>
      </c>
      <c r="B115" s="6" t="s">
        <v>243</v>
      </c>
      <c r="C115" s="6" t="s">
        <v>100</v>
      </c>
      <c r="D115" s="6"/>
      <c r="E115" s="6" t="s">
        <v>101</v>
      </c>
      <c r="F115" s="13">
        <v>300</v>
      </c>
      <c r="G115" s="12" t="s">
        <v>70</v>
      </c>
      <c r="H115" s="14">
        <v>1000</v>
      </c>
      <c r="I115" s="16" t="s">
        <v>71</v>
      </c>
      <c r="J115" s="16">
        <f t="shared" ref="J115:J119" si="82">F115*H115</f>
        <v>300000</v>
      </c>
      <c r="K115" s="12" t="s">
        <v>71</v>
      </c>
      <c r="L115" s="30">
        <f>75000/H115</f>
        <v>75</v>
      </c>
      <c r="M115" s="30">
        <f t="shared" ref="M115:M119" si="83">J115*L115</f>
        <v>22500000</v>
      </c>
      <c r="N115" s="26" t="s">
        <v>43</v>
      </c>
    </row>
    <row r="116" spans="1:14" x14ac:dyDescent="0.25">
      <c r="A116" s="53">
        <v>44414</v>
      </c>
      <c r="B116" s="6" t="s">
        <v>245</v>
      </c>
      <c r="C116" s="6" t="s">
        <v>183</v>
      </c>
      <c r="D116" s="6"/>
      <c r="E116" s="6" t="s">
        <v>184</v>
      </c>
      <c r="F116" s="13">
        <v>10</v>
      </c>
      <c r="G116" s="12" t="s">
        <v>134</v>
      </c>
      <c r="H116" s="14">
        <v>1</v>
      </c>
      <c r="I116" s="12" t="s">
        <v>134</v>
      </c>
      <c r="J116" s="16">
        <f t="shared" si="82"/>
        <v>10</v>
      </c>
      <c r="K116" s="12" t="s">
        <v>134</v>
      </c>
      <c r="L116" s="30">
        <f>177500/H116</f>
        <v>177500</v>
      </c>
      <c r="M116" s="30">
        <f t="shared" si="83"/>
        <v>1775000</v>
      </c>
      <c r="N116" s="26" t="s">
        <v>43</v>
      </c>
    </row>
    <row r="117" spans="1:14" x14ac:dyDescent="0.25">
      <c r="A117" s="53">
        <v>44414</v>
      </c>
      <c r="B117" s="6" t="s">
        <v>245</v>
      </c>
      <c r="C117" s="6" t="s">
        <v>183</v>
      </c>
      <c r="D117" s="6"/>
      <c r="E117" s="6" t="s">
        <v>185</v>
      </c>
      <c r="F117" s="13">
        <v>2</v>
      </c>
      <c r="G117" s="12" t="s">
        <v>134</v>
      </c>
      <c r="H117" s="14">
        <v>1</v>
      </c>
      <c r="I117" s="12" t="s">
        <v>134</v>
      </c>
      <c r="J117" s="16">
        <f t="shared" si="82"/>
        <v>2</v>
      </c>
      <c r="K117" s="12" t="s">
        <v>134</v>
      </c>
      <c r="L117" s="30">
        <f>1096000/H117</f>
        <v>1096000</v>
      </c>
      <c r="M117" s="30">
        <f t="shared" si="83"/>
        <v>2192000</v>
      </c>
      <c r="N117" s="26" t="s">
        <v>43</v>
      </c>
    </row>
    <row r="118" spans="1:14" x14ac:dyDescent="0.25">
      <c r="A118" s="53">
        <v>44414</v>
      </c>
      <c r="B118" s="6" t="s">
        <v>246</v>
      </c>
      <c r="C118" s="6" t="s">
        <v>210</v>
      </c>
      <c r="D118" s="6"/>
      <c r="E118" s="6" t="s">
        <v>108</v>
      </c>
      <c r="F118" s="13">
        <v>100</v>
      </c>
      <c r="G118" s="12" t="s">
        <v>70</v>
      </c>
      <c r="H118" s="14">
        <v>1000</v>
      </c>
      <c r="I118" s="16" t="s">
        <v>71</v>
      </c>
      <c r="J118" s="16">
        <f t="shared" si="82"/>
        <v>100000</v>
      </c>
      <c r="K118" s="12" t="s">
        <v>71</v>
      </c>
      <c r="L118" s="30">
        <f>243000/H118</f>
        <v>243</v>
      </c>
      <c r="M118" s="30">
        <f t="shared" si="83"/>
        <v>24300000</v>
      </c>
      <c r="N118" s="26" t="s">
        <v>43</v>
      </c>
    </row>
    <row r="119" spans="1:14" x14ac:dyDescent="0.25">
      <c r="A119" s="53">
        <v>44414</v>
      </c>
      <c r="B119" s="6" t="s">
        <v>248</v>
      </c>
      <c r="C119" s="6" t="s">
        <v>200</v>
      </c>
      <c r="D119" s="6"/>
      <c r="E119" s="6" t="s">
        <v>201</v>
      </c>
      <c r="F119" s="13">
        <v>20</v>
      </c>
      <c r="G119" s="12" t="s">
        <v>134</v>
      </c>
      <c r="H119" s="14">
        <v>1</v>
      </c>
      <c r="I119" s="12" t="s">
        <v>134</v>
      </c>
      <c r="J119" s="16">
        <f t="shared" si="82"/>
        <v>20</v>
      </c>
      <c r="K119" s="12" t="s">
        <v>134</v>
      </c>
      <c r="L119" s="30">
        <f>614801/H119</f>
        <v>614801</v>
      </c>
      <c r="M119" s="30">
        <f t="shared" si="83"/>
        <v>12296020</v>
      </c>
      <c r="N119" s="26" t="s">
        <v>43</v>
      </c>
    </row>
    <row r="120" spans="1:14" x14ac:dyDescent="0.25">
      <c r="A120" s="53">
        <v>44414</v>
      </c>
      <c r="B120" s="6" t="s">
        <v>256</v>
      </c>
      <c r="C120" s="6" t="s">
        <v>179</v>
      </c>
      <c r="D120" s="6"/>
      <c r="E120" s="6" t="s">
        <v>180</v>
      </c>
      <c r="F120" s="13">
        <v>17</v>
      </c>
      <c r="G120" s="12" t="s">
        <v>70</v>
      </c>
      <c r="H120" s="14">
        <v>1000</v>
      </c>
      <c r="I120" s="16" t="s">
        <v>71</v>
      </c>
      <c r="J120" s="16">
        <f>F120*H120</f>
        <v>17000</v>
      </c>
      <c r="K120" s="12" t="s">
        <v>71</v>
      </c>
      <c r="L120" s="30">
        <f>150000/H120</f>
        <v>150</v>
      </c>
      <c r="M120" s="30">
        <f>J120*L120</f>
        <v>2550000</v>
      </c>
      <c r="N120" s="26" t="s">
        <v>43</v>
      </c>
    </row>
    <row r="121" spans="1:14" x14ac:dyDescent="0.25">
      <c r="A121" s="53">
        <v>44414</v>
      </c>
      <c r="B121" s="6" t="s">
        <v>259</v>
      </c>
      <c r="C121" s="6" t="s">
        <v>217</v>
      </c>
      <c r="D121" s="6"/>
      <c r="E121" s="6" t="s">
        <v>218</v>
      </c>
      <c r="F121" s="13">
        <v>19.21</v>
      </c>
      <c r="G121" s="12" t="s">
        <v>70</v>
      </c>
      <c r="H121" s="14">
        <v>1000</v>
      </c>
      <c r="I121" s="16" t="s">
        <v>71</v>
      </c>
      <c r="J121" s="16">
        <f t="shared" ref="J121" si="84">F121*H121</f>
        <v>19210</v>
      </c>
      <c r="K121" s="12" t="s">
        <v>71</v>
      </c>
      <c r="L121" s="30">
        <f>330000/H121</f>
        <v>330</v>
      </c>
      <c r="M121" s="30">
        <f t="shared" ref="M121" si="85">J121*L121</f>
        <v>6339300</v>
      </c>
      <c r="N121" s="26" t="s">
        <v>43</v>
      </c>
    </row>
    <row r="123" spans="1:14" x14ac:dyDescent="0.25">
      <c r="A123" s="53">
        <v>44415</v>
      </c>
      <c r="B123" s="6" t="s">
        <v>255</v>
      </c>
      <c r="C123" s="6" t="s">
        <v>68</v>
      </c>
      <c r="D123" s="6"/>
      <c r="E123" s="6" t="s">
        <v>69</v>
      </c>
      <c r="F123" s="13">
        <v>6</v>
      </c>
      <c r="G123" s="12" t="s">
        <v>70</v>
      </c>
      <c r="H123" s="14">
        <v>1000</v>
      </c>
      <c r="I123" s="16" t="s">
        <v>71</v>
      </c>
      <c r="J123" s="16">
        <f>F123*H123</f>
        <v>6000</v>
      </c>
      <c r="K123" s="12" t="s">
        <v>71</v>
      </c>
      <c r="L123" s="30">
        <f>45000/H123</f>
        <v>45</v>
      </c>
      <c r="M123" s="30">
        <f>J123*L123</f>
        <v>270000</v>
      </c>
      <c r="N123" s="26" t="s">
        <v>43</v>
      </c>
    </row>
    <row r="124" spans="1:14" x14ac:dyDescent="0.25">
      <c r="A124" s="53">
        <v>44415</v>
      </c>
      <c r="B124" s="6" t="s">
        <v>255</v>
      </c>
      <c r="C124" s="6" t="s">
        <v>68</v>
      </c>
      <c r="D124" s="6"/>
      <c r="E124" s="6" t="s">
        <v>72</v>
      </c>
      <c r="F124" s="13">
        <v>1</v>
      </c>
      <c r="G124" s="12" t="s">
        <v>70</v>
      </c>
      <c r="H124" s="14">
        <v>1000</v>
      </c>
      <c r="I124" s="16" t="s">
        <v>71</v>
      </c>
      <c r="J124" s="16">
        <f t="shared" ref="J124" si="86">F124*H124</f>
        <v>1000</v>
      </c>
      <c r="K124" s="12" t="s">
        <v>71</v>
      </c>
      <c r="L124" s="30">
        <f>45000/H124</f>
        <v>45</v>
      </c>
      <c r="M124" s="30">
        <f t="shared" ref="M124:M126" si="87">J124*L124</f>
        <v>45000</v>
      </c>
      <c r="N124" s="26" t="s">
        <v>43</v>
      </c>
    </row>
    <row r="125" spans="1:14" x14ac:dyDescent="0.25">
      <c r="A125" s="53">
        <v>44415</v>
      </c>
      <c r="B125" s="6" t="s">
        <v>255</v>
      </c>
      <c r="C125" s="6" t="s">
        <v>68</v>
      </c>
      <c r="D125" s="6"/>
      <c r="E125" s="6" t="s">
        <v>87</v>
      </c>
      <c r="F125" s="13">
        <v>2</v>
      </c>
      <c r="G125" s="12" t="s">
        <v>70</v>
      </c>
      <c r="H125" s="14">
        <v>1000</v>
      </c>
      <c r="I125" s="16" t="s">
        <v>71</v>
      </c>
      <c r="J125" s="16">
        <f>F125*H125</f>
        <v>2000</v>
      </c>
      <c r="K125" s="12" t="s">
        <v>71</v>
      </c>
      <c r="L125" s="30">
        <f>90000/H125</f>
        <v>90</v>
      </c>
      <c r="M125" s="30">
        <f t="shared" si="87"/>
        <v>180000</v>
      </c>
      <c r="N125" s="26" t="s">
        <v>43</v>
      </c>
    </row>
    <row r="126" spans="1:14" x14ac:dyDescent="0.25">
      <c r="A126" s="53">
        <v>44415</v>
      </c>
      <c r="B126" s="6" t="s">
        <v>255</v>
      </c>
      <c r="C126" s="6" t="s">
        <v>68</v>
      </c>
      <c r="D126" s="6"/>
      <c r="E126" s="6" t="s">
        <v>170</v>
      </c>
      <c r="F126" s="13">
        <v>10</v>
      </c>
      <c r="G126" s="12" t="s">
        <v>70</v>
      </c>
      <c r="H126" s="14">
        <v>1000</v>
      </c>
      <c r="I126" s="16" t="s">
        <v>71</v>
      </c>
      <c r="J126" s="16">
        <f t="shared" ref="J126" si="88">F126*H126</f>
        <v>10000</v>
      </c>
      <c r="K126" s="12" t="s">
        <v>71</v>
      </c>
      <c r="L126" s="30">
        <f>30000/H126</f>
        <v>30</v>
      </c>
      <c r="M126" s="30">
        <f t="shared" si="87"/>
        <v>300000</v>
      </c>
      <c r="N126" s="26" t="s">
        <v>43</v>
      </c>
    </row>
    <row r="127" spans="1:14" x14ac:dyDescent="0.25">
      <c r="A127" s="53">
        <v>44415</v>
      </c>
      <c r="B127" s="6" t="s">
        <v>255</v>
      </c>
      <c r="C127" s="6" t="s">
        <v>68</v>
      </c>
      <c r="D127" s="6"/>
      <c r="E127" s="6" t="s">
        <v>257</v>
      </c>
      <c r="F127" s="13">
        <v>2</v>
      </c>
      <c r="G127" s="12" t="s">
        <v>70</v>
      </c>
      <c r="H127" s="14">
        <v>1000</v>
      </c>
      <c r="I127" s="16" t="s">
        <v>71</v>
      </c>
      <c r="J127" s="16">
        <f t="shared" ref="J127:J128" si="89">F127*H127</f>
        <v>2000</v>
      </c>
      <c r="K127" s="12" t="s">
        <v>71</v>
      </c>
      <c r="L127" s="30">
        <f>25000/H127</f>
        <v>25</v>
      </c>
      <c r="M127" s="30">
        <f t="shared" ref="M127:M128" si="90">J127*L127</f>
        <v>50000</v>
      </c>
      <c r="N127" s="26" t="s">
        <v>43</v>
      </c>
    </row>
    <row r="128" spans="1:14" x14ac:dyDescent="0.25">
      <c r="A128" s="53">
        <v>44415</v>
      </c>
      <c r="B128" s="6" t="s">
        <v>255</v>
      </c>
      <c r="C128" s="6" t="s">
        <v>68</v>
      </c>
      <c r="D128" s="6"/>
      <c r="E128" s="6" t="s">
        <v>85</v>
      </c>
      <c r="F128" s="13">
        <v>3</v>
      </c>
      <c r="G128" s="12" t="s">
        <v>70</v>
      </c>
      <c r="H128" s="14">
        <v>1000</v>
      </c>
      <c r="I128" s="16" t="s">
        <v>71</v>
      </c>
      <c r="J128" s="16">
        <f t="shared" si="89"/>
        <v>3000</v>
      </c>
      <c r="K128" s="12" t="s">
        <v>71</v>
      </c>
      <c r="L128" s="30">
        <f>55000/H128</f>
        <v>55</v>
      </c>
      <c r="M128" s="30">
        <f t="shared" si="90"/>
        <v>165000</v>
      </c>
      <c r="N128" s="26" t="s">
        <v>43</v>
      </c>
    </row>
    <row r="129" spans="1:14" x14ac:dyDescent="0.25">
      <c r="A129" s="53">
        <v>44415</v>
      </c>
      <c r="B129" s="6" t="s">
        <v>255</v>
      </c>
      <c r="C129" s="6" t="s">
        <v>68</v>
      </c>
      <c r="D129" s="6"/>
      <c r="E129" s="6" t="s">
        <v>124</v>
      </c>
      <c r="F129" s="13">
        <v>5</v>
      </c>
      <c r="G129" s="12" t="s">
        <v>70</v>
      </c>
      <c r="H129" s="14">
        <v>1000</v>
      </c>
      <c r="I129" s="16" t="s">
        <v>71</v>
      </c>
      <c r="J129" s="16">
        <f>F129*H129</f>
        <v>5000</v>
      </c>
      <c r="K129" s="12" t="s">
        <v>71</v>
      </c>
      <c r="L129" s="30">
        <f>40000/H129</f>
        <v>40</v>
      </c>
      <c r="M129" s="30">
        <f>J129*L129</f>
        <v>200000</v>
      </c>
      <c r="N129" s="26" t="s">
        <v>43</v>
      </c>
    </row>
    <row r="130" spans="1:14" x14ac:dyDescent="0.25">
      <c r="A130" s="53">
        <v>44415</v>
      </c>
      <c r="B130" s="6" t="s">
        <v>255</v>
      </c>
      <c r="C130" s="6" t="s">
        <v>68</v>
      </c>
      <c r="D130" s="6"/>
      <c r="E130" s="6" t="s">
        <v>89</v>
      </c>
      <c r="F130" s="13">
        <v>5</v>
      </c>
      <c r="G130" s="12" t="s">
        <v>70</v>
      </c>
      <c r="H130" s="14">
        <v>1000</v>
      </c>
      <c r="I130" s="16" t="s">
        <v>71</v>
      </c>
      <c r="J130" s="16">
        <f t="shared" ref="J130:J132" si="91">F130*H130</f>
        <v>5000</v>
      </c>
      <c r="K130" s="12" t="s">
        <v>71</v>
      </c>
      <c r="L130" s="30">
        <f>35000/H130</f>
        <v>35</v>
      </c>
      <c r="M130" s="30">
        <f t="shared" ref="M130:M132" si="92">J130*L130</f>
        <v>175000</v>
      </c>
      <c r="N130" s="26" t="s">
        <v>43</v>
      </c>
    </row>
    <row r="131" spans="1:14" x14ac:dyDescent="0.25">
      <c r="A131" s="53">
        <v>44415</v>
      </c>
      <c r="B131" s="6" t="s">
        <v>255</v>
      </c>
      <c r="C131" s="6" t="s">
        <v>68</v>
      </c>
      <c r="D131" s="6"/>
      <c r="E131" s="6" t="s">
        <v>76</v>
      </c>
      <c r="F131" s="13">
        <v>5</v>
      </c>
      <c r="G131" s="12" t="s">
        <v>70</v>
      </c>
      <c r="H131" s="14">
        <v>1000</v>
      </c>
      <c r="I131" s="16" t="s">
        <v>71</v>
      </c>
      <c r="J131" s="16">
        <f t="shared" si="91"/>
        <v>5000</v>
      </c>
      <c r="K131" s="12" t="s">
        <v>71</v>
      </c>
      <c r="L131" s="30">
        <f>27000/H131</f>
        <v>27</v>
      </c>
      <c r="M131" s="30">
        <f t="shared" si="92"/>
        <v>135000</v>
      </c>
      <c r="N131" s="26" t="s">
        <v>43</v>
      </c>
    </row>
    <row r="132" spans="1:14" x14ac:dyDescent="0.25">
      <c r="A132" s="53">
        <v>44415</v>
      </c>
      <c r="B132" s="6" t="s">
        <v>255</v>
      </c>
      <c r="C132" s="6" t="s">
        <v>68</v>
      </c>
      <c r="D132" s="6"/>
      <c r="E132" s="6" t="s">
        <v>258</v>
      </c>
      <c r="F132" s="13">
        <v>2</v>
      </c>
      <c r="G132" s="12" t="s">
        <v>83</v>
      </c>
      <c r="H132" s="14">
        <v>1</v>
      </c>
      <c r="I132" s="12" t="s">
        <v>83</v>
      </c>
      <c r="J132" s="16">
        <f t="shared" si="91"/>
        <v>2</v>
      </c>
      <c r="K132" s="12" t="s">
        <v>83</v>
      </c>
      <c r="L132" s="30">
        <f>105000/H132</f>
        <v>105000</v>
      </c>
      <c r="M132" s="30">
        <f t="shared" si="92"/>
        <v>210000</v>
      </c>
      <c r="N132" s="26" t="s">
        <v>43</v>
      </c>
    </row>
    <row r="133" spans="1:14" x14ac:dyDescent="0.25">
      <c r="A133" s="53">
        <v>44415</v>
      </c>
      <c r="B133" s="6" t="s">
        <v>260</v>
      </c>
      <c r="C133" s="6" t="s">
        <v>95</v>
      </c>
      <c r="D133" s="6"/>
      <c r="E133" s="6" t="s">
        <v>261</v>
      </c>
      <c r="F133" s="13">
        <v>2</v>
      </c>
      <c r="G133" s="12" t="s">
        <v>59</v>
      </c>
      <c r="H133" s="14">
        <v>1</v>
      </c>
      <c r="I133" s="16" t="s">
        <v>59</v>
      </c>
      <c r="J133" s="16">
        <f>F133*H133</f>
        <v>2</v>
      </c>
      <c r="K133" s="12" t="s">
        <v>59</v>
      </c>
      <c r="L133" s="30">
        <f>142296/H133</f>
        <v>142296</v>
      </c>
      <c r="M133" s="30">
        <f>J133*L133</f>
        <v>284592</v>
      </c>
      <c r="N133" s="26" t="s">
        <v>43</v>
      </c>
    </row>
    <row r="134" spans="1:14" x14ac:dyDescent="0.25">
      <c r="A134" s="53">
        <v>44415</v>
      </c>
      <c r="B134" s="6" t="s">
        <v>260</v>
      </c>
      <c r="C134" s="6" t="s">
        <v>95</v>
      </c>
      <c r="D134" s="6"/>
      <c r="E134" s="6" t="s">
        <v>262</v>
      </c>
      <c r="F134" s="13">
        <v>1</v>
      </c>
      <c r="G134" s="12" t="s">
        <v>134</v>
      </c>
      <c r="H134" s="14">
        <v>1</v>
      </c>
      <c r="I134" s="12" t="s">
        <v>134</v>
      </c>
      <c r="J134" s="16">
        <f>F134*H134</f>
        <v>1</v>
      </c>
      <c r="K134" s="12" t="s">
        <v>134</v>
      </c>
      <c r="L134" s="30">
        <f>790000/H134</f>
        <v>790000</v>
      </c>
      <c r="M134" s="30">
        <f>J134*L134</f>
        <v>790000</v>
      </c>
      <c r="N134" s="26" t="s">
        <v>43</v>
      </c>
    </row>
    <row r="135" spans="1:14" x14ac:dyDescent="0.25">
      <c r="A135" s="53">
        <v>44415</v>
      </c>
      <c r="B135" s="6" t="s">
        <v>263</v>
      </c>
      <c r="C135" s="6" t="s">
        <v>79</v>
      </c>
      <c r="D135" s="6"/>
      <c r="E135" s="6" t="s">
        <v>80</v>
      </c>
      <c r="F135" s="13">
        <v>50</v>
      </c>
      <c r="G135" s="12" t="s">
        <v>70</v>
      </c>
      <c r="H135" s="14">
        <v>1000</v>
      </c>
      <c r="I135" s="16" t="s">
        <v>71</v>
      </c>
      <c r="J135" s="16">
        <f t="shared" ref="J135" si="93">F135*H135</f>
        <v>50000</v>
      </c>
      <c r="K135" s="12" t="s">
        <v>71</v>
      </c>
      <c r="L135" s="30">
        <f>47000/H135</f>
        <v>47</v>
      </c>
      <c r="M135" s="30">
        <f t="shared" ref="M135" si="94">J135*L135</f>
        <v>2350000</v>
      </c>
      <c r="N135" s="26" t="s">
        <v>43</v>
      </c>
    </row>
    <row r="136" spans="1:14" x14ac:dyDescent="0.25">
      <c r="A136" s="53">
        <v>44415</v>
      </c>
      <c r="B136" s="6" t="s">
        <v>264</v>
      </c>
      <c r="C136" s="6" t="s">
        <v>266</v>
      </c>
      <c r="D136" s="6"/>
      <c r="E136" s="6" t="s">
        <v>267</v>
      </c>
      <c r="F136" s="13">
        <v>300</v>
      </c>
      <c r="G136" s="12" t="s">
        <v>63</v>
      </c>
      <c r="H136" s="14">
        <v>1</v>
      </c>
      <c r="I136" s="12" t="s">
        <v>63</v>
      </c>
      <c r="J136" s="16">
        <f>F136*H136</f>
        <v>300</v>
      </c>
      <c r="K136" s="12" t="s">
        <v>63</v>
      </c>
      <c r="L136" s="30">
        <f>1900/H136</f>
        <v>1900</v>
      </c>
      <c r="M136" s="30">
        <f>J136*L136</f>
        <v>570000</v>
      </c>
      <c r="N136" s="26" t="s">
        <v>43</v>
      </c>
    </row>
    <row r="137" spans="1:14" x14ac:dyDescent="0.25">
      <c r="A137" s="53">
        <v>44415</v>
      </c>
      <c r="B137" s="6" t="s">
        <v>265</v>
      </c>
      <c r="C137" s="6" t="s">
        <v>268</v>
      </c>
      <c r="D137" s="6"/>
      <c r="E137" s="6" t="s">
        <v>191</v>
      </c>
      <c r="F137" s="13">
        <v>40</v>
      </c>
      <c r="G137" s="12" t="s">
        <v>70</v>
      </c>
      <c r="H137" s="14">
        <v>1000</v>
      </c>
      <c r="I137" s="16" t="s">
        <v>71</v>
      </c>
      <c r="J137" s="16">
        <f t="shared" ref="J137:J139" si="95">F137*H137</f>
        <v>40000</v>
      </c>
      <c r="K137" s="12" t="s">
        <v>71</v>
      </c>
      <c r="L137" s="30">
        <f>158840/H137</f>
        <v>158.84</v>
      </c>
      <c r="M137" s="30">
        <f t="shared" ref="M137:M139" si="96">J137*L137</f>
        <v>6353600</v>
      </c>
      <c r="N137" s="26" t="s">
        <v>43</v>
      </c>
    </row>
    <row r="138" spans="1:14" x14ac:dyDescent="0.25">
      <c r="A138" s="53">
        <v>44415</v>
      </c>
      <c r="B138" s="6" t="s">
        <v>269</v>
      </c>
      <c r="C138" s="6" t="s">
        <v>100</v>
      </c>
      <c r="D138" s="6"/>
      <c r="E138" s="6" t="s">
        <v>101</v>
      </c>
      <c r="F138" s="13">
        <v>300</v>
      </c>
      <c r="G138" s="12" t="s">
        <v>70</v>
      </c>
      <c r="H138" s="14">
        <v>1000</v>
      </c>
      <c r="I138" s="16" t="s">
        <v>71</v>
      </c>
      <c r="J138" s="16">
        <f t="shared" si="95"/>
        <v>300000</v>
      </c>
      <c r="K138" s="12" t="s">
        <v>71</v>
      </c>
      <c r="L138" s="30">
        <f>75000/H138</f>
        <v>75</v>
      </c>
      <c r="M138" s="30">
        <f t="shared" si="96"/>
        <v>22500000</v>
      </c>
      <c r="N138" s="26" t="s">
        <v>43</v>
      </c>
    </row>
    <row r="139" spans="1:14" x14ac:dyDescent="0.25">
      <c r="A139" s="53">
        <v>44415</v>
      </c>
      <c r="B139" s="6" t="s">
        <v>269</v>
      </c>
      <c r="C139" s="6" t="s">
        <v>100</v>
      </c>
      <c r="D139" s="6"/>
      <c r="E139" s="6" t="s">
        <v>102</v>
      </c>
      <c r="F139" s="13">
        <v>6</v>
      </c>
      <c r="G139" s="12" t="s">
        <v>103</v>
      </c>
      <c r="H139" s="14">
        <v>1</v>
      </c>
      <c r="I139" s="16" t="s">
        <v>103</v>
      </c>
      <c r="J139" s="16">
        <f t="shared" si="95"/>
        <v>6</v>
      </c>
      <c r="K139" s="12" t="s">
        <v>103</v>
      </c>
      <c r="L139" s="30">
        <f>40000/H139</f>
        <v>40000</v>
      </c>
      <c r="M139" s="30">
        <f t="shared" si="96"/>
        <v>240000</v>
      </c>
      <c r="N139" s="26" t="s">
        <v>43</v>
      </c>
    </row>
    <row r="140" spans="1:14" x14ac:dyDescent="0.25">
      <c r="A140" s="53">
        <v>44415</v>
      </c>
      <c r="B140" s="6" t="s">
        <v>269</v>
      </c>
      <c r="C140" s="6" t="s">
        <v>100</v>
      </c>
      <c r="D140" s="6"/>
      <c r="E140" s="6" t="s">
        <v>270</v>
      </c>
      <c r="F140" s="13">
        <v>20</v>
      </c>
      <c r="G140" s="12" t="s">
        <v>70</v>
      </c>
      <c r="H140" s="14">
        <v>1000</v>
      </c>
      <c r="I140" s="16" t="s">
        <v>71</v>
      </c>
      <c r="J140" s="16">
        <f t="shared" ref="J140:J141" si="97">F140*H140</f>
        <v>20000</v>
      </c>
      <c r="K140" s="12" t="s">
        <v>71</v>
      </c>
      <c r="L140" s="30">
        <f>21000/H140</f>
        <v>21</v>
      </c>
      <c r="M140" s="30">
        <f t="shared" ref="M140:M141" si="98">J140*L140</f>
        <v>420000</v>
      </c>
      <c r="N140" s="26" t="s">
        <v>43</v>
      </c>
    </row>
    <row r="141" spans="1:14" x14ac:dyDescent="0.25">
      <c r="A141" s="53">
        <v>44415</v>
      </c>
      <c r="B141" s="6" t="s">
        <v>271</v>
      </c>
      <c r="C141" s="6" t="s">
        <v>217</v>
      </c>
      <c r="D141" s="6"/>
      <c r="E141" s="6" t="s">
        <v>218</v>
      </c>
      <c r="F141" s="13">
        <v>14.45</v>
      </c>
      <c r="G141" s="12" t="s">
        <v>70</v>
      </c>
      <c r="H141" s="14">
        <v>1000</v>
      </c>
      <c r="I141" s="16" t="s">
        <v>71</v>
      </c>
      <c r="J141" s="16">
        <f t="shared" si="97"/>
        <v>14450</v>
      </c>
      <c r="K141" s="12" t="s">
        <v>71</v>
      </c>
      <c r="L141" s="30">
        <f>330000/H141</f>
        <v>330</v>
      </c>
      <c r="M141" s="30">
        <f t="shared" si="98"/>
        <v>4768500</v>
      </c>
      <c r="N141" s="26" t="s">
        <v>43</v>
      </c>
    </row>
    <row r="142" spans="1:14" x14ac:dyDescent="0.25">
      <c r="M142" s="42">
        <f>SUM(M123:M141)</f>
        <v>40006692</v>
      </c>
    </row>
    <row r="143" spans="1:14" x14ac:dyDescent="0.25">
      <c r="A143" s="53">
        <v>44416</v>
      </c>
      <c r="B143" s="6" t="s">
        <v>275</v>
      </c>
      <c r="C143" s="6" t="s">
        <v>68</v>
      </c>
      <c r="D143" s="6"/>
      <c r="E143" s="6" t="s">
        <v>69</v>
      </c>
      <c r="F143" s="13">
        <v>1.4</v>
      </c>
      <c r="G143" s="12" t="s">
        <v>70</v>
      </c>
      <c r="H143" s="14">
        <v>1000</v>
      </c>
      <c r="I143" s="16" t="s">
        <v>71</v>
      </c>
      <c r="J143" s="16">
        <f>F143*H143</f>
        <v>1400</v>
      </c>
      <c r="K143" s="12" t="s">
        <v>71</v>
      </c>
      <c r="L143" s="30">
        <f>45000/H143</f>
        <v>45</v>
      </c>
      <c r="M143" s="30">
        <f>J143*L143</f>
        <v>63000</v>
      </c>
      <c r="N143" s="26" t="s">
        <v>43</v>
      </c>
    </row>
    <row r="144" spans="1:14" x14ac:dyDescent="0.25">
      <c r="A144" s="53">
        <v>44416</v>
      </c>
      <c r="B144" s="6" t="s">
        <v>275</v>
      </c>
      <c r="C144" s="6" t="s">
        <v>68</v>
      </c>
      <c r="D144" s="6"/>
      <c r="E144" s="6" t="s">
        <v>72</v>
      </c>
      <c r="F144" s="13">
        <v>2</v>
      </c>
      <c r="G144" s="12" t="s">
        <v>70</v>
      </c>
      <c r="H144" s="14">
        <v>1000</v>
      </c>
      <c r="I144" s="16" t="s">
        <v>71</v>
      </c>
      <c r="J144" s="16">
        <f t="shared" ref="J144:J146" si="99">F144*H144</f>
        <v>2000</v>
      </c>
      <c r="K144" s="12" t="s">
        <v>71</v>
      </c>
      <c r="L144" s="30">
        <f>45000/H144</f>
        <v>45</v>
      </c>
      <c r="M144" s="30">
        <f t="shared" ref="M144:M147" si="100">J144*L144</f>
        <v>90000</v>
      </c>
      <c r="N144" s="26" t="s">
        <v>43</v>
      </c>
    </row>
    <row r="145" spans="1:14" x14ac:dyDescent="0.25">
      <c r="A145" s="53">
        <v>44416</v>
      </c>
      <c r="B145" s="6" t="s">
        <v>275</v>
      </c>
      <c r="C145" s="6" t="s">
        <v>68</v>
      </c>
      <c r="D145" s="6"/>
      <c r="E145" s="6" t="s">
        <v>169</v>
      </c>
      <c r="F145" s="13">
        <v>10</v>
      </c>
      <c r="G145" s="12" t="s">
        <v>70</v>
      </c>
      <c r="H145" s="14">
        <v>1000</v>
      </c>
      <c r="I145" s="16" t="s">
        <v>71</v>
      </c>
      <c r="J145" s="16">
        <f t="shared" si="99"/>
        <v>10000</v>
      </c>
      <c r="K145" s="12" t="s">
        <v>71</v>
      </c>
      <c r="L145" s="30">
        <f>20000/H145</f>
        <v>20</v>
      </c>
      <c r="M145" s="30">
        <f t="shared" si="100"/>
        <v>200000</v>
      </c>
      <c r="N145" s="26" t="s">
        <v>43</v>
      </c>
    </row>
    <row r="146" spans="1:14" x14ac:dyDescent="0.25">
      <c r="A146" s="53">
        <v>44416</v>
      </c>
      <c r="B146" s="6" t="s">
        <v>275</v>
      </c>
      <c r="C146" s="6" t="s">
        <v>68</v>
      </c>
      <c r="D146" s="6"/>
      <c r="E146" s="6" t="s">
        <v>89</v>
      </c>
      <c r="F146" s="13">
        <v>2</v>
      </c>
      <c r="G146" s="12" t="s">
        <v>70</v>
      </c>
      <c r="H146" s="14">
        <v>1000</v>
      </c>
      <c r="I146" s="16" t="s">
        <v>71</v>
      </c>
      <c r="J146" s="16">
        <f t="shared" si="99"/>
        <v>2000</v>
      </c>
      <c r="K146" s="12" t="s">
        <v>71</v>
      </c>
      <c r="L146" s="30">
        <f>35000/H146</f>
        <v>35</v>
      </c>
      <c r="M146" s="30">
        <f t="shared" si="100"/>
        <v>70000</v>
      </c>
      <c r="N146" s="26" t="s">
        <v>43</v>
      </c>
    </row>
    <row r="147" spans="1:14" x14ac:dyDescent="0.25">
      <c r="A147" s="53">
        <v>44416</v>
      </c>
      <c r="B147" s="6" t="s">
        <v>275</v>
      </c>
      <c r="C147" s="6" t="s">
        <v>68</v>
      </c>
      <c r="D147" s="6"/>
      <c r="E147" s="6" t="s">
        <v>87</v>
      </c>
      <c r="F147" s="13">
        <v>1.3</v>
      </c>
      <c r="G147" s="12" t="s">
        <v>70</v>
      </c>
      <c r="H147" s="14">
        <v>1000</v>
      </c>
      <c r="I147" s="16" t="s">
        <v>71</v>
      </c>
      <c r="J147" s="16">
        <f>F147*H147</f>
        <v>1300</v>
      </c>
      <c r="K147" s="12" t="s">
        <v>71</v>
      </c>
      <c r="L147" s="30">
        <f>90000/H147</f>
        <v>90</v>
      </c>
      <c r="M147" s="30">
        <f t="shared" si="100"/>
        <v>117000</v>
      </c>
      <c r="N147" s="26" t="s">
        <v>43</v>
      </c>
    </row>
    <row r="148" spans="1:14" x14ac:dyDescent="0.25">
      <c r="M148" s="42">
        <f>SUM(M143:M147)</f>
        <v>540000</v>
      </c>
    </row>
    <row r="149" spans="1:14" x14ac:dyDescent="0.25">
      <c r="A149" s="53">
        <v>44417</v>
      </c>
      <c r="B149" s="6" t="s">
        <v>276</v>
      </c>
      <c r="C149" s="6" t="s">
        <v>181</v>
      </c>
      <c r="D149" s="6"/>
      <c r="E149" s="6" t="s">
        <v>182</v>
      </c>
      <c r="F149" s="13">
        <v>10</v>
      </c>
      <c r="G149" s="12" t="s">
        <v>134</v>
      </c>
      <c r="H149" s="14">
        <v>1</v>
      </c>
      <c r="I149" s="12" t="s">
        <v>134</v>
      </c>
      <c r="J149" s="16">
        <f t="shared" ref="J149" si="101">F149*H149</f>
        <v>10</v>
      </c>
      <c r="K149" s="12" t="s">
        <v>134</v>
      </c>
      <c r="L149" s="30">
        <f>1359600/H149</f>
        <v>1359600</v>
      </c>
      <c r="M149" s="30">
        <f t="shared" ref="M149:M150" si="102">J149*L149</f>
        <v>13596000</v>
      </c>
      <c r="N149" s="26" t="s">
        <v>43</v>
      </c>
    </row>
    <row r="150" spans="1:14" x14ac:dyDescent="0.25">
      <c r="A150" s="53">
        <v>44417</v>
      </c>
      <c r="B150" s="6" t="s">
        <v>278</v>
      </c>
      <c r="C150" s="6" t="s">
        <v>283</v>
      </c>
      <c r="D150" s="6"/>
      <c r="E150" s="6" t="s">
        <v>284</v>
      </c>
      <c r="F150" s="13">
        <v>20</v>
      </c>
      <c r="G150" s="12" t="s">
        <v>70</v>
      </c>
      <c r="H150" s="14">
        <v>1000</v>
      </c>
      <c r="I150" s="16" t="s">
        <v>71</v>
      </c>
      <c r="J150" s="16">
        <f>F150*H150</f>
        <v>20000</v>
      </c>
      <c r="K150" s="12" t="s">
        <v>71</v>
      </c>
      <c r="L150" s="30">
        <f>95000/H150</f>
        <v>95</v>
      </c>
      <c r="M150" s="30">
        <f t="shared" si="102"/>
        <v>1900000</v>
      </c>
      <c r="N150" s="26" t="s">
        <v>43</v>
      </c>
    </row>
    <row r="151" spans="1:14" x14ac:dyDescent="0.25">
      <c r="A151" s="53">
        <v>44417</v>
      </c>
      <c r="B151" s="6" t="s">
        <v>282</v>
      </c>
      <c r="C151" s="6" t="s">
        <v>130</v>
      </c>
      <c r="D151" s="6"/>
      <c r="E151" s="6" t="s">
        <v>131</v>
      </c>
      <c r="F151" s="13">
        <v>400</v>
      </c>
      <c r="G151" s="12" t="s">
        <v>63</v>
      </c>
      <c r="H151" s="14">
        <v>1</v>
      </c>
      <c r="I151" s="12" t="s">
        <v>63</v>
      </c>
      <c r="J151" s="16">
        <f t="shared" ref="J151:J152" si="103">F151*H151</f>
        <v>400</v>
      </c>
      <c r="K151" s="12" t="s">
        <v>63</v>
      </c>
      <c r="L151" s="30">
        <f>3200/H151</f>
        <v>3200</v>
      </c>
      <c r="M151" s="30">
        <f t="shared" ref="M151:M152" si="104">J151*L151</f>
        <v>1280000</v>
      </c>
      <c r="N151" s="26" t="s">
        <v>43</v>
      </c>
    </row>
    <row r="152" spans="1:14" x14ac:dyDescent="0.25">
      <c r="A152" s="53">
        <v>44417</v>
      </c>
      <c r="B152" s="6" t="s">
        <v>285</v>
      </c>
      <c r="C152" s="6" t="s">
        <v>95</v>
      </c>
      <c r="D152" s="6"/>
      <c r="E152" s="6" t="s">
        <v>287</v>
      </c>
      <c r="F152" s="13">
        <v>3</v>
      </c>
      <c r="G152" s="12" t="s">
        <v>134</v>
      </c>
      <c r="H152" s="14">
        <v>1</v>
      </c>
      <c r="I152" s="12" t="s">
        <v>134</v>
      </c>
      <c r="J152" s="16">
        <f t="shared" si="103"/>
        <v>3</v>
      </c>
      <c r="K152" s="12" t="s">
        <v>134</v>
      </c>
      <c r="L152" s="30">
        <f>2000000/H152</f>
        <v>2000000</v>
      </c>
      <c r="M152" s="30">
        <f t="shared" si="104"/>
        <v>6000000</v>
      </c>
      <c r="N152" s="26" t="s">
        <v>43</v>
      </c>
    </row>
    <row r="153" spans="1:14" x14ac:dyDescent="0.25">
      <c r="A153" s="53">
        <v>44417</v>
      </c>
      <c r="B153" s="6" t="s">
        <v>286</v>
      </c>
      <c r="C153" s="6" t="s">
        <v>68</v>
      </c>
      <c r="D153" s="6"/>
      <c r="E153" s="6" t="s">
        <v>69</v>
      </c>
      <c r="F153" s="13">
        <v>3</v>
      </c>
      <c r="G153" s="12" t="s">
        <v>70</v>
      </c>
      <c r="H153" s="14">
        <v>1000</v>
      </c>
      <c r="I153" s="16" t="s">
        <v>71</v>
      </c>
      <c r="J153" s="16">
        <f>F153*H153</f>
        <v>3000</v>
      </c>
      <c r="K153" s="12" t="s">
        <v>71</v>
      </c>
      <c r="L153" s="30">
        <f>45000/H153</f>
        <v>45</v>
      </c>
      <c r="M153" s="30">
        <f>J153*L153</f>
        <v>135000</v>
      </c>
      <c r="N153" s="26" t="s">
        <v>43</v>
      </c>
    </row>
    <row r="154" spans="1:14" x14ac:dyDescent="0.25">
      <c r="A154" s="53">
        <v>44417</v>
      </c>
      <c r="B154" s="6" t="s">
        <v>286</v>
      </c>
      <c r="C154" s="6" t="s">
        <v>68</v>
      </c>
      <c r="D154" s="6"/>
      <c r="E154" s="6" t="s">
        <v>87</v>
      </c>
      <c r="F154" s="13">
        <v>2</v>
      </c>
      <c r="G154" s="12" t="s">
        <v>70</v>
      </c>
      <c r="H154" s="14">
        <v>1000</v>
      </c>
      <c r="I154" s="16" t="s">
        <v>71</v>
      </c>
      <c r="J154" s="16">
        <f>F154*H154</f>
        <v>2000</v>
      </c>
      <c r="K154" s="12" t="s">
        <v>71</v>
      </c>
      <c r="L154" s="30">
        <f>90000/H154</f>
        <v>90</v>
      </c>
      <c r="M154" s="30">
        <f t="shared" ref="M154:M156" si="105">J154*L154</f>
        <v>180000</v>
      </c>
      <c r="N154" s="26" t="s">
        <v>43</v>
      </c>
    </row>
    <row r="155" spans="1:14" x14ac:dyDescent="0.25">
      <c r="A155" s="53">
        <v>44417</v>
      </c>
      <c r="B155" s="6" t="s">
        <v>286</v>
      </c>
      <c r="C155" s="6" t="s">
        <v>68</v>
      </c>
      <c r="D155" s="6"/>
      <c r="E155" s="6" t="s">
        <v>85</v>
      </c>
      <c r="F155" s="13">
        <v>2</v>
      </c>
      <c r="G155" s="12" t="s">
        <v>70</v>
      </c>
      <c r="H155" s="14">
        <v>1000</v>
      </c>
      <c r="I155" s="16" t="s">
        <v>71</v>
      </c>
      <c r="J155" s="16">
        <f t="shared" ref="J155:J156" si="106">F155*H155</f>
        <v>2000</v>
      </c>
      <c r="K155" s="12" t="s">
        <v>71</v>
      </c>
      <c r="L155" s="30">
        <f>55000/H155</f>
        <v>55</v>
      </c>
      <c r="M155" s="30">
        <f t="shared" si="105"/>
        <v>110000</v>
      </c>
      <c r="N155" s="26" t="s">
        <v>43</v>
      </c>
    </row>
    <row r="156" spans="1:14" x14ac:dyDescent="0.25">
      <c r="A156" s="53">
        <v>44417</v>
      </c>
      <c r="B156" s="6" t="s">
        <v>286</v>
      </c>
      <c r="C156" s="6" t="s">
        <v>68</v>
      </c>
      <c r="D156" s="6"/>
      <c r="E156" s="6" t="s">
        <v>86</v>
      </c>
      <c r="F156" s="13">
        <v>2</v>
      </c>
      <c r="G156" s="12" t="s">
        <v>70</v>
      </c>
      <c r="H156" s="14">
        <v>1000</v>
      </c>
      <c r="I156" s="16" t="s">
        <v>71</v>
      </c>
      <c r="J156" s="16">
        <f t="shared" si="106"/>
        <v>2000</v>
      </c>
      <c r="K156" s="12" t="s">
        <v>71</v>
      </c>
      <c r="L156" s="30">
        <f>45000/H156</f>
        <v>45</v>
      </c>
      <c r="M156" s="30">
        <f t="shared" si="105"/>
        <v>90000</v>
      </c>
      <c r="N156" s="26" t="s">
        <v>43</v>
      </c>
    </row>
    <row r="157" spans="1:14" x14ac:dyDescent="0.25">
      <c r="A157" s="53">
        <v>44417</v>
      </c>
      <c r="B157" s="6" t="s">
        <v>286</v>
      </c>
      <c r="C157" s="6" t="s">
        <v>68</v>
      </c>
      <c r="D157" s="6"/>
      <c r="E157" s="6" t="s">
        <v>288</v>
      </c>
      <c r="F157" s="13">
        <v>2</v>
      </c>
      <c r="G157" s="12" t="s">
        <v>70</v>
      </c>
      <c r="H157" s="14">
        <v>1000</v>
      </c>
      <c r="I157" s="16" t="s">
        <v>71</v>
      </c>
      <c r="J157" s="16">
        <f t="shared" ref="J157" si="107">F157*H157</f>
        <v>2000</v>
      </c>
      <c r="K157" s="12" t="s">
        <v>71</v>
      </c>
      <c r="L157" s="30">
        <f>12000/H157</f>
        <v>12</v>
      </c>
      <c r="M157" s="30">
        <f t="shared" ref="M157" si="108">J157*L157</f>
        <v>24000</v>
      </c>
      <c r="N157" s="26" t="s">
        <v>43</v>
      </c>
    </row>
    <row r="158" spans="1:14" x14ac:dyDescent="0.25">
      <c r="A158" s="53">
        <v>44417</v>
      </c>
      <c r="B158" s="6" t="s">
        <v>286</v>
      </c>
      <c r="C158" s="6" t="s">
        <v>68</v>
      </c>
      <c r="D158" s="6"/>
      <c r="E158" s="6" t="s">
        <v>229</v>
      </c>
      <c r="F158" s="13">
        <v>1</v>
      </c>
      <c r="G158" s="12" t="s">
        <v>70</v>
      </c>
      <c r="H158" s="14">
        <v>1000</v>
      </c>
      <c r="I158" s="16" t="s">
        <v>71</v>
      </c>
      <c r="J158" s="16">
        <f t="shared" ref="J158" si="109">F158*H158</f>
        <v>1000</v>
      </c>
      <c r="K158" s="12" t="s">
        <v>71</v>
      </c>
      <c r="L158" s="30">
        <f>35000/H158</f>
        <v>35</v>
      </c>
      <c r="M158" s="30">
        <f t="shared" ref="M158" si="110">J158*L158</f>
        <v>35000</v>
      </c>
      <c r="N158" s="26" t="s">
        <v>43</v>
      </c>
    </row>
    <row r="159" spans="1:14" x14ac:dyDescent="0.25">
      <c r="A159" s="53">
        <v>44417</v>
      </c>
      <c r="B159" s="6" t="s">
        <v>286</v>
      </c>
      <c r="C159" s="6" t="s">
        <v>68</v>
      </c>
      <c r="D159" s="6"/>
      <c r="E159" s="6" t="s">
        <v>219</v>
      </c>
      <c r="F159" s="13">
        <v>0.5</v>
      </c>
      <c r="G159" s="12" t="s">
        <v>70</v>
      </c>
      <c r="H159" s="14">
        <v>1000</v>
      </c>
      <c r="I159" s="16" t="s">
        <v>71</v>
      </c>
      <c r="J159" s="16">
        <f t="shared" ref="J159:J160" si="111">F159*H159</f>
        <v>500</v>
      </c>
      <c r="K159" s="12" t="s">
        <v>71</v>
      </c>
      <c r="L159" s="30">
        <f>30000/H159</f>
        <v>30</v>
      </c>
      <c r="M159" s="30">
        <f t="shared" ref="M159:M160" si="112">J159*L159</f>
        <v>15000</v>
      </c>
      <c r="N159" s="26" t="s">
        <v>43</v>
      </c>
    </row>
    <row r="160" spans="1:14" x14ac:dyDescent="0.25">
      <c r="A160" s="53">
        <v>44417</v>
      </c>
      <c r="B160" s="6" t="s">
        <v>286</v>
      </c>
      <c r="C160" s="6" t="s">
        <v>68</v>
      </c>
      <c r="D160" s="6"/>
      <c r="E160" s="6" t="s">
        <v>91</v>
      </c>
      <c r="F160" s="13">
        <v>3</v>
      </c>
      <c r="G160" s="12" t="s">
        <v>83</v>
      </c>
      <c r="H160" s="14">
        <v>1</v>
      </c>
      <c r="I160" s="12" t="s">
        <v>83</v>
      </c>
      <c r="J160" s="16">
        <f t="shared" si="111"/>
        <v>3</v>
      </c>
      <c r="K160" s="12" t="s">
        <v>83</v>
      </c>
      <c r="L160" s="30">
        <f>95000/H160</f>
        <v>95000</v>
      </c>
      <c r="M160" s="30">
        <f t="shared" si="112"/>
        <v>285000</v>
      </c>
      <c r="N160" s="26" t="s">
        <v>43</v>
      </c>
    </row>
    <row r="1046337" spans="1:1" x14ac:dyDescent="0.25">
      <c r="A1046337" s="53">
        <v>44288</v>
      </c>
    </row>
  </sheetData>
  <mergeCells count="10">
    <mergeCell ref="F1:G1"/>
    <mergeCell ref="B1:B2"/>
    <mergeCell ref="C1:C2"/>
    <mergeCell ref="D1:D2"/>
    <mergeCell ref="E1:E2"/>
    <mergeCell ref="H1:I1"/>
    <mergeCell ref="J1:K1"/>
    <mergeCell ref="L1:L2"/>
    <mergeCell ref="M1:M2"/>
    <mergeCell ref="N1:N2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"/>
  <sheetViews>
    <sheetView zoomScale="80" zoomScaleNormal="80" workbookViewId="0">
      <pane ySplit="2" topLeftCell="A3" activePane="bottomLeft" state="frozen"/>
      <selection pane="bottomLeft" activeCell="G18" sqref="G18"/>
    </sheetView>
  </sheetViews>
  <sheetFormatPr defaultRowHeight="15" x14ac:dyDescent="0.25"/>
  <cols>
    <col min="1" max="1" width="10.140625" customWidth="1"/>
    <col min="2" max="2" width="10.85546875" customWidth="1"/>
    <col min="3" max="3" width="22.140625" customWidth="1"/>
    <col min="4" max="4" width="7.28515625" customWidth="1"/>
    <col min="5" max="5" width="41.140625" bestFit="1" customWidth="1"/>
    <col min="6" max="6" width="12" customWidth="1"/>
    <col min="7" max="7" width="7.42578125" customWidth="1"/>
    <col min="8" max="8" width="12" customWidth="1"/>
    <col min="9" max="9" width="10" customWidth="1"/>
    <col min="10" max="10" width="10.7109375" customWidth="1"/>
    <col min="11" max="11" width="9.140625" customWidth="1"/>
    <col min="12" max="12" width="20.140625" customWidth="1"/>
    <col min="13" max="13" width="21.42578125" customWidth="1"/>
    <col min="14" max="14" width="24.42578125" customWidth="1"/>
  </cols>
  <sheetData>
    <row r="1" spans="1:14" ht="15" customHeight="1" x14ac:dyDescent="0.25">
      <c r="A1" s="49" t="s">
        <v>46</v>
      </c>
      <c r="B1" s="49" t="s">
        <v>8</v>
      </c>
      <c r="C1" s="49" t="s">
        <v>20</v>
      </c>
      <c r="D1" s="49" t="s">
        <v>0</v>
      </c>
      <c r="E1" s="49" t="s">
        <v>47</v>
      </c>
      <c r="F1" s="45" t="s">
        <v>48</v>
      </c>
      <c r="G1" s="46"/>
      <c r="H1" s="45" t="s">
        <v>49</v>
      </c>
      <c r="I1" s="46"/>
      <c r="J1" s="45" t="s">
        <v>50</v>
      </c>
      <c r="K1" s="46"/>
      <c r="L1" s="47" t="s">
        <v>51</v>
      </c>
      <c r="M1" s="48" t="s">
        <v>5</v>
      </c>
      <c r="N1" s="48" t="s">
        <v>52</v>
      </c>
    </row>
    <row r="2" spans="1:14" x14ac:dyDescent="0.25">
      <c r="A2" s="49"/>
      <c r="B2" s="49"/>
      <c r="C2" s="49"/>
      <c r="D2" s="49"/>
      <c r="E2" s="49"/>
      <c r="F2" s="32" t="s">
        <v>1</v>
      </c>
      <c r="G2" s="33" t="s">
        <v>53</v>
      </c>
      <c r="H2" s="32" t="s">
        <v>1</v>
      </c>
      <c r="I2" s="33" t="s">
        <v>53</v>
      </c>
      <c r="J2" s="34" t="s">
        <v>1</v>
      </c>
      <c r="K2" s="33" t="s">
        <v>53</v>
      </c>
      <c r="L2" s="47"/>
      <c r="M2" s="48"/>
      <c r="N2" s="48"/>
    </row>
    <row r="3" spans="1:14" x14ac:dyDescent="0.25">
      <c r="A3" s="11">
        <v>44411</v>
      </c>
      <c r="B3" s="6" t="s">
        <v>129</v>
      </c>
      <c r="C3" s="6" t="s">
        <v>113</v>
      </c>
      <c r="D3" s="6"/>
      <c r="E3" s="6" t="s">
        <v>148</v>
      </c>
      <c r="F3" s="13">
        <v>20</v>
      </c>
      <c r="G3" s="12" t="s">
        <v>59</v>
      </c>
      <c r="H3" s="14">
        <v>1</v>
      </c>
      <c r="I3" s="16" t="s">
        <v>59</v>
      </c>
      <c r="J3" s="16">
        <f t="shared" ref="J3" si="0">F3*H3</f>
        <v>20</v>
      </c>
      <c r="K3" s="12" t="s">
        <v>59</v>
      </c>
      <c r="L3" s="30">
        <f>8000/H3</f>
        <v>8000</v>
      </c>
      <c r="M3" s="30">
        <f t="shared" ref="M3" si="1">J3*L3</f>
        <v>160000</v>
      </c>
      <c r="N3" s="26" t="s">
        <v>43</v>
      </c>
    </row>
    <row r="4" spans="1:14" x14ac:dyDescent="0.25">
      <c r="A4" s="11">
        <v>44411</v>
      </c>
      <c r="B4" s="6" t="s">
        <v>129</v>
      </c>
      <c r="C4" s="6" t="s">
        <v>113</v>
      </c>
      <c r="D4" s="6"/>
      <c r="E4" s="6" t="s">
        <v>149</v>
      </c>
      <c r="F4" s="13">
        <v>25</v>
      </c>
      <c r="G4" s="12" t="s">
        <v>59</v>
      </c>
      <c r="H4" s="14">
        <v>1</v>
      </c>
      <c r="I4" s="16" t="s">
        <v>59</v>
      </c>
      <c r="J4" s="16">
        <f t="shared" ref="J4" si="2">F4*H4</f>
        <v>25</v>
      </c>
      <c r="K4" s="12" t="s">
        <v>59</v>
      </c>
      <c r="L4" s="30">
        <f>55000/H4</f>
        <v>55000</v>
      </c>
      <c r="M4" s="30">
        <f t="shared" ref="M4" si="3">J4*L4</f>
        <v>1375000</v>
      </c>
      <c r="N4" s="26" t="s">
        <v>43</v>
      </c>
    </row>
    <row r="5" spans="1:14" x14ac:dyDescent="0.25">
      <c r="A5" s="11">
        <v>44411</v>
      </c>
      <c r="B5" s="6" t="s">
        <v>129</v>
      </c>
      <c r="C5" s="6" t="s">
        <v>113</v>
      </c>
      <c r="D5" s="6"/>
      <c r="E5" s="6" t="s">
        <v>149</v>
      </c>
      <c r="F5" s="13">
        <v>25</v>
      </c>
      <c r="G5" s="12" t="s">
        <v>59</v>
      </c>
      <c r="H5" s="14">
        <v>1</v>
      </c>
      <c r="I5" s="16" t="s">
        <v>59</v>
      </c>
      <c r="J5" s="16">
        <f t="shared" ref="J5" si="4">F5*H5</f>
        <v>25</v>
      </c>
      <c r="K5" s="12" t="s">
        <v>59</v>
      </c>
      <c r="L5" s="30">
        <f>55000/H5</f>
        <v>55000</v>
      </c>
      <c r="M5" s="30">
        <f t="shared" ref="M5" si="5">J5*L5</f>
        <v>1375000</v>
      </c>
      <c r="N5" s="26" t="s">
        <v>43</v>
      </c>
    </row>
    <row r="6" spans="1:14" x14ac:dyDescent="0.25">
      <c r="A6" s="11">
        <v>44411</v>
      </c>
      <c r="B6" s="6" t="s">
        <v>129</v>
      </c>
      <c r="C6" s="6" t="s">
        <v>113</v>
      </c>
      <c r="D6" s="6"/>
      <c r="E6" s="6" t="s">
        <v>116</v>
      </c>
      <c r="F6" s="13"/>
      <c r="G6" s="12"/>
      <c r="H6" s="14"/>
      <c r="I6" s="16"/>
      <c r="J6" s="16"/>
      <c r="K6" s="12"/>
      <c r="L6" s="30"/>
      <c r="M6" s="30">
        <v>219800</v>
      </c>
      <c r="N6" s="26" t="s">
        <v>43</v>
      </c>
    </row>
    <row r="7" spans="1:14" x14ac:dyDescent="0.25">
      <c r="A7" s="11">
        <v>44411</v>
      </c>
      <c r="B7" s="6" t="s">
        <v>150</v>
      </c>
      <c r="C7" s="6" t="s">
        <v>151</v>
      </c>
      <c r="D7" s="6"/>
      <c r="E7" s="6" t="s">
        <v>156</v>
      </c>
      <c r="F7" s="13">
        <v>1</v>
      </c>
      <c r="G7" s="12" t="s">
        <v>59</v>
      </c>
      <c r="H7" s="14">
        <v>1</v>
      </c>
      <c r="I7" s="12" t="s">
        <v>59</v>
      </c>
      <c r="J7" s="16">
        <f>F7*H7</f>
        <v>1</v>
      </c>
      <c r="K7" s="12" t="s">
        <v>59</v>
      </c>
      <c r="L7" s="30">
        <f>28900/H7</f>
        <v>28900</v>
      </c>
      <c r="M7" s="30">
        <f>J7*L7</f>
        <v>28900</v>
      </c>
      <c r="N7" s="26" t="s">
        <v>43</v>
      </c>
    </row>
    <row r="8" spans="1:14" x14ac:dyDescent="0.25">
      <c r="A8" s="11">
        <v>44411</v>
      </c>
      <c r="B8" s="6" t="s">
        <v>158</v>
      </c>
      <c r="C8" s="6" t="s">
        <v>151</v>
      </c>
      <c r="D8" s="6"/>
      <c r="E8" s="6" t="s">
        <v>159</v>
      </c>
      <c r="F8" s="13">
        <v>1.54</v>
      </c>
      <c r="G8" s="12" t="s">
        <v>70</v>
      </c>
      <c r="H8" s="14">
        <v>1000</v>
      </c>
      <c r="I8" s="16" t="s">
        <v>71</v>
      </c>
      <c r="J8" s="16">
        <f t="shared" ref="J8" si="6">F8*H8</f>
        <v>1540</v>
      </c>
      <c r="K8" s="12" t="s">
        <v>71</v>
      </c>
      <c r="L8" s="30">
        <f>115500/H8</f>
        <v>115.5</v>
      </c>
      <c r="M8" s="30">
        <f t="shared" ref="M8" si="7">J8*L8</f>
        <v>177870</v>
      </c>
      <c r="N8" s="26" t="s">
        <v>43</v>
      </c>
    </row>
    <row r="9" spans="1:14" x14ac:dyDescent="0.25">
      <c r="A9" s="11">
        <v>44411</v>
      </c>
      <c r="B9" s="6" t="s">
        <v>158</v>
      </c>
      <c r="C9" s="6" t="s">
        <v>151</v>
      </c>
      <c r="D9" s="6"/>
      <c r="E9" s="6" t="s">
        <v>160</v>
      </c>
      <c r="F9" s="13">
        <v>2</v>
      </c>
      <c r="G9" s="12" t="s">
        <v>59</v>
      </c>
      <c r="H9" s="14">
        <v>1</v>
      </c>
      <c r="I9" s="12" t="s">
        <v>59</v>
      </c>
      <c r="J9" s="16">
        <f>F9*H9</f>
        <v>2</v>
      </c>
      <c r="K9" s="12" t="s">
        <v>59</v>
      </c>
      <c r="L9" s="30">
        <f>8900/H9</f>
        <v>8900</v>
      </c>
      <c r="M9" s="30">
        <f>J9*L9</f>
        <v>17800</v>
      </c>
      <c r="N9" s="26" t="s">
        <v>43</v>
      </c>
    </row>
    <row r="10" spans="1:14" x14ac:dyDescent="0.25">
      <c r="A10" s="11">
        <v>44411</v>
      </c>
      <c r="B10" s="6" t="s">
        <v>158</v>
      </c>
      <c r="C10" s="6" t="s">
        <v>151</v>
      </c>
      <c r="D10" s="6"/>
      <c r="E10" s="6" t="s">
        <v>165</v>
      </c>
      <c r="F10" s="13">
        <v>2</v>
      </c>
      <c r="G10" s="12" t="s">
        <v>59</v>
      </c>
      <c r="H10" s="14">
        <v>1</v>
      </c>
      <c r="I10" s="12" t="s">
        <v>59</v>
      </c>
      <c r="J10" s="16">
        <f>F10*H10</f>
        <v>2</v>
      </c>
      <c r="K10" s="12" t="s">
        <v>59</v>
      </c>
      <c r="L10" s="30">
        <f>28900/H10</f>
        <v>28900</v>
      </c>
      <c r="M10" s="30">
        <f>J10*L10</f>
        <v>57800</v>
      </c>
      <c r="N10" s="26" t="s">
        <v>43</v>
      </c>
    </row>
    <row r="11" spans="1:14" x14ac:dyDescent="0.25">
      <c r="A11" s="11">
        <v>44411</v>
      </c>
      <c r="B11" s="6" t="s">
        <v>158</v>
      </c>
      <c r="C11" s="6" t="s">
        <v>151</v>
      </c>
      <c r="D11" s="6"/>
      <c r="E11" s="6" t="s">
        <v>161</v>
      </c>
      <c r="F11" s="13">
        <v>1.306</v>
      </c>
      <c r="G11" s="12" t="s">
        <v>70</v>
      </c>
      <c r="H11" s="14">
        <v>1000</v>
      </c>
      <c r="I11" s="16" t="s">
        <v>71</v>
      </c>
      <c r="J11" s="16">
        <f t="shared" ref="J11" si="8">F11*H11</f>
        <v>1306</v>
      </c>
      <c r="K11" s="12" t="s">
        <v>71</v>
      </c>
      <c r="L11" s="30">
        <f>18500/H11</f>
        <v>18.5</v>
      </c>
      <c r="M11" s="30">
        <f t="shared" ref="M11" si="9">J11*L11</f>
        <v>24161</v>
      </c>
      <c r="N11" s="26" t="s">
        <v>43</v>
      </c>
    </row>
    <row r="12" spans="1:14" x14ac:dyDescent="0.25">
      <c r="A12" s="11">
        <v>44411</v>
      </c>
      <c r="B12" s="6" t="s">
        <v>158</v>
      </c>
      <c r="C12" s="6" t="s">
        <v>151</v>
      </c>
      <c r="D12" s="6"/>
      <c r="E12" s="6" t="s">
        <v>162</v>
      </c>
      <c r="F12" s="13">
        <v>4</v>
      </c>
      <c r="G12" s="12" t="s">
        <v>59</v>
      </c>
      <c r="H12" s="14">
        <v>1</v>
      </c>
      <c r="I12" s="12" t="s">
        <v>59</v>
      </c>
      <c r="J12" s="16">
        <f>F12*H12</f>
        <v>4</v>
      </c>
      <c r="K12" s="12" t="s">
        <v>59</v>
      </c>
      <c r="L12" s="30">
        <f>8892.25/H12</f>
        <v>8892.25</v>
      </c>
      <c r="M12" s="30">
        <f>J12*L12</f>
        <v>35569</v>
      </c>
      <c r="N12" s="26" t="s">
        <v>43</v>
      </c>
    </row>
    <row r="13" spans="1:14" x14ac:dyDescent="0.25">
      <c r="A13" s="11">
        <v>44411</v>
      </c>
      <c r="B13" s="6" t="s">
        <v>158</v>
      </c>
      <c r="C13" s="6" t="s">
        <v>151</v>
      </c>
      <c r="D13" s="6"/>
      <c r="E13" s="6" t="s">
        <v>163</v>
      </c>
      <c r="F13" s="13">
        <v>2</v>
      </c>
      <c r="G13" s="12" t="s">
        <v>59</v>
      </c>
      <c r="H13" s="14">
        <v>1</v>
      </c>
      <c r="I13" s="12" t="s">
        <v>59</v>
      </c>
      <c r="J13" s="16">
        <f>F13*H13</f>
        <v>2</v>
      </c>
      <c r="K13" s="12" t="s">
        <v>59</v>
      </c>
      <c r="L13" s="30">
        <f>8900/H13</f>
        <v>8900</v>
      </c>
      <c r="M13" s="30">
        <f>J13*L13</f>
        <v>17800</v>
      </c>
      <c r="N13" s="26" t="s">
        <v>43</v>
      </c>
    </row>
    <row r="14" spans="1:14" x14ac:dyDescent="0.25">
      <c r="A14" s="11">
        <v>44411</v>
      </c>
      <c r="B14" s="6" t="s">
        <v>164</v>
      </c>
      <c r="C14" s="6" t="s">
        <v>151</v>
      </c>
      <c r="D14" s="6"/>
      <c r="E14" s="6" t="s">
        <v>156</v>
      </c>
      <c r="F14" s="13">
        <v>1</v>
      </c>
      <c r="G14" s="12" t="s">
        <v>59</v>
      </c>
      <c r="H14" s="14">
        <v>1</v>
      </c>
      <c r="I14" s="12" t="s">
        <v>59</v>
      </c>
      <c r="J14" s="16">
        <f>F14*H14</f>
        <v>1</v>
      </c>
      <c r="K14" s="12" t="s">
        <v>59</v>
      </c>
      <c r="L14" s="30">
        <f>28900/H14</f>
        <v>28900</v>
      </c>
      <c r="M14" s="30">
        <f>J14*L14</f>
        <v>28900</v>
      </c>
      <c r="N14" s="26" t="s">
        <v>43</v>
      </c>
    </row>
    <row r="15" spans="1:14" x14ac:dyDescent="0.25">
      <c r="A15" s="11">
        <v>44411</v>
      </c>
      <c r="B15" s="6" t="s">
        <v>164</v>
      </c>
      <c r="C15" s="6" t="s">
        <v>151</v>
      </c>
      <c r="D15" s="6"/>
      <c r="E15" s="6" t="s">
        <v>166</v>
      </c>
      <c r="F15" s="13">
        <v>2</v>
      </c>
      <c r="G15" s="12" t="s">
        <v>59</v>
      </c>
      <c r="H15" s="14">
        <v>1</v>
      </c>
      <c r="I15" s="12" t="s">
        <v>59</v>
      </c>
      <c r="J15" s="16">
        <f>F15*H15</f>
        <v>2</v>
      </c>
      <c r="K15" s="12" t="s">
        <v>59</v>
      </c>
      <c r="L15" s="30">
        <f>10900/H15</f>
        <v>10900</v>
      </c>
      <c r="M15" s="30">
        <f>J15*L15</f>
        <v>21800</v>
      </c>
      <c r="N15" s="26" t="s">
        <v>43</v>
      </c>
    </row>
    <row r="16" spans="1:14" x14ac:dyDescent="0.25">
      <c r="A16" s="11">
        <v>44411</v>
      </c>
      <c r="B16" s="6" t="s">
        <v>164</v>
      </c>
      <c r="C16" s="6" t="s">
        <v>151</v>
      </c>
      <c r="D16" s="6"/>
      <c r="E16" s="6" t="s">
        <v>167</v>
      </c>
      <c r="F16" s="13">
        <v>4</v>
      </c>
      <c r="G16" s="12" t="s">
        <v>59</v>
      </c>
      <c r="H16" s="14">
        <v>1</v>
      </c>
      <c r="I16" s="12" t="s">
        <v>59</v>
      </c>
      <c r="J16" s="16">
        <f>F16*H16</f>
        <v>4</v>
      </c>
      <c r="K16" s="12" t="s">
        <v>59</v>
      </c>
      <c r="L16" s="30">
        <f>20900/H16</f>
        <v>20900</v>
      </c>
      <c r="M16" s="30">
        <f>J16*L16</f>
        <v>83600</v>
      </c>
      <c r="N16" s="26" t="s">
        <v>43</v>
      </c>
    </row>
    <row r="17" spans="1:14" x14ac:dyDescent="0.25">
      <c r="M17" s="43">
        <f>SUM(M3:M16)</f>
        <v>3624000</v>
      </c>
    </row>
    <row r="18" spans="1:14" x14ac:dyDescent="0.25">
      <c r="A18" s="11">
        <v>44413</v>
      </c>
      <c r="B18" s="6" t="s">
        <v>238</v>
      </c>
      <c r="C18" s="6" t="s">
        <v>239</v>
      </c>
      <c r="D18" s="6"/>
      <c r="E18" s="6" t="s">
        <v>240</v>
      </c>
      <c r="F18" s="13">
        <v>1</v>
      </c>
      <c r="G18" s="12" t="s">
        <v>59</v>
      </c>
      <c r="H18" s="14">
        <v>1</v>
      </c>
      <c r="I18" s="12" t="s">
        <v>59</v>
      </c>
      <c r="J18" s="16">
        <f>F18*H18</f>
        <v>1</v>
      </c>
      <c r="K18" s="12" t="s">
        <v>59</v>
      </c>
      <c r="L18" s="30">
        <f>9600/H18</f>
        <v>9600</v>
      </c>
      <c r="M18" s="30">
        <f>J18*L18</f>
        <v>9600</v>
      </c>
      <c r="N18" s="26" t="s">
        <v>43</v>
      </c>
    </row>
    <row r="19" spans="1:14" x14ac:dyDescent="0.25">
      <c r="A19" s="11">
        <v>44413</v>
      </c>
      <c r="B19" s="6" t="s">
        <v>238</v>
      </c>
      <c r="C19" s="6" t="s">
        <v>239</v>
      </c>
      <c r="D19" s="6"/>
      <c r="E19" s="6" t="s">
        <v>241</v>
      </c>
      <c r="F19" s="13">
        <v>1</v>
      </c>
      <c r="G19" s="12" t="s">
        <v>59</v>
      </c>
      <c r="H19" s="14">
        <v>1</v>
      </c>
      <c r="I19" s="12" t="s">
        <v>59</v>
      </c>
      <c r="J19" s="16">
        <f t="shared" ref="J19:J20" si="10">F19*H19</f>
        <v>1</v>
      </c>
      <c r="K19" s="12" t="s">
        <v>59</v>
      </c>
      <c r="L19" s="30">
        <f>9900/H19</f>
        <v>9900</v>
      </c>
      <c r="M19" s="30">
        <f t="shared" ref="M19:M20" si="11">J19*L19</f>
        <v>9900</v>
      </c>
      <c r="N19" s="26" t="s">
        <v>43</v>
      </c>
    </row>
    <row r="20" spans="1:14" x14ac:dyDescent="0.25">
      <c r="A20" s="11">
        <v>44413</v>
      </c>
      <c r="B20" s="6" t="s">
        <v>238</v>
      </c>
      <c r="C20" s="6" t="s">
        <v>239</v>
      </c>
      <c r="D20" s="6"/>
      <c r="E20" s="6" t="s">
        <v>242</v>
      </c>
      <c r="F20" s="13">
        <v>1</v>
      </c>
      <c r="G20" s="12" t="s">
        <v>59</v>
      </c>
      <c r="H20" s="14">
        <v>1</v>
      </c>
      <c r="I20" s="12" t="s">
        <v>59</v>
      </c>
      <c r="J20" s="16">
        <f t="shared" si="10"/>
        <v>1</v>
      </c>
      <c r="K20" s="12" t="s">
        <v>59</v>
      </c>
      <c r="L20" s="30">
        <f>9900/H20</f>
        <v>9900</v>
      </c>
      <c r="M20" s="30">
        <f t="shared" si="11"/>
        <v>9900</v>
      </c>
      <c r="N20" s="26" t="s">
        <v>43</v>
      </c>
    </row>
    <row r="21" spans="1:14" x14ac:dyDescent="0.25">
      <c r="M21" s="43">
        <f>SUM(M18:M20)</f>
        <v>29400</v>
      </c>
    </row>
    <row r="22" spans="1:14" x14ac:dyDescent="0.25">
      <c r="A22" s="11">
        <v>44414</v>
      </c>
      <c r="B22" s="6" t="s">
        <v>231</v>
      </c>
      <c r="C22" s="6" t="s">
        <v>68</v>
      </c>
      <c r="D22" s="6"/>
      <c r="E22" s="6" t="s">
        <v>222</v>
      </c>
      <c r="F22" s="13">
        <v>2</v>
      </c>
      <c r="G22" s="12" t="s">
        <v>62</v>
      </c>
      <c r="H22" s="14">
        <v>1</v>
      </c>
      <c r="I22" s="12" t="s">
        <v>62</v>
      </c>
      <c r="J22" s="16">
        <f>F22*H22</f>
        <v>2</v>
      </c>
      <c r="K22" s="12" t="s">
        <v>62</v>
      </c>
      <c r="L22" s="30">
        <f>40000/H22</f>
        <v>40000</v>
      </c>
      <c r="M22" s="30">
        <f>J22*L22</f>
        <v>80000</v>
      </c>
      <c r="N22" s="26" t="s">
        <v>43</v>
      </c>
    </row>
    <row r="23" spans="1:14" x14ac:dyDescent="0.25">
      <c r="A23" s="11">
        <v>44414</v>
      </c>
      <c r="B23" s="6" t="s">
        <v>231</v>
      </c>
      <c r="C23" s="6" t="s">
        <v>68</v>
      </c>
      <c r="D23" s="6"/>
      <c r="E23" s="6" t="s">
        <v>223</v>
      </c>
      <c r="F23" s="13">
        <v>3</v>
      </c>
      <c r="G23" s="12" t="s">
        <v>62</v>
      </c>
      <c r="H23" s="14">
        <v>1</v>
      </c>
      <c r="I23" s="12" t="s">
        <v>62</v>
      </c>
      <c r="J23" s="16">
        <f>F23*H23</f>
        <v>3</v>
      </c>
      <c r="K23" s="12" t="s">
        <v>62</v>
      </c>
      <c r="L23" s="30">
        <f>48000/H23</f>
        <v>48000</v>
      </c>
      <c r="M23" s="30">
        <f>J23*L23</f>
        <v>144000</v>
      </c>
      <c r="N23" s="26" t="s">
        <v>43</v>
      </c>
    </row>
    <row r="24" spans="1:14" x14ac:dyDescent="0.25">
      <c r="A24" s="11">
        <v>44414</v>
      </c>
      <c r="B24" s="6" t="s">
        <v>231</v>
      </c>
      <c r="C24" s="6" t="s">
        <v>68</v>
      </c>
      <c r="D24" s="6"/>
      <c r="E24" s="6" t="s">
        <v>224</v>
      </c>
      <c r="F24" s="13">
        <v>1</v>
      </c>
      <c r="G24" s="12" t="s">
        <v>189</v>
      </c>
      <c r="H24" s="14">
        <v>1</v>
      </c>
      <c r="I24" s="12" t="s">
        <v>189</v>
      </c>
      <c r="J24" s="16">
        <f>F24*H24</f>
        <v>1</v>
      </c>
      <c r="K24" s="12" t="s">
        <v>189</v>
      </c>
      <c r="L24" s="30">
        <f>105000/H24</f>
        <v>105000</v>
      </c>
      <c r="M24" s="30">
        <f>J24*L24</f>
        <v>105000</v>
      </c>
      <c r="N24" s="26" t="s">
        <v>43</v>
      </c>
    </row>
    <row r="25" spans="1:14" x14ac:dyDescent="0.25">
      <c r="A25" s="11">
        <v>44414</v>
      </c>
      <c r="B25" s="6" t="s">
        <v>231</v>
      </c>
      <c r="C25" s="6" t="s">
        <v>68</v>
      </c>
      <c r="D25" s="6"/>
      <c r="E25" s="6" t="s">
        <v>230</v>
      </c>
      <c r="F25" s="13">
        <v>1</v>
      </c>
      <c r="G25" s="12" t="s">
        <v>59</v>
      </c>
      <c r="H25" s="14">
        <v>1</v>
      </c>
      <c r="I25" s="12" t="s">
        <v>59</v>
      </c>
      <c r="J25" s="16">
        <f>F25*H25</f>
        <v>1</v>
      </c>
      <c r="K25" s="12" t="s">
        <v>59</v>
      </c>
      <c r="L25" s="30">
        <f>28000/H25</f>
        <v>28000</v>
      </c>
      <c r="M25" s="30">
        <f>J25*L25</f>
        <v>28000</v>
      </c>
      <c r="N25" s="26" t="s">
        <v>43</v>
      </c>
    </row>
  </sheetData>
  <mergeCells count="11">
    <mergeCell ref="H1:I1"/>
    <mergeCell ref="J1:K1"/>
    <mergeCell ref="L1:L2"/>
    <mergeCell ref="M1:M2"/>
    <mergeCell ref="N1:N2"/>
    <mergeCell ref="F1:G1"/>
    <mergeCell ref="A1:A2"/>
    <mergeCell ref="B1:B2"/>
    <mergeCell ref="C1:C2"/>
    <mergeCell ref="D1:D2"/>
    <mergeCell ref="E1:E2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2:M42"/>
  <sheetViews>
    <sheetView zoomScale="60" zoomScaleNormal="60" workbookViewId="0">
      <pane ySplit="3" topLeftCell="A4" activePane="bottomLeft" state="frozen"/>
      <selection pane="bottomLeft" activeCell="A9" sqref="A9"/>
    </sheetView>
  </sheetViews>
  <sheetFormatPr defaultColWidth="11.42578125" defaultRowHeight="15" x14ac:dyDescent="0.25"/>
  <cols>
    <col min="1" max="1" width="32.140625" style="23" customWidth="1"/>
    <col min="2" max="2" width="33.140625" customWidth="1"/>
    <col min="3" max="3" width="10" customWidth="1"/>
    <col min="4" max="4" width="25.5703125" customWidth="1"/>
    <col min="5" max="5" width="29" customWidth="1"/>
    <col min="6" max="6" width="9.140625" customWidth="1"/>
    <col min="7" max="7" width="0.28515625" customWidth="1"/>
    <col min="8" max="8" width="33.42578125" customWidth="1"/>
    <col min="9" max="10" width="26.140625" customWidth="1"/>
    <col min="11" max="11" width="26.5703125" customWidth="1"/>
    <col min="12" max="12" width="28.28515625" customWidth="1"/>
    <col min="13" max="13" width="34.85546875" customWidth="1"/>
    <col min="14" max="14" width="26.140625" customWidth="1"/>
    <col min="15" max="15" width="42.140625" customWidth="1"/>
  </cols>
  <sheetData>
    <row r="2" spans="1:12" ht="18.75" x14ac:dyDescent="0.3">
      <c r="A2" s="50" t="s">
        <v>57</v>
      </c>
      <c r="B2" s="50"/>
      <c r="D2" s="50" t="s">
        <v>56</v>
      </c>
      <c r="E2" s="50"/>
      <c r="H2" s="50" t="s">
        <v>60</v>
      </c>
      <c r="I2" s="50"/>
    </row>
    <row r="3" spans="1:12" ht="18.75" x14ac:dyDescent="0.3">
      <c r="A3" s="50" t="s">
        <v>117</v>
      </c>
      <c r="B3" s="50"/>
      <c r="D3" s="50" t="s">
        <v>117</v>
      </c>
      <c r="E3" s="50"/>
      <c r="H3" s="50" t="s">
        <v>117</v>
      </c>
      <c r="I3" s="50"/>
    </row>
    <row r="4" spans="1:12" ht="18.75" x14ac:dyDescent="0.3">
      <c r="A4" s="20"/>
      <c r="B4" s="19"/>
    </row>
    <row r="6" spans="1:12" x14ac:dyDescent="0.25">
      <c r="A6" s="21" t="s">
        <v>41</v>
      </c>
      <c r="B6" s="18" t="s">
        <v>42</v>
      </c>
      <c r="D6" s="35" t="s">
        <v>41</v>
      </c>
      <c r="E6" s="18" t="s">
        <v>42</v>
      </c>
      <c r="H6" s="39" t="s">
        <v>41</v>
      </c>
      <c r="I6" s="18" t="s">
        <v>42</v>
      </c>
    </row>
    <row r="7" spans="1:12" x14ac:dyDescent="0.25">
      <c r="A7" s="51"/>
      <c r="B7" s="52"/>
      <c r="D7" s="51"/>
      <c r="E7" s="52"/>
      <c r="H7" s="40"/>
      <c r="I7" s="41"/>
    </row>
    <row r="8" spans="1:12" x14ac:dyDescent="0.25">
      <c r="A8" s="22">
        <v>44409</v>
      </c>
      <c r="B8" s="24">
        <f>FOOD!M11</f>
        <v>11135700</v>
      </c>
      <c r="D8" s="22">
        <v>44409</v>
      </c>
      <c r="E8" s="24">
        <f>SUPPLIES!M5</f>
        <v>149000</v>
      </c>
      <c r="H8" s="22">
        <v>44409</v>
      </c>
      <c r="I8" s="24"/>
      <c r="K8" s="29" t="s">
        <v>45</v>
      </c>
    </row>
    <row r="9" spans="1:12" x14ac:dyDescent="0.25">
      <c r="A9" s="22">
        <v>44410</v>
      </c>
      <c r="B9" s="24">
        <f>FOOD!M34</f>
        <v>61924500</v>
      </c>
      <c r="D9" s="22">
        <v>44410</v>
      </c>
      <c r="E9" s="24"/>
      <c r="H9" s="22">
        <v>44410</v>
      </c>
      <c r="I9" s="24"/>
      <c r="K9" s="23"/>
      <c r="L9" s="28" t="e">
        <f>#REF!-S23-#REF!</f>
        <v>#REF!</v>
      </c>
    </row>
    <row r="10" spans="1:12" x14ac:dyDescent="0.25">
      <c r="A10" s="22">
        <v>44411</v>
      </c>
      <c r="B10" s="24">
        <f>FOOD!M48</f>
        <v>35307950.002000004</v>
      </c>
      <c r="D10" s="22">
        <v>44411</v>
      </c>
      <c r="E10" s="24">
        <f>SUPPLIES!M18</f>
        <v>1132400</v>
      </c>
      <c r="H10" s="22">
        <v>44411</v>
      </c>
      <c r="I10" s="24">
        <f>RNd!M17</f>
        <v>3624000</v>
      </c>
    </row>
    <row r="11" spans="1:12" x14ac:dyDescent="0.25">
      <c r="A11" s="22">
        <v>44412</v>
      </c>
      <c r="B11" s="24">
        <f>FOOD!M76</f>
        <v>69798717.999999985</v>
      </c>
      <c r="D11" s="22">
        <v>44412</v>
      </c>
      <c r="E11" s="24"/>
      <c r="H11" s="22">
        <v>44412</v>
      </c>
      <c r="I11" s="24"/>
      <c r="K11" s="36" t="s">
        <v>44</v>
      </c>
      <c r="L11" s="18" t="s">
        <v>42</v>
      </c>
    </row>
    <row r="12" spans="1:12" x14ac:dyDescent="0.25">
      <c r="A12" s="22">
        <v>44413</v>
      </c>
      <c r="B12" s="24">
        <f>FOOD!M92</f>
        <v>47415200</v>
      </c>
      <c r="D12" s="22">
        <v>44413</v>
      </c>
      <c r="E12" s="24"/>
      <c r="H12" s="22">
        <v>44413</v>
      </c>
      <c r="I12" s="24">
        <f>RNd!M21</f>
        <v>29400</v>
      </c>
      <c r="K12" s="37"/>
      <c r="L12" s="38"/>
    </row>
    <row r="13" spans="1:12" x14ac:dyDescent="0.25">
      <c r="A13" s="22">
        <v>44414</v>
      </c>
      <c r="B13" s="24"/>
      <c r="D13" s="22">
        <v>44414</v>
      </c>
      <c r="E13" s="24"/>
      <c r="H13" s="22">
        <v>44414</v>
      </c>
      <c r="I13" s="24"/>
      <c r="K13" s="22" t="s">
        <v>54</v>
      </c>
      <c r="L13" s="24" t="e">
        <f>B40</f>
        <v>#REF!</v>
      </c>
    </row>
    <row r="14" spans="1:12" x14ac:dyDescent="0.25">
      <c r="A14" s="22">
        <v>44415</v>
      </c>
      <c r="B14" s="24" t="e">
        <f>FOOD!#REF!</f>
        <v>#REF!</v>
      </c>
      <c r="D14" s="22">
        <v>44415</v>
      </c>
      <c r="E14" s="24"/>
      <c r="H14" s="22">
        <v>44415</v>
      </c>
      <c r="I14" s="24"/>
      <c r="K14" s="22" t="s">
        <v>61</v>
      </c>
      <c r="L14" s="24" t="e">
        <f>I38</f>
        <v>#REF!</v>
      </c>
    </row>
    <row r="15" spans="1:12" x14ac:dyDescent="0.25">
      <c r="A15" s="22">
        <v>44416</v>
      </c>
      <c r="B15" s="24" t="e">
        <f>FOOD!#REF!</f>
        <v>#REF!</v>
      </c>
      <c r="D15" s="22">
        <v>44416</v>
      </c>
      <c r="E15" s="24"/>
      <c r="H15" s="22">
        <v>44416</v>
      </c>
      <c r="I15" s="24"/>
      <c r="K15" s="22" t="s">
        <v>55</v>
      </c>
      <c r="L15" s="24">
        <f t="shared" ref="L15:L16" si="0">I39</f>
        <v>0</v>
      </c>
    </row>
    <row r="16" spans="1:12" x14ac:dyDescent="0.25">
      <c r="A16" s="22">
        <v>44417</v>
      </c>
      <c r="B16" s="24" t="e">
        <f>FOOD!#REF!</f>
        <v>#REF!</v>
      </c>
      <c r="D16" s="22">
        <v>44417</v>
      </c>
      <c r="E16" s="24" t="e">
        <f>SUPPLIES!#REF!</f>
        <v>#REF!</v>
      </c>
      <c r="H16" s="22">
        <v>44417</v>
      </c>
      <c r="I16" s="24"/>
      <c r="K16" s="22" t="s">
        <v>58</v>
      </c>
      <c r="L16" s="24">
        <f t="shared" si="0"/>
        <v>0</v>
      </c>
    </row>
    <row r="17" spans="1:13" ht="15.75" thickBot="1" x14ac:dyDescent="0.3">
      <c r="A17" s="22">
        <v>44418</v>
      </c>
      <c r="B17" s="24" t="e">
        <f>FOOD!#REF!</f>
        <v>#REF!</v>
      </c>
      <c r="D17" s="22">
        <v>44418</v>
      </c>
      <c r="E17" s="24"/>
      <c r="H17" s="22">
        <v>44418</v>
      </c>
      <c r="I17" s="24"/>
    </row>
    <row r="18" spans="1:13" ht="15.75" thickBot="1" x14ac:dyDescent="0.3">
      <c r="A18" s="22">
        <v>44419</v>
      </c>
      <c r="B18" s="24" t="e">
        <f>FOOD!#REF!</f>
        <v>#REF!</v>
      </c>
      <c r="D18" s="22">
        <v>44419</v>
      </c>
      <c r="E18" s="24" t="e">
        <f>SUPPLIES!#REF!</f>
        <v>#REF!</v>
      </c>
      <c r="H18" s="22">
        <v>44419</v>
      </c>
      <c r="I18" s="24"/>
      <c r="L18" s="25" t="e">
        <f>SUM(L13:L16)</f>
        <v>#REF!</v>
      </c>
      <c r="M18" s="28"/>
    </row>
    <row r="19" spans="1:13" x14ac:dyDescent="0.25">
      <c r="A19" s="22">
        <v>44420</v>
      </c>
      <c r="B19" s="24" t="e">
        <f>FOOD!#REF!</f>
        <v>#REF!</v>
      </c>
      <c r="D19" s="22">
        <v>44420</v>
      </c>
      <c r="E19" s="24" t="e">
        <f>SUPPLIES!#REF!</f>
        <v>#REF!</v>
      </c>
      <c r="H19" s="22">
        <v>44420</v>
      </c>
      <c r="I19" s="24"/>
    </row>
    <row r="20" spans="1:13" x14ac:dyDescent="0.25">
      <c r="A20" s="22">
        <v>44421</v>
      </c>
      <c r="B20" s="24" t="e">
        <f>FOOD!#REF!</f>
        <v>#REF!</v>
      </c>
      <c r="D20" s="22">
        <v>44421</v>
      </c>
      <c r="E20" s="24"/>
      <c r="H20" s="22">
        <v>44421</v>
      </c>
      <c r="I20" s="24"/>
      <c r="K20" s="29" t="s">
        <v>45</v>
      </c>
    </row>
    <row r="21" spans="1:13" x14ac:dyDescent="0.25">
      <c r="A21" s="22">
        <v>44422</v>
      </c>
      <c r="B21" s="24" t="e">
        <f>FOOD!#REF!</f>
        <v>#REF!</v>
      </c>
      <c r="D21" s="22">
        <v>44422</v>
      </c>
      <c r="E21" s="24"/>
      <c r="H21" s="22">
        <v>44422</v>
      </c>
      <c r="I21" s="24"/>
      <c r="K21" s="23"/>
      <c r="L21" s="28" t="e">
        <f>L18-L16-L15-L14-L13</f>
        <v>#REF!</v>
      </c>
    </row>
    <row r="22" spans="1:13" x14ac:dyDescent="0.25">
      <c r="A22" s="22">
        <v>44423</v>
      </c>
      <c r="B22" s="24" t="e">
        <f>FOOD!#REF!</f>
        <v>#REF!</v>
      </c>
      <c r="D22" s="22">
        <v>44423</v>
      </c>
      <c r="E22" s="24"/>
      <c r="H22" s="22">
        <v>44423</v>
      </c>
      <c r="I22" s="24" t="e">
        <f>RNd!#REF!</f>
        <v>#REF!</v>
      </c>
    </row>
    <row r="23" spans="1:13" x14ac:dyDescent="0.25">
      <c r="A23" s="22">
        <v>44424</v>
      </c>
      <c r="B23" s="24" t="e">
        <f>FOOD!#REF!</f>
        <v>#REF!</v>
      </c>
      <c r="D23" s="22">
        <v>44424</v>
      </c>
      <c r="E23" s="24" t="e">
        <f>SUPPLIES!#REF!</f>
        <v>#REF!</v>
      </c>
      <c r="H23" s="22">
        <v>44424</v>
      </c>
      <c r="I23" s="24"/>
    </row>
    <row r="24" spans="1:13" x14ac:dyDescent="0.25">
      <c r="A24" s="22">
        <v>44425</v>
      </c>
      <c r="B24" s="24" t="e">
        <f>FOOD!#REF!</f>
        <v>#REF!</v>
      </c>
      <c r="D24" s="22">
        <v>44425</v>
      </c>
      <c r="E24" s="24"/>
      <c r="H24" s="22">
        <v>44425</v>
      </c>
      <c r="I24" s="24"/>
    </row>
    <row r="25" spans="1:13" x14ac:dyDescent="0.25">
      <c r="A25" s="22">
        <v>44426</v>
      </c>
      <c r="B25" s="24" t="e">
        <f>FOOD!#REF!</f>
        <v>#REF!</v>
      </c>
      <c r="D25" s="22">
        <v>44426</v>
      </c>
      <c r="E25" s="24" t="e">
        <f>SUPPLIES!#REF!</f>
        <v>#REF!</v>
      </c>
      <c r="H25" s="22">
        <v>44426</v>
      </c>
      <c r="I25" s="24"/>
    </row>
    <row r="26" spans="1:13" x14ac:dyDescent="0.25">
      <c r="A26" s="22">
        <v>44427</v>
      </c>
      <c r="B26" s="24" t="e">
        <f>FOOD!#REF!</f>
        <v>#REF!</v>
      </c>
      <c r="D26" s="22">
        <v>44427</v>
      </c>
      <c r="E26" s="24" t="e">
        <f>SUPPLIES!#REF!</f>
        <v>#REF!</v>
      </c>
      <c r="H26" s="22">
        <v>44427</v>
      </c>
      <c r="I26" s="24" t="e">
        <f>RNd!#REF!</f>
        <v>#REF!</v>
      </c>
    </row>
    <row r="27" spans="1:13" x14ac:dyDescent="0.25">
      <c r="A27" s="22">
        <v>44428</v>
      </c>
      <c r="B27" s="24" t="e">
        <f>FOOD!#REF!</f>
        <v>#REF!</v>
      </c>
      <c r="D27" s="22">
        <v>44428</v>
      </c>
      <c r="E27" s="24"/>
      <c r="H27" s="22">
        <v>44428</v>
      </c>
      <c r="I27" s="24"/>
    </row>
    <row r="28" spans="1:13" x14ac:dyDescent="0.25">
      <c r="A28" s="22">
        <v>44429</v>
      </c>
      <c r="B28" s="24" t="e">
        <f>FOOD!#REF!</f>
        <v>#REF!</v>
      </c>
      <c r="D28" s="22">
        <v>44429</v>
      </c>
      <c r="E28" s="24"/>
      <c r="H28" s="22">
        <v>44429</v>
      </c>
      <c r="I28" s="24"/>
    </row>
    <row r="29" spans="1:13" x14ac:dyDescent="0.25">
      <c r="A29" s="22">
        <v>44430</v>
      </c>
      <c r="B29" s="24" t="e">
        <f>FOOD!#REF!</f>
        <v>#REF!</v>
      </c>
      <c r="D29" s="22">
        <v>44430</v>
      </c>
      <c r="E29" s="24"/>
      <c r="H29" s="22">
        <v>44430</v>
      </c>
      <c r="I29" s="24" t="e">
        <f>RNd!#REF!</f>
        <v>#REF!</v>
      </c>
    </row>
    <row r="30" spans="1:13" x14ac:dyDescent="0.25">
      <c r="A30" s="22">
        <v>44431</v>
      </c>
      <c r="B30" s="24" t="e">
        <f>FOOD!#REF!</f>
        <v>#REF!</v>
      </c>
      <c r="D30" s="22">
        <v>44431</v>
      </c>
      <c r="E30" s="24"/>
      <c r="H30" s="22">
        <v>44431</v>
      </c>
      <c r="I30" s="24"/>
    </row>
    <row r="31" spans="1:13" x14ac:dyDescent="0.25">
      <c r="A31" s="22">
        <v>44432</v>
      </c>
      <c r="B31" s="24" t="e">
        <f>FOOD!#REF!</f>
        <v>#REF!</v>
      </c>
      <c r="D31" s="22">
        <v>44432</v>
      </c>
      <c r="E31" s="24"/>
      <c r="H31" s="22">
        <v>44432</v>
      </c>
      <c r="I31" s="24"/>
    </row>
    <row r="32" spans="1:13" x14ac:dyDescent="0.25">
      <c r="A32" s="22">
        <v>44433</v>
      </c>
      <c r="B32" s="24"/>
      <c r="D32" s="22">
        <v>44433</v>
      </c>
      <c r="E32" s="24" t="e">
        <f>SUPPLIES!#REF!</f>
        <v>#REF!</v>
      </c>
      <c r="H32" s="22">
        <v>44433</v>
      </c>
      <c r="I32" s="24"/>
    </row>
    <row r="33" spans="1:9" x14ac:dyDescent="0.25">
      <c r="A33" s="22">
        <v>44434</v>
      </c>
      <c r="B33" s="24" t="e">
        <f>FOOD!#REF!</f>
        <v>#REF!</v>
      </c>
      <c r="D33" s="22">
        <v>44434</v>
      </c>
      <c r="E33" s="24" t="e">
        <f>SUPPLIES!#REF!</f>
        <v>#REF!</v>
      </c>
      <c r="H33" s="22">
        <v>44434</v>
      </c>
      <c r="I33" s="24"/>
    </row>
    <row r="34" spans="1:9" x14ac:dyDescent="0.25">
      <c r="A34" s="22">
        <v>44435</v>
      </c>
      <c r="B34" s="24" t="e">
        <f>FOOD!#REF!</f>
        <v>#REF!</v>
      </c>
      <c r="D34" s="22">
        <v>44435</v>
      </c>
      <c r="E34" s="24"/>
      <c r="H34" s="22">
        <v>44435</v>
      </c>
      <c r="I34" s="24" t="e">
        <f>RNd!#REF!</f>
        <v>#REF!</v>
      </c>
    </row>
    <row r="35" spans="1:9" x14ac:dyDescent="0.25">
      <c r="A35" s="22">
        <v>44436</v>
      </c>
      <c r="B35" s="24" t="e">
        <f>FOOD!#REF!</f>
        <v>#REF!</v>
      </c>
      <c r="D35" s="22">
        <v>44436</v>
      </c>
      <c r="E35" s="24"/>
      <c r="H35" s="22">
        <v>44436</v>
      </c>
      <c r="I35" s="24"/>
    </row>
    <row r="36" spans="1:9" x14ac:dyDescent="0.25">
      <c r="A36" s="22">
        <v>44437</v>
      </c>
      <c r="B36" s="24" t="e">
        <f>FOOD!#REF!</f>
        <v>#REF!</v>
      </c>
      <c r="D36" s="22">
        <v>44437</v>
      </c>
      <c r="E36" s="24" t="e">
        <f>SUPPLIES!#REF!</f>
        <v>#REF!</v>
      </c>
      <c r="H36" s="22">
        <v>44437</v>
      </c>
      <c r="I36" s="24"/>
    </row>
    <row r="37" spans="1:9" ht="15.75" thickBot="1" x14ac:dyDescent="0.3">
      <c r="A37" s="22">
        <v>44438</v>
      </c>
      <c r="B37" s="24" t="e">
        <f>FOOD!#REF!</f>
        <v>#REF!</v>
      </c>
      <c r="D37" s="22">
        <v>44438</v>
      </c>
      <c r="E37" s="24" t="e">
        <f>SUPPLIES!#REF!</f>
        <v>#REF!</v>
      </c>
      <c r="H37" s="22">
        <v>44438</v>
      </c>
      <c r="I37" s="24"/>
    </row>
    <row r="38" spans="1:9" ht="15.75" thickBot="1" x14ac:dyDescent="0.3">
      <c r="A38" s="22">
        <v>44439</v>
      </c>
      <c r="B38" s="24" t="e">
        <f>FOOD!#REF!</f>
        <v>#REF!</v>
      </c>
      <c r="I38" s="25" t="e">
        <f>SUM(I7:I37)</f>
        <v>#REF!</v>
      </c>
    </row>
    <row r="39" spans="1:9" ht="15.75" thickBot="1" x14ac:dyDescent="0.3">
      <c r="E39" s="25" t="e">
        <f>SUM(E8:E37)</f>
        <v>#REF!</v>
      </c>
      <c r="H39" s="29" t="s">
        <v>45</v>
      </c>
    </row>
    <row r="40" spans="1:9" ht="15.75" thickBot="1" x14ac:dyDescent="0.3">
      <c r="B40" s="25" t="e">
        <f>SUM(B8:B38)</f>
        <v>#REF!</v>
      </c>
      <c r="D40" s="29" t="s">
        <v>45</v>
      </c>
      <c r="H40" s="23"/>
    </row>
    <row r="41" spans="1:9" x14ac:dyDescent="0.25">
      <c r="A41" s="29" t="s">
        <v>45</v>
      </c>
      <c r="D41" s="23"/>
      <c r="E41" s="28" t="e">
        <f>E39-L16-L15</f>
        <v>#REF!</v>
      </c>
      <c r="I41" s="28" t="e">
        <f>I38-L14</f>
        <v>#REF!</v>
      </c>
    </row>
    <row r="42" spans="1:9" x14ac:dyDescent="0.25">
      <c r="B42" s="28" t="e">
        <f>B40-L13</f>
        <v>#REF!</v>
      </c>
    </row>
  </sheetData>
  <mergeCells count="8">
    <mergeCell ref="H2:I2"/>
    <mergeCell ref="H3:I3"/>
    <mergeCell ref="A2:B2"/>
    <mergeCell ref="A3:B3"/>
    <mergeCell ref="A7:B7"/>
    <mergeCell ref="D2:E2"/>
    <mergeCell ref="D3:E3"/>
    <mergeCell ref="D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Data RCV September</vt:lpstr>
      <vt:lpstr>SUPPLIES</vt:lpstr>
      <vt:lpstr>FOOD</vt:lpstr>
      <vt:lpstr>RNd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petrichor</dc:creator>
  <cp:lastModifiedBy>ASUS</cp:lastModifiedBy>
  <dcterms:created xsi:type="dcterms:W3CDTF">2019-09-28T04:53:44Z</dcterms:created>
  <dcterms:modified xsi:type="dcterms:W3CDTF">2021-08-10T14:45:25Z</dcterms:modified>
</cp:coreProperties>
</file>