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unezal/Library/CloudStorage/OneDrive-purdue.edu/tepoleLab/dataFitting/OffX/"/>
    </mc:Choice>
  </mc:AlternateContent>
  <xr:revisionPtr revIDLastSave="0" documentId="13_ncr:1_{625DB721-2A6F-BB46-B8C8-9F4216DAFE47}" xr6:coauthVersionLast="47" xr6:coauthVersionMax="47" xr10:uidLastSave="{00000000-0000-0000-0000-000000000000}"/>
  <bookViews>
    <workbookView xWindow="14340" yWindow="760" windowWidth="15900" windowHeight="17780" tabRatio="703" firstSheet="3" activeTab="7" xr2:uid="{00000000-000D-0000-FFFF-FFFF00000000}"/>
  </bookViews>
  <sheets>
    <sheet name="stats" sheetId="11" r:id="rId1"/>
    <sheet name="R01" sheetId="10" r:id="rId2"/>
    <sheet name="R01_12" sheetId="1" r:id="rId3"/>
    <sheet name="R01_11" sheetId="2" r:id="rId4"/>
    <sheet name="PSF2" sheetId="6" r:id="rId5"/>
    <sheet name="present" sheetId="7" r:id="rId6"/>
    <sheet name="Sheet2" sheetId="12" r:id="rId7"/>
    <sheet name="GRAPHS2" sheetId="15" r:id="rId8"/>
    <sheet name="ForYdir2" sheetId="17" r:id="rId9"/>
    <sheet name="ForYdir" sheetId="16" r:id="rId10"/>
    <sheet name="GRAPHS" sheetId="14" r:id="rId11"/>
    <sheet name="read" sheetId="13" r:id="rId12"/>
    <sheet name="PSF3" sheetId="3" r:id="rId13"/>
    <sheet name="error12" sheetId="4" r:id="rId14"/>
    <sheet name="error" sheetId="5" r:id="rId15"/>
  </sheets>
  <definedNames>
    <definedName name="_xlnm._FilterDatabase" localSheetId="5" hidden="1">present!$AY$4:$BA$12</definedName>
    <definedName name="_xlnm._FilterDatabase" localSheetId="1" hidden="1">'R01'!$S$2:$U$35</definedName>
    <definedName name="_xlnm._FilterDatabase" localSheetId="0" hidden="1">stats!$S$2:$U$35</definedName>
    <definedName name="mu3AAA1">'PSF2'!#REF!</definedName>
    <definedName name="mu3C">'PSF2'!#REF!</definedName>
    <definedName name="mu3TPA1">'PSF2'!#REF!</definedName>
    <definedName name="mu3XAAA1">'PSF2'!$M$5</definedName>
    <definedName name="mu3XC">'PSF2'!#REF!</definedName>
    <definedName name="mu3XTPA1">'PSF2'!$M$6</definedName>
    <definedName name="mu5XCL">'PSF3'!#REF!</definedName>
    <definedName name="mu5XCR">'PSF3'!$M$4</definedName>
    <definedName name="mu5XDAAA1">'PSF3'!$M$5</definedName>
    <definedName name="mu5XDAAB1">'PSF3'!#REF!</definedName>
    <definedName name="mu5XDAAC1">'PSF3'!$M$7</definedName>
    <definedName name="mu5XDTPA1">'PSF3'!#REF!</definedName>
    <definedName name="mu5XDTPB1">'PSF3'!$M$9</definedName>
    <definedName name="mu5XDTPC1">'PSF3'!$M$10</definedName>
    <definedName name="mu5XTPA1">'PSF3'!$M$11</definedName>
    <definedName name="mu5XTPB1">'PSF3'!$M$12</definedName>
    <definedName name="mu5XTPC1">'PSF3'!#REF!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7" l="1"/>
  <c r="J29" i="17"/>
  <c r="I29" i="17"/>
  <c r="H29" i="17"/>
  <c r="G29" i="17"/>
  <c r="F29" i="17"/>
  <c r="E29" i="17"/>
  <c r="D29" i="17"/>
  <c r="C29" i="17"/>
  <c r="J28" i="17"/>
  <c r="I28" i="17"/>
  <c r="H28" i="17"/>
  <c r="G28" i="17"/>
  <c r="F28" i="17"/>
  <c r="E28" i="17"/>
  <c r="D28" i="17"/>
  <c r="J27" i="17"/>
  <c r="I27" i="17"/>
  <c r="H27" i="17"/>
  <c r="G27" i="17"/>
  <c r="F27" i="17"/>
  <c r="E27" i="17"/>
  <c r="D27" i="17"/>
  <c r="C27" i="17"/>
  <c r="J26" i="17"/>
  <c r="I26" i="17"/>
  <c r="H26" i="17"/>
  <c r="G26" i="17"/>
  <c r="F26" i="17"/>
  <c r="E26" i="17"/>
  <c r="D26" i="17"/>
  <c r="C26" i="17"/>
  <c r="J25" i="17"/>
  <c r="I25" i="17"/>
  <c r="H25" i="17"/>
  <c r="G25" i="17"/>
  <c r="F25" i="17"/>
  <c r="E25" i="17"/>
  <c r="D25" i="17"/>
  <c r="C25" i="17"/>
  <c r="J24" i="17"/>
  <c r="I24" i="17"/>
  <c r="H24" i="17"/>
  <c r="G24" i="17"/>
  <c r="F24" i="17"/>
  <c r="E24" i="17"/>
  <c r="D24" i="17"/>
  <c r="C24" i="17"/>
  <c r="J23" i="17"/>
  <c r="I23" i="17"/>
  <c r="H23" i="17"/>
  <c r="G23" i="17"/>
  <c r="F23" i="17"/>
  <c r="E23" i="17"/>
  <c r="D23" i="17"/>
  <c r="C23" i="17"/>
  <c r="J22" i="17"/>
  <c r="I22" i="17"/>
  <c r="H22" i="17"/>
  <c r="G22" i="17"/>
  <c r="F22" i="17"/>
  <c r="E22" i="17"/>
  <c r="D22" i="17"/>
  <c r="C22" i="17"/>
  <c r="C28" i="16"/>
  <c r="D25" i="16"/>
  <c r="E25" i="16"/>
  <c r="F25" i="16"/>
  <c r="G25" i="16"/>
  <c r="H25" i="16"/>
  <c r="I25" i="16"/>
  <c r="J25" i="16"/>
  <c r="D26" i="16"/>
  <c r="E26" i="16"/>
  <c r="F26" i="16"/>
  <c r="G26" i="16"/>
  <c r="H26" i="16"/>
  <c r="I26" i="16"/>
  <c r="J26" i="16"/>
  <c r="D27" i="16"/>
  <c r="E27" i="16"/>
  <c r="F27" i="16"/>
  <c r="G27" i="16"/>
  <c r="H27" i="16"/>
  <c r="I27" i="16"/>
  <c r="J27" i="16"/>
  <c r="D28" i="16"/>
  <c r="E28" i="16"/>
  <c r="F28" i="16"/>
  <c r="G28" i="16"/>
  <c r="H28" i="16"/>
  <c r="I28" i="16"/>
  <c r="J28" i="16"/>
  <c r="D29" i="16"/>
  <c r="E29" i="16"/>
  <c r="F29" i="16"/>
  <c r="G29" i="16"/>
  <c r="H29" i="16"/>
  <c r="I29" i="16"/>
  <c r="J29" i="16"/>
  <c r="D24" i="16"/>
  <c r="E24" i="16"/>
  <c r="F24" i="16"/>
  <c r="G24" i="16"/>
  <c r="H24" i="16"/>
  <c r="I24" i="16"/>
  <c r="J24" i="16"/>
  <c r="C29" i="16"/>
  <c r="C27" i="16"/>
  <c r="C26" i="16"/>
  <c r="C24" i="16"/>
  <c r="C25" i="16"/>
  <c r="C23" i="16"/>
  <c r="D23" i="16"/>
  <c r="E23" i="16"/>
  <c r="F23" i="16"/>
  <c r="G23" i="16"/>
  <c r="H23" i="16"/>
  <c r="I23" i="16"/>
  <c r="J23" i="16"/>
  <c r="D22" i="16"/>
  <c r="E22" i="16"/>
  <c r="F22" i="16"/>
  <c r="G22" i="16"/>
  <c r="H22" i="16"/>
  <c r="I22" i="16"/>
  <c r="J22" i="16"/>
  <c r="C22" i="16"/>
  <c r="F31" i="15" l="1"/>
  <c r="F28" i="15" s="1"/>
  <c r="D31" i="15"/>
  <c r="E31" i="15"/>
  <c r="G31" i="15"/>
  <c r="H31" i="15"/>
  <c r="I31" i="15"/>
  <c r="I28" i="15" s="1"/>
  <c r="J31" i="15"/>
  <c r="J28" i="15" s="1"/>
  <c r="D32" i="15"/>
  <c r="E32" i="15"/>
  <c r="E29" i="15" s="1"/>
  <c r="F32" i="15"/>
  <c r="F29" i="15" s="1"/>
  <c r="G32" i="15"/>
  <c r="H32" i="15"/>
  <c r="I32" i="15"/>
  <c r="J32" i="15"/>
  <c r="C32" i="15"/>
  <c r="C31" i="15"/>
  <c r="E28" i="15"/>
  <c r="G28" i="15"/>
  <c r="H28" i="15"/>
  <c r="D29" i="15"/>
  <c r="G29" i="15"/>
  <c r="H29" i="15"/>
  <c r="G31" i="14"/>
  <c r="H31" i="14"/>
  <c r="I31" i="14"/>
  <c r="J31" i="14"/>
  <c r="E31" i="14"/>
  <c r="F31" i="14"/>
  <c r="D28" i="15"/>
  <c r="I29" i="15"/>
  <c r="J29" i="15"/>
  <c r="C29" i="15"/>
  <c r="C28" i="15"/>
  <c r="D31" i="14"/>
  <c r="C23" i="5"/>
  <c r="C25" i="5" s="1"/>
  <c r="C26" i="5" s="1"/>
  <c r="B23" i="5"/>
  <c r="B25" i="5" s="1"/>
  <c r="C18" i="4"/>
  <c r="C19" i="4" s="1"/>
  <c r="B18" i="4"/>
  <c r="L102" i="12"/>
  <c r="J99" i="12"/>
  <c r="I99" i="12"/>
  <c r="H99" i="12"/>
  <c r="G99" i="12"/>
  <c r="F99" i="12"/>
  <c r="E99" i="12"/>
  <c r="D99" i="12"/>
  <c r="C99" i="12"/>
  <c r="J98" i="12"/>
  <c r="I98" i="12"/>
  <c r="H98" i="12"/>
  <c r="G98" i="12"/>
  <c r="F98" i="12"/>
  <c r="E98" i="12"/>
  <c r="D98" i="12"/>
  <c r="C98" i="12"/>
  <c r="J97" i="12"/>
  <c r="I97" i="12"/>
  <c r="H97" i="12"/>
  <c r="G97" i="12"/>
  <c r="F97" i="12"/>
  <c r="E97" i="12"/>
  <c r="D97" i="12"/>
  <c r="C97" i="12"/>
  <c r="J96" i="12"/>
  <c r="I96" i="12"/>
  <c r="H96" i="12"/>
  <c r="G96" i="12"/>
  <c r="G102" i="12" s="1"/>
  <c r="F96" i="12"/>
  <c r="E96" i="12"/>
  <c r="D96" i="12"/>
  <c r="C96" i="12"/>
  <c r="J95" i="12"/>
  <c r="I95" i="12"/>
  <c r="H95" i="12"/>
  <c r="G95" i="12"/>
  <c r="F95" i="12"/>
  <c r="E95" i="12"/>
  <c r="D95" i="12"/>
  <c r="C95" i="12"/>
  <c r="J94" i="12"/>
  <c r="I94" i="12"/>
  <c r="H94" i="12"/>
  <c r="G94" i="12"/>
  <c r="G101" i="12" s="1"/>
  <c r="G105" i="12" s="1"/>
  <c r="F94" i="12"/>
  <c r="E94" i="12"/>
  <c r="D94" i="12"/>
  <c r="C94" i="12"/>
  <c r="J93" i="12"/>
  <c r="I93" i="12"/>
  <c r="H93" i="12"/>
  <c r="G93" i="12"/>
  <c r="F93" i="12"/>
  <c r="E93" i="12"/>
  <c r="D93" i="12"/>
  <c r="C93" i="12"/>
  <c r="J92" i="12"/>
  <c r="I92" i="12"/>
  <c r="H92" i="12"/>
  <c r="G92" i="12"/>
  <c r="G103" i="12" s="1"/>
  <c r="F92" i="12"/>
  <c r="E92" i="12"/>
  <c r="D92" i="12"/>
  <c r="C92" i="12"/>
  <c r="C103" i="12" s="1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G29" i="7"/>
  <c r="F29" i="7"/>
  <c r="E29" i="7"/>
  <c r="D29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E18" i="7" s="1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G17" i="7"/>
  <c r="F17" i="7"/>
  <c r="E17" i="7"/>
  <c r="D17" i="7"/>
  <c r="BE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G16" i="7"/>
  <c r="F16" i="7"/>
  <c r="E16" i="7"/>
  <c r="D16" i="7"/>
  <c r="BE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G15" i="7"/>
  <c r="F15" i="7"/>
  <c r="E15" i="7"/>
  <c r="D15" i="7"/>
  <c r="BI12" i="7"/>
  <c r="H10" i="7"/>
  <c r="BH9" i="7"/>
  <c r="BJ9" i="7" s="1"/>
  <c r="BE12" i="7" s="1"/>
  <c r="BI15" i="7" s="1"/>
  <c r="H9" i="7"/>
  <c r="H29" i="7" s="1"/>
  <c r="BJ8" i="7"/>
  <c r="BH8" i="7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Y13" i="10"/>
  <c r="U13" i="10"/>
  <c r="U12" i="10"/>
  <c r="AA6" i="10" s="1"/>
  <c r="AC6" i="10" s="1"/>
  <c r="U11" i="10"/>
  <c r="U10" i="10"/>
  <c r="U9" i="10"/>
  <c r="U8" i="10"/>
  <c r="U7" i="10"/>
  <c r="Y6" i="10"/>
  <c r="U6" i="10"/>
  <c r="Y5" i="10"/>
  <c r="AC8" i="10" s="1"/>
  <c r="U5" i="10"/>
  <c r="U4" i="10"/>
  <c r="U3" i="10"/>
  <c r="AT46" i="11"/>
  <c r="BZ45" i="11"/>
  <c r="BR45" i="11"/>
  <c r="BJ45" i="11"/>
  <c r="BB45" i="11"/>
  <c r="AK45" i="11"/>
  <c r="AT44" i="11"/>
  <c r="BZ43" i="11"/>
  <c r="BR43" i="11"/>
  <c r="BJ43" i="11"/>
  <c r="BB43" i="11"/>
  <c r="AK43" i="11"/>
  <c r="AR42" i="11"/>
  <c r="AT42" i="11" s="1"/>
  <c r="BX41" i="11"/>
  <c r="BZ41" i="11" s="1"/>
  <c r="BP41" i="11"/>
  <c r="BR41" i="11" s="1"/>
  <c r="BJ41" i="11"/>
  <c r="BH41" i="11"/>
  <c r="AZ41" i="11"/>
  <c r="BB41" i="11" s="1"/>
  <c r="AR41" i="11"/>
  <c r="AT41" i="11" s="1"/>
  <c r="AQ44" i="11" s="1"/>
  <c r="AT48" i="11" s="1"/>
  <c r="AI41" i="11"/>
  <c r="AK41" i="11" s="1"/>
  <c r="BX40" i="11"/>
  <c r="BZ40" i="11" s="1"/>
  <c r="BR40" i="11"/>
  <c r="BP40" i="11"/>
  <c r="BH40" i="11"/>
  <c r="BJ40" i="11" s="1"/>
  <c r="BG43" i="11" s="1"/>
  <c r="BJ47" i="11" s="1"/>
  <c r="AZ40" i="11"/>
  <c r="BB40" i="11" s="1"/>
  <c r="AI40" i="11"/>
  <c r="AK40" i="11" s="1"/>
  <c r="BV38" i="11"/>
  <c r="BN38" i="11"/>
  <c r="BF38" i="11"/>
  <c r="AX38" i="11"/>
  <c r="AP38" i="11"/>
  <c r="AG38" i="11"/>
  <c r="BW34" i="11"/>
  <c r="BV34" i="11"/>
  <c r="BO34" i="11"/>
  <c r="BN34" i="11"/>
  <c r="BG34" i="11"/>
  <c r="BF34" i="11"/>
  <c r="BF35" i="11" s="1"/>
  <c r="BF36" i="11" s="1"/>
  <c r="AY34" i="11"/>
  <c r="AX34" i="11"/>
  <c r="AX35" i="11" s="1"/>
  <c r="AX36" i="11" s="1"/>
  <c r="AQ34" i="11"/>
  <c r="AP34" i="11"/>
  <c r="AH34" i="11"/>
  <c r="AG34" i="11"/>
  <c r="AG35" i="11" s="1"/>
  <c r="AG36" i="11" s="1"/>
  <c r="BW33" i="11"/>
  <c r="BX33" i="11" s="1"/>
  <c r="BV33" i="11"/>
  <c r="BP33" i="11"/>
  <c r="BN37" i="11" s="1"/>
  <c r="BO33" i="11"/>
  <c r="BN33" i="11"/>
  <c r="BH33" i="11"/>
  <c r="BF37" i="11" s="1"/>
  <c r="BG33" i="11"/>
  <c r="BF33" i="11"/>
  <c r="AZ33" i="11"/>
  <c r="AY33" i="11"/>
  <c r="AX33" i="11"/>
  <c r="AQ33" i="11"/>
  <c r="AR33" i="11" s="1"/>
  <c r="AP33" i="11"/>
  <c r="AH33" i="11"/>
  <c r="AI33" i="11" s="1"/>
  <c r="AG37" i="11" s="1"/>
  <c r="AG33" i="11"/>
  <c r="BW32" i="11"/>
  <c r="BX32" i="11" s="1"/>
  <c r="BV32" i="11"/>
  <c r="BO32" i="11"/>
  <c r="BN32" i="11"/>
  <c r="BP32" i="11" s="1"/>
  <c r="BN35" i="11" s="1"/>
  <c r="BN36" i="11" s="1"/>
  <c r="BG32" i="11"/>
  <c r="BF32" i="11"/>
  <c r="BH32" i="11" s="1"/>
  <c r="AY32" i="11"/>
  <c r="AX32" i="11"/>
  <c r="AZ32" i="11" s="1"/>
  <c r="AQ32" i="11"/>
  <c r="AR32" i="11" s="1"/>
  <c r="AP32" i="11"/>
  <c r="AI32" i="11"/>
  <c r="AH32" i="11"/>
  <c r="AG32" i="11"/>
  <c r="U21" i="11"/>
  <c r="BZ20" i="11"/>
  <c r="BR20" i="11"/>
  <c r="BJ20" i="11"/>
  <c r="BB20" i="11"/>
  <c r="AT20" i="11"/>
  <c r="AK20" i="11"/>
  <c r="U20" i="11"/>
  <c r="U19" i="11"/>
  <c r="BZ18" i="11"/>
  <c r="BR18" i="11"/>
  <c r="BJ18" i="11"/>
  <c r="BB18" i="11"/>
  <c r="AT18" i="11"/>
  <c r="AK18" i="11"/>
  <c r="U18" i="11"/>
  <c r="U17" i="11"/>
  <c r="BZ16" i="11"/>
  <c r="BX16" i="11"/>
  <c r="BP16" i="11"/>
  <c r="BR16" i="11" s="1"/>
  <c r="AK16" i="11"/>
  <c r="AI16" i="11"/>
  <c r="U16" i="11"/>
  <c r="BH15" i="11"/>
  <c r="BJ15" i="11" s="1"/>
  <c r="AZ15" i="11"/>
  <c r="BB15" i="11" s="1"/>
  <c r="U15" i="11"/>
  <c r="U14" i="11"/>
  <c r="BV13" i="11"/>
  <c r="BN13" i="11"/>
  <c r="BF13" i="11"/>
  <c r="AX13" i="11"/>
  <c r="AP13" i="11"/>
  <c r="AG13" i="11"/>
  <c r="Y13" i="11"/>
  <c r="U13" i="11"/>
  <c r="U12" i="11"/>
  <c r="U11" i="11"/>
  <c r="BN10" i="11"/>
  <c r="BN11" i="11" s="1"/>
  <c r="BF10" i="11"/>
  <c r="BF11" i="11" s="1"/>
  <c r="U10" i="11"/>
  <c r="CA9" i="11"/>
  <c r="BW9" i="11"/>
  <c r="BV10" i="11" s="1"/>
  <c r="BV11" i="11" s="1"/>
  <c r="BV9" i="11"/>
  <c r="BO9" i="11"/>
  <c r="BN9" i="11"/>
  <c r="BG9" i="11"/>
  <c r="BF9" i="11"/>
  <c r="AY9" i="11"/>
  <c r="AX9" i="11"/>
  <c r="AX10" i="11" s="1"/>
  <c r="AX11" i="11" s="1"/>
  <c r="AQ9" i="11"/>
  <c r="AP10" i="11" s="1"/>
  <c r="AP11" i="11" s="1"/>
  <c r="AP9" i="11"/>
  <c r="AH9" i="11"/>
  <c r="AG9" i="11"/>
  <c r="AG10" i="11" s="1"/>
  <c r="AG11" i="11" s="1"/>
  <c r="U9" i="11"/>
  <c r="CA8" i="11"/>
  <c r="BX8" i="11"/>
  <c r="BV12" i="11" s="1"/>
  <c r="BW8" i="11"/>
  <c r="BV8" i="11"/>
  <c r="BS8" i="11"/>
  <c r="BO8" i="11"/>
  <c r="BP8" i="11" s="1"/>
  <c r="BN8" i="11"/>
  <c r="BK8" i="11"/>
  <c r="BG8" i="11"/>
  <c r="BH8" i="11" s="1"/>
  <c r="BF12" i="11" s="1"/>
  <c r="BF8" i="11"/>
  <c r="BC8" i="11"/>
  <c r="AY8" i="11"/>
  <c r="AZ8" i="11" s="1"/>
  <c r="AX12" i="11" s="1"/>
  <c r="AX8" i="11"/>
  <c r="AU8" i="11"/>
  <c r="AQ8" i="11"/>
  <c r="AR8" i="11" s="1"/>
  <c r="AP12" i="11" s="1"/>
  <c r="AP8" i="11"/>
  <c r="AL8" i="11"/>
  <c r="AR16" i="11" s="1"/>
  <c r="AT16" i="11" s="1"/>
  <c r="AI8" i="11"/>
  <c r="AH8" i="11"/>
  <c r="AG8" i="11"/>
  <c r="AC8" i="11"/>
  <c r="U8" i="11"/>
  <c r="CA7" i="11"/>
  <c r="BW7" i="11"/>
  <c r="BV7" i="11"/>
  <c r="BX7" i="11" s="1"/>
  <c r="BS7" i="11"/>
  <c r="BO7" i="11"/>
  <c r="BN7" i="11"/>
  <c r="BP7" i="11" s="1"/>
  <c r="BK7" i="11"/>
  <c r="BG7" i="11"/>
  <c r="BF7" i="11"/>
  <c r="BH7" i="11" s="1"/>
  <c r="BC7" i="11"/>
  <c r="AY7" i="11"/>
  <c r="AX7" i="11"/>
  <c r="AZ7" i="11" s="1"/>
  <c r="AU7" i="11"/>
  <c r="AR7" i="11"/>
  <c r="AQ7" i="11"/>
  <c r="AP7" i="11"/>
  <c r="AL7" i="11"/>
  <c r="AI7" i="11"/>
  <c r="U7" i="11"/>
  <c r="AA5" i="11" s="1"/>
  <c r="CA6" i="11"/>
  <c r="BS6" i="11"/>
  <c r="BK6" i="11"/>
  <c r="BC6" i="11"/>
  <c r="AU6" i="11"/>
  <c r="AL6" i="11"/>
  <c r="Y6" i="11"/>
  <c r="U6" i="11"/>
  <c r="CA5" i="11"/>
  <c r="BS5" i="11"/>
  <c r="BK5" i="11"/>
  <c r="BC5" i="11"/>
  <c r="AU5" i="11"/>
  <c r="AL5" i="11"/>
  <c r="Y5" i="11"/>
  <c r="U5" i="11"/>
  <c r="CA4" i="11"/>
  <c r="BS4" i="11"/>
  <c r="BS9" i="11" s="1"/>
  <c r="BK4" i="11"/>
  <c r="BC4" i="11"/>
  <c r="AU4" i="11"/>
  <c r="AL4" i="11"/>
  <c r="U4" i="11"/>
  <c r="CA3" i="11"/>
  <c r="BS3" i="11"/>
  <c r="BK3" i="11"/>
  <c r="BK9" i="11" s="1"/>
  <c r="BC3" i="11"/>
  <c r="BC9" i="11" s="1"/>
  <c r="AU3" i="11"/>
  <c r="AU9" i="11" s="1"/>
  <c r="AL3" i="11"/>
  <c r="BP15" i="11" s="1"/>
  <c r="BR15" i="11" s="1"/>
  <c r="BO18" i="11" s="1"/>
  <c r="BR22" i="11" s="1"/>
  <c r="U3" i="11"/>
  <c r="U22" i="11" s="1"/>
  <c r="AY43" i="11" l="1"/>
  <c r="BB47" i="11" s="1"/>
  <c r="AX37" i="11"/>
  <c r="AH43" i="11"/>
  <c r="AK47" i="11" s="1"/>
  <c r="BV37" i="11"/>
  <c r="AC5" i="11"/>
  <c r="Y8" i="11" s="1"/>
  <c r="BN12" i="11"/>
  <c r="BO43" i="11"/>
  <c r="BR47" i="11" s="1"/>
  <c r="AP37" i="11"/>
  <c r="AG12" i="11"/>
  <c r="BV35" i="11"/>
  <c r="BV36" i="11" s="1"/>
  <c r="AP35" i="11"/>
  <c r="AP36" i="11" s="1"/>
  <c r="BW43" i="11"/>
  <c r="BZ47" i="11" s="1"/>
  <c r="AZ16" i="11"/>
  <c r="BB16" i="11" s="1"/>
  <c r="AY18" i="11" s="1"/>
  <c r="BB22" i="11" s="1"/>
  <c r="AC6" i="11"/>
  <c r="AL9" i="11"/>
  <c r="AA5" i="10"/>
  <c r="AC5" i="10" s="1"/>
  <c r="Y8" i="10" s="1"/>
  <c r="AC10" i="11"/>
  <c r="BH16" i="11"/>
  <c r="BJ16" i="11" s="1"/>
  <c r="BG18" i="11" s="1"/>
  <c r="BJ22" i="11" s="1"/>
  <c r="AI15" i="11"/>
  <c r="AK15" i="11" s="1"/>
  <c r="AH18" i="11" s="1"/>
  <c r="AK22" i="11" s="1"/>
  <c r="BX15" i="11"/>
  <c r="BZ15" i="11" s="1"/>
  <c r="BW18" i="11" s="1"/>
  <c r="BZ22" i="11" s="1"/>
  <c r="H24" i="7"/>
  <c r="C101" i="12"/>
  <c r="C105" i="12" s="1"/>
  <c r="AR15" i="11"/>
  <c r="AT15" i="11" s="1"/>
  <c r="AQ18" i="11" s="1"/>
  <c r="AT22" i="11" s="1"/>
  <c r="AC10" i="10"/>
  <c r="H17" i="7"/>
  <c r="H15" i="7"/>
  <c r="H16" i="7"/>
  <c r="H23" i="7"/>
  <c r="H30" i="7"/>
  <c r="C102" i="12"/>
  <c r="K102" i="12"/>
  <c r="AA6" i="11"/>
  <c r="AC13" i="10" l="1"/>
  <c r="Y10" i="10"/>
  <c r="Y14" i="10" s="1"/>
  <c r="Y10" i="11"/>
  <c r="Y14" i="11" s="1"/>
  <c r="AC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tc={E27A12D8-A1FC-4242-B38B-5D6E5B3051F5}</author>
  </authors>
  <commentList>
    <comment ref="B9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this values to the PSF2 sheet</t>
      </text>
    </comment>
  </commentList>
</comments>
</file>

<file path=xl/sharedStrings.xml><?xml version="1.0" encoding="utf-8"?>
<sst xmlns="http://schemas.openxmlformats.org/spreadsheetml/2006/main" count="1679" uniqueCount="206">
  <si>
    <t>P12AE1B1</t>
  </si>
  <si>
    <t>P12AE1C1</t>
  </si>
  <si>
    <t>P12AE2A1</t>
  </si>
  <si>
    <t>P12AE2B1</t>
  </si>
  <si>
    <t>P12AE2C1</t>
  </si>
  <si>
    <t>P12BE1A1</t>
  </si>
  <si>
    <t>P12BE1B1</t>
  </si>
  <si>
    <t>P12BE1C1</t>
  </si>
  <si>
    <t>P12BE2A1</t>
  </si>
  <si>
    <t>P12BE2B1</t>
  </si>
  <si>
    <t>P12BE2C1</t>
  </si>
  <si>
    <t>mu</t>
  </si>
  <si>
    <t>k1</t>
  </si>
  <si>
    <t>k2</t>
  </si>
  <si>
    <t>kappa</t>
  </si>
  <si>
    <t>alpha</t>
  </si>
  <si>
    <t>k1_1</t>
  </si>
  <si>
    <t>k2_1</t>
  </si>
  <si>
    <t>kappa1</t>
  </si>
  <si>
    <t>alpha1</t>
  </si>
  <si>
    <t>k1_2</t>
  </si>
  <si>
    <t>k2_2</t>
  </si>
  <si>
    <t>kappa2</t>
  </si>
  <si>
    <t>alpha2</t>
  </si>
  <si>
    <t>P11AC1</t>
  </si>
  <si>
    <t>P11AE1A</t>
  </si>
  <si>
    <t>P11AE1B</t>
  </si>
  <si>
    <t>P11AE2A</t>
  </si>
  <si>
    <t>P11AE2B</t>
  </si>
  <si>
    <t>P11BC1</t>
  </si>
  <si>
    <t>P11BE1A</t>
  </si>
  <si>
    <t>P11BE1B</t>
  </si>
  <si>
    <t>P11BE2A</t>
  </si>
  <si>
    <t>P11BE2B</t>
  </si>
  <si>
    <t>P13AC1</t>
  </si>
  <si>
    <t>P13AE1A</t>
  </si>
  <si>
    <t>P13AE1B</t>
  </si>
  <si>
    <t>P13AE2A</t>
  </si>
  <si>
    <t>P13AE2B</t>
  </si>
  <si>
    <t>P13BC1</t>
  </si>
  <si>
    <t>P13BE1A</t>
  </si>
  <si>
    <t>P13BE1B</t>
  </si>
  <si>
    <t>P13BE2A</t>
  </si>
  <si>
    <t>P13BE2B</t>
  </si>
  <si>
    <t>Single Fiber</t>
  </si>
  <si>
    <t>Two Fiber</t>
  </si>
  <si>
    <t>CC</t>
  </si>
  <si>
    <t>days</t>
  </si>
  <si>
    <t>Location</t>
  </si>
  <si>
    <t>P12AE1A1</t>
  </si>
  <si>
    <t>Middle</t>
  </si>
  <si>
    <t>Periphery</t>
  </si>
  <si>
    <t>Control</t>
  </si>
  <si>
    <t>Apex</t>
  </si>
  <si>
    <t>Qual Fitting</t>
  </si>
  <si>
    <t>Trans stretch</t>
  </si>
  <si>
    <t>5XDAAA1</t>
  </si>
  <si>
    <t>5XDAAB1</t>
  </si>
  <si>
    <t>5XDAAC1</t>
  </si>
  <si>
    <t>5XDTPA1</t>
  </si>
  <si>
    <t>5XDTPB1</t>
  </si>
  <si>
    <t>5XDTPC1</t>
  </si>
  <si>
    <t>5XTPA1</t>
  </si>
  <si>
    <t>5XTPB1</t>
  </si>
  <si>
    <t>5XTPC1</t>
  </si>
  <si>
    <t>P12AC1</t>
  </si>
  <si>
    <t>P12BC2</t>
  </si>
  <si>
    <t>Single</t>
  </si>
  <si>
    <t>Two</t>
  </si>
  <si>
    <t>PROM</t>
  </si>
  <si>
    <t>PRM</t>
  </si>
  <si>
    <t>Promtot</t>
  </si>
  <si>
    <t>Anterior L</t>
  </si>
  <si>
    <t>Posterior R</t>
  </si>
  <si>
    <t>PSF1</t>
  </si>
  <si>
    <t>5XCL</t>
  </si>
  <si>
    <t>5XCR</t>
  </si>
  <si>
    <t>psf1 pig1</t>
  </si>
  <si>
    <t>psf2 pig3</t>
  </si>
  <si>
    <t>psf3 pig5</t>
  </si>
  <si>
    <t>PSF</t>
  </si>
  <si>
    <t>Posterior L</t>
  </si>
  <si>
    <t>ADM+DFO</t>
  </si>
  <si>
    <t>DFO</t>
  </si>
  <si>
    <t>TE</t>
  </si>
  <si>
    <t>90 cc</t>
  </si>
  <si>
    <t>14 days</t>
  </si>
  <si>
    <t>3XAAA1</t>
  </si>
  <si>
    <t>3XTPA1</t>
  </si>
  <si>
    <t>3AAA1</t>
  </si>
  <si>
    <t>3TPA1</t>
  </si>
  <si>
    <t>Anterior R</t>
  </si>
  <si>
    <t>TE+ADM</t>
  </si>
  <si>
    <t>3XC</t>
  </si>
  <si>
    <t>3C</t>
  </si>
  <si>
    <t>CONTROL</t>
  </si>
  <si>
    <t>P3</t>
  </si>
  <si>
    <t>P5</t>
  </si>
  <si>
    <t>XR</t>
  </si>
  <si>
    <t>XR+TE</t>
  </si>
  <si>
    <t>pp</t>
  </si>
  <si>
    <t>mp</t>
  </si>
  <si>
    <t>PP</t>
  </si>
  <si>
    <t>R01_12</t>
  </si>
  <si>
    <t>mean</t>
  </si>
  <si>
    <t>std</t>
  </si>
  <si>
    <t>pop</t>
  </si>
  <si>
    <t>samp</t>
  </si>
  <si>
    <t>p12bc2</t>
  </si>
  <si>
    <t>std error</t>
  </si>
  <si>
    <t>GlowX</t>
  </si>
  <si>
    <t>GhighX</t>
  </si>
  <si>
    <t>GlowY</t>
  </si>
  <si>
    <t>GhighY</t>
  </si>
  <si>
    <t>TlamX</t>
  </si>
  <si>
    <t>TstressX</t>
  </si>
  <si>
    <t>TlamY</t>
  </si>
  <si>
    <t>TstressY</t>
  </si>
  <si>
    <t xml:space="preserve">Low </t>
  </si>
  <si>
    <t>High</t>
  </si>
  <si>
    <t>Y direction</t>
  </si>
  <si>
    <t>X direction</t>
  </si>
  <si>
    <t>CTRL</t>
  </si>
  <si>
    <t>Mean</t>
  </si>
  <si>
    <t>z value xr + te ctrl</t>
  </si>
  <si>
    <t>Column1</t>
  </si>
  <si>
    <t>Nro</t>
  </si>
  <si>
    <t>R_1</t>
  </si>
  <si>
    <t>R_2</t>
  </si>
  <si>
    <t>U_1</t>
  </si>
  <si>
    <t>U_2</t>
  </si>
  <si>
    <t>n1=</t>
  </si>
  <si>
    <t>n2=</t>
  </si>
  <si>
    <t>Grupo</t>
  </si>
  <si>
    <t>Valores</t>
  </si>
  <si>
    <t>Rangos</t>
  </si>
  <si>
    <t>U</t>
  </si>
  <si>
    <t>Z (calc)</t>
  </si>
  <si>
    <t>Zcrit</t>
  </si>
  <si>
    <t>p-val</t>
  </si>
  <si>
    <t>Se acepta la hipótesis nula</t>
  </si>
  <si>
    <t>U exp</t>
  </si>
  <si>
    <t>u stderr</t>
  </si>
  <si>
    <t>z val</t>
  </si>
  <si>
    <t>Ho</t>
  </si>
  <si>
    <t>The sum of the rankings does not differ</t>
  </si>
  <si>
    <t>H1</t>
  </si>
  <si>
    <t>The sum of the rankings differ</t>
  </si>
  <si>
    <t xml:space="preserve">p </t>
  </si>
  <si>
    <t>2-tailed test</t>
  </si>
  <si>
    <t>No hay evidencia para rechazar la hipótesis nula</t>
  </si>
  <si>
    <t>No hay diferencia significativa entre los grupos</t>
  </si>
  <si>
    <t>specimen</t>
  </si>
  <si>
    <t xml:space="preserve">valor </t>
  </si>
  <si>
    <t>ranking</t>
  </si>
  <si>
    <t>Rango</t>
  </si>
  <si>
    <t>R1</t>
  </si>
  <si>
    <t>R2</t>
  </si>
  <si>
    <t>U1</t>
  </si>
  <si>
    <t>U2</t>
  </si>
  <si>
    <t>zval</t>
  </si>
  <si>
    <t>p</t>
  </si>
  <si>
    <t>&lt; 0.05</t>
  </si>
  <si>
    <t>XRT+TE</t>
  </si>
  <si>
    <t>t-test</t>
  </si>
  <si>
    <t>SD</t>
  </si>
  <si>
    <t>S_P</t>
  </si>
  <si>
    <t>stderr</t>
  </si>
  <si>
    <t>size</t>
  </si>
  <si>
    <t>t_stat</t>
  </si>
  <si>
    <t>&lt;</t>
  </si>
  <si>
    <t>&gt;</t>
  </si>
  <si>
    <t>DF</t>
  </si>
  <si>
    <t>ttest</t>
  </si>
  <si>
    <t>LM</t>
  </si>
  <si>
    <t>&gt; 0.05</t>
  </si>
  <si>
    <t>&gt;0.05</t>
  </si>
  <si>
    <t>HM</t>
  </si>
  <si>
    <t>Tstretch</t>
  </si>
  <si>
    <t>Tstress</t>
  </si>
  <si>
    <t>LP</t>
  </si>
  <si>
    <t>P10E2A1</t>
  </si>
  <si>
    <t>R01_5</t>
  </si>
  <si>
    <t>P9E2A1</t>
  </si>
  <si>
    <t>6XAAA1</t>
  </si>
  <si>
    <t>6XTPA1</t>
  </si>
  <si>
    <t>P9E1A1</t>
  </si>
  <si>
    <t>P9C1</t>
  </si>
  <si>
    <t>P10C1</t>
  </si>
  <si>
    <t>4,5,6,10,12,13,18,19,20</t>
  </si>
  <si>
    <t>lalal</t>
  </si>
  <si>
    <t>lala</t>
  </si>
  <si>
    <t>la</t>
  </si>
  <si>
    <t>6CS1</t>
  </si>
  <si>
    <t>6XCS1</t>
  </si>
  <si>
    <t>ctrl</t>
  </si>
  <si>
    <t>xr</t>
  </si>
  <si>
    <t>te</t>
  </si>
  <si>
    <t>xrte</t>
  </si>
  <si>
    <t>exptype</t>
  </si>
  <si>
    <t>_</t>
  </si>
  <si>
    <t>6XC</t>
  </si>
  <si>
    <t>XRTTE</t>
  </si>
  <si>
    <t>group</t>
  </si>
  <si>
    <t>pig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</si>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</sst>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0000"/>
      <name val="Consolas"/>
      <family val="3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1" fontId="3" fillId="0" borderId="0" xfId="0" applyNumberFormat="1" applyFont="1" applyAlignment="1">
      <alignment horizontal="left" vertical="center"/>
    </xf>
    <xf numFmtId="11" fontId="4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5" fillId="2" borderId="0" xfId="0" applyFont="1" applyFill="1"/>
    <xf numFmtId="11" fontId="5" fillId="2" borderId="0" xfId="0" applyNumberFormat="1" applyFont="1" applyFill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2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11" fontId="0" fillId="5" borderId="1" xfId="0" applyNumberFormat="1" applyFill="1" applyBorder="1"/>
    <xf numFmtId="11" fontId="0" fillId="0" borderId="1" xfId="0" applyNumberFormat="1" applyBorder="1"/>
    <xf numFmtId="11" fontId="4" fillId="5" borderId="1" xfId="0" applyNumberFormat="1" applyFont="1" applyFill="1" applyBorder="1"/>
    <xf numFmtId="11" fontId="4" fillId="0" borderId="1" xfId="0" applyNumberFormat="1" applyFont="1" applyBorder="1"/>
    <xf numFmtId="0" fontId="4" fillId="0" borderId="1" xfId="0" applyFont="1" applyBorder="1"/>
    <xf numFmtId="49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11" fontId="5" fillId="0" borderId="0" xfId="0" applyNumberFormat="1" applyFont="1"/>
    <xf numFmtId="11" fontId="10" fillId="0" borderId="0" xfId="0" applyNumberFormat="1" applyFont="1"/>
    <xf numFmtId="11" fontId="11" fillId="0" borderId="0" xfId="0" applyNumberFormat="1" applyFont="1"/>
    <xf numFmtId="0" fontId="12" fillId="0" borderId="0" xfId="0" applyFont="1"/>
    <xf numFmtId="0" fontId="0" fillId="6" borderId="0" xfId="0" applyFill="1"/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5117038483843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5117038483843"/>
        </patternFill>
      </fill>
    </dxf>
  </dxfs>
  <tableStyles count="0" defaultTableStyle="TableStyleMedium2" defaultPivotStyle="PivotStyleLight16"/>
  <colors>
    <mruColors>
      <color rgb="FF00CC00"/>
      <color rgb="FF99F9EB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plus>
            <c:min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(present!$E$25,present!$I$25)</c:f>
              <c:numCache>
                <c:formatCode>0.000</c:formatCode>
                <c:ptCount val="2"/>
                <c:pt idx="0">
                  <c:v>0.86455775000000001</c:v>
                </c:pt>
                <c:pt idx="1">
                  <c:v>0.53380221260000005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1-4AD6-BE0A-6079C724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plus>
            <c:min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(present!$E$21,present!$I$21)</c:f>
              <c:numCache>
                <c:formatCode>0.000</c:formatCode>
                <c:ptCount val="2"/>
                <c:pt idx="0">
                  <c:v>10.125280511666666</c:v>
                </c:pt>
                <c:pt idx="1">
                  <c:v>0.26958738866666665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2-4FDB-9756-2AF0F4EE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plus>
            <c:min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(present!$E$23,present!$I$23)</c:f>
              <c:numCache>
                <c:formatCode>0.000</c:formatCode>
                <c:ptCount val="2"/>
                <c:pt idx="0">
                  <c:v>0.12975148349999999</c:v>
                </c:pt>
                <c:pt idx="1">
                  <c:v>8.9660057560000006E-2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7-4C3C-B16D-F1916E96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4-345A-4B0A-89A6-6904084EF38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5-345A-4B0A-89A6-6904084EF387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(present!$F$20,present!$J$20)</c:f>
                <c:numCache>
                  <c:formatCode>General</c:formatCode>
                  <c:ptCount val="2"/>
                  <c:pt idx="0">
                    <c:v>130.18471528852416</c:v>
                  </c:pt>
                  <c:pt idx="1">
                    <c:v>60.964404928284615</c:v>
                  </c:pt>
                </c:numCache>
              </c:numRef>
            </c:plus>
            <c:minus>
              <c:numRef>
                <c:f>(present!$F$20,present!$J$20)</c:f>
                <c:numCache>
                  <c:formatCode>General</c:formatCode>
                  <c:ptCount val="2"/>
                  <c:pt idx="0">
                    <c:v>130.18471528852416</c:v>
                  </c:pt>
                  <c:pt idx="1">
                    <c:v>60.964404928284615</c:v>
                  </c:pt>
                </c:numCache>
              </c:numRef>
            </c:minus>
          </c:errBars>
          <c:val>
            <c:numRef>
              <c:f>(present!$F$19,present!$J$19)</c:f>
              <c:numCache>
                <c:formatCode>0.000</c:formatCode>
                <c:ptCount val="2"/>
                <c:pt idx="0">
                  <c:v>504.7894803333333</c:v>
                </c:pt>
                <c:pt idx="1">
                  <c:v>326.47146733333335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5A-4B0A-89A6-6904084EF387}"/>
            </c:ext>
          </c:extLst>
        </c:ser>
        <c:ser>
          <c:idx val="2"/>
          <c:order val="1"/>
          <c:tx>
            <c:strRef>
              <c:f>present!$A$21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plus>
            <c:min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(present!$F$21,present!$J$21)</c:f>
              <c:numCache>
                <c:formatCode>0.000</c:formatCode>
                <c:ptCount val="2"/>
                <c:pt idx="0">
                  <c:v>737.72261566666657</c:v>
                </c:pt>
                <c:pt idx="1">
                  <c:v>640.57606499999997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5A-4B0A-89A6-6904084EF387}"/>
            </c:ext>
          </c:extLst>
        </c:ser>
        <c:ser>
          <c:idx val="3"/>
          <c:order val="2"/>
          <c:tx>
            <c:strRef>
              <c:f>present!$A$23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plus>
            <c:min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(present!$F$23,present!$J$23)</c:f>
              <c:numCache>
                <c:formatCode>0.000</c:formatCode>
                <c:ptCount val="2"/>
                <c:pt idx="0">
                  <c:v>297.19296850000001</c:v>
                </c:pt>
                <c:pt idx="1">
                  <c:v>435.85422249999999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5A-4B0A-89A6-6904084EF387}"/>
            </c:ext>
          </c:extLst>
        </c:ser>
        <c:ser>
          <c:idx val="0"/>
          <c:order val="3"/>
          <c:tx>
            <c:strRef>
              <c:f>present!$A$25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plus>
            <c:min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(present!$F$25,present!$J$25)</c:f>
              <c:numCache>
                <c:formatCode>0.000</c:formatCode>
                <c:ptCount val="2"/>
                <c:pt idx="0">
                  <c:v>549.23849399999995</c:v>
                </c:pt>
                <c:pt idx="1">
                  <c:v>592.49473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5A-4B0A-89A6-6904084E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plus>
            <c:min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(present!$F$21,present!$J$21)</c:f>
              <c:numCache>
                <c:formatCode>0.000</c:formatCode>
                <c:ptCount val="2"/>
                <c:pt idx="0">
                  <c:v>737.72261566666657</c:v>
                </c:pt>
                <c:pt idx="1">
                  <c:v>640.57606499999997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D-4006-A49B-B4FA77E9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plus>
            <c:min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(present!$F$23,present!$J$23)</c:f>
              <c:numCache>
                <c:formatCode>0.000</c:formatCode>
                <c:ptCount val="2"/>
                <c:pt idx="0">
                  <c:v>297.19296850000001</c:v>
                </c:pt>
                <c:pt idx="1">
                  <c:v>435.85422249999999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1-4899-915B-958D4947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plus>
            <c:min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(present!$F$25,present!$J$25)</c:f>
              <c:numCache>
                <c:formatCode>0.000</c:formatCode>
                <c:ptCount val="2"/>
                <c:pt idx="0">
                  <c:v>549.23849399999995</c:v>
                </c:pt>
                <c:pt idx="1">
                  <c:v>592.49473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5-49E5-9A56-8AF6A041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(present!$H$20,present!$L$20)</c:f>
                <c:numCache>
                  <c:formatCode>General</c:formatCode>
                  <c:ptCount val="2"/>
                  <c:pt idx="0">
                    <c:v>0.20520777762788481</c:v>
                  </c:pt>
                  <c:pt idx="1">
                    <c:v>0.15392192478447553</c:v>
                  </c:pt>
                </c:numCache>
              </c:numRef>
            </c:plus>
            <c:minus>
              <c:numRef>
                <c:f>(present!$H$20,present!$L$20)</c:f>
                <c:numCache>
                  <c:formatCode>General</c:formatCode>
                  <c:ptCount val="2"/>
                  <c:pt idx="0">
                    <c:v>0.20520777762788481</c:v>
                  </c:pt>
                  <c:pt idx="1">
                    <c:v>0.15392192478447553</c:v>
                  </c:pt>
                </c:numCache>
              </c:numRef>
            </c:minus>
          </c:errBars>
          <c:val>
            <c:numRef>
              <c:f>(present!$H$19,present!$L$19)</c:f>
              <c:numCache>
                <c:formatCode>0.000</c:formatCode>
                <c:ptCount val="2"/>
                <c:pt idx="0">
                  <c:v>1.5536703666666669</c:v>
                </c:pt>
                <c:pt idx="1">
                  <c:v>0.52088708166666664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65-4B04-B4B3-4EF5CBF8E129}"/>
            </c:ext>
          </c:extLst>
        </c:ser>
        <c:ser>
          <c:idx val="2"/>
          <c:order val="1"/>
          <c:tx>
            <c:strRef>
              <c:f>present!$A$21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plus>
            <c:min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(present!$H$21,present!$L$21)</c:f>
              <c:numCache>
                <c:formatCode>0.000</c:formatCode>
                <c:ptCount val="2"/>
                <c:pt idx="0">
                  <c:v>1.0580123450000001</c:v>
                </c:pt>
                <c:pt idx="1">
                  <c:v>1.2650780923333331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65-4B04-B4B3-4EF5CBF8E129}"/>
            </c:ext>
          </c:extLst>
        </c:ser>
        <c:ser>
          <c:idx val="3"/>
          <c:order val="2"/>
          <c:tx>
            <c:strRef>
              <c:f>present!$A$23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plus>
            <c:min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(present!$H$23,present!$L$23)</c:f>
              <c:numCache>
                <c:formatCode>0.000</c:formatCode>
                <c:ptCount val="2"/>
                <c:pt idx="0">
                  <c:v>2.034067897089793</c:v>
                </c:pt>
                <c:pt idx="1">
                  <c:v>1.2156547364999999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F65-4B04-B4B3-4EF5CBF8E129}"/>
            </c:ext>
          </c:extLst>
        </c:ser>
        <c:ser>
          <c:idx val="0"/>
          <c:order val="3"/>
          <c:tx>
            <c:strRef>
              <c:f>present!$A$25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plus>
            <c:min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(present!$H$25,present!$L$25)</c:f>
              <c:numCache>
                <c:formatCode>0.000</c:formatCode>
                <c:ptCount val="2"/>
                <c:pt idx="0">
                  <c:v>0.839549569</c:v>
                </c:pt>
                <c:pt idx="1">
                  <c:v>1.1025561770000001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65-4B04-B4B3-4EF5CBF8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plus>
            <c:min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(present!$H$21,present!$L$21)</c:f>
              <c:numCache>
                <c:formatCode>0.000</c:formatCode>
                <c:ptCount val="2"/>
                <c:pt idx="0">
                  <c:v>1.0580123450000001</c:v>
                </c:pt>
                <c:pt idx="1">
                  <c:v>1.2650780923333331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3-430F-B602-F4954120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plus>
            <c:min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(present!$H$23,present!$L$23)</c:f>
              <c:numCache>
                <c:formatCode>0.000</c:formatCode>
                <c:ptCount val="2"/>
                <c:pt idx="0">
                  <c:v>2.034067897089793</c:v>
                </c:pt>
                <c:pt idx="1">
                  <c:v>1.2156547364999999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63-4A81-B3CE-E06EC012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plus>
            <c:min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(present!$H$25,present!$L$25)</c:f>
              <c:numCache>
                <c:formatCode>0.000</c:formatCode>
                <c:ptCount val="2"/>
                <c:pt idx="0">
                  <c:v>0.839549569</c:v>
                </c:pt>
                <c:pt idx="1">
                  <c:v>1.1025561770000001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B-44D6-8B2E-DF2655D2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6E-445F-A2FB-9F30CAAE34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6E-445F-A2FB-9F30CAAE34AC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(present!$F$17,present!$J$17)</c:f>
                <c:numCache>
                  <c:formatCode>General</c:formatCode>
                  <c:ptCount val="2"/>
                  <c:pt idx="0">
                    <c:v>70.271418382634394</c:v>
                  </c:pt>
                  <c:pt idx="1">
                    <c:v>81.248245784246279</c:v>
                  </c:pt>
                </c:numCache>
              </c:numRef>
            </c:plus>
            <c:minus>
              <c:numRef>
                <c:f>(present!$F$17,present!$J$17)</c:f>
                <c:numCache>
                  <c:formatCode>General</c:formatCode>
                  <c:ptCount val="2"/>
                  <c:pt idx="0">
                    <c:v>70.271418382634394</c:v>
                  </c:pt>
                  <c:pt idx="1">
                    <c:v>81.248245784246279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(present!$F$15,present!$J$15)</c:f>
              <c:numCache>
                <c:formatCode>0.00</c:formatCode>
                <c:ptCount val="2"/>
                <c:pt idx="0">
                  <c:v>542.69433700000002</c:v>
                </c:pt>
                <c:pt idx="1">
                  <c:v>504.57593018181819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8F8-8AD3-86651C43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(present!$G$20,present!$K$20)</c:f>
                <c:numCache>
                  <c:formatCode>General</c:formatCode>
                  <c:ptCount val="2"/>
                  <c:pt idx="0">
                    <c:v>1.3935397159284744E-2</c:v>
                  </c:pt>
                  <c:pt idx="1">
                    <c:v>1.105989422506704E-2</c:v>
                  </c:pt>
                </c:numCache>
              </c:numRef>
            </c:plus>
            <c:minus>
              <c:numRef>
                <c:f>(present!$G$20,present!$K$20)</c:f>
                <c:numCache>
                  <c:formatCode>General</c:formatCode>
                  <c:ptCount val="2"/>
                  <c:pt idx="0">
                    <c:v>1.3935397159284744E-2</c:v>
                  </c:pt>
                  <c:pt idx="1">
                    <c:v>1.105989422506704E-2</c:v>
                  </c:pt>
                </c:numCache>
              </c:numRef>
            </c:minus>
          </c:errBars>
          <c:val>
            <c:numRef>
              <c:f>(present!$G$19,present!$K$19)</c:f>
              <c:numCache>
                <c:formatCode>0.000</c:formatCode>
                <c:ptCount val="2"/>
                <c:pt idx="0">
                  <c:v>0.17411119933333333</c:v>
                </c:pt>
                <c:pt idx="1">
                  <c:v>0.19494527533333331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A0-4583-A9AA-79B4538DE0B6}"/>
            </c:ext>
          </c:extLst>
        </c:ser>
        <c:ser>
          <c:idx val="2"/>
          <c:order val="1"/>
          <c:tx>
            <c:strRef>
              <c:f>present!$A$21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plus>
            <c:min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(present!$G$21,present!$K$21)</c:f>
              <c:numCache>
                <c:formatCode>0.000</c:formatCode>
                <c:ptCount val="2"/>
                <c:pt idx="0">
                  <c:v>0.24565959500000001</c:v>
                </c:pt>
                <c:pt idx="1">
                  <c:v>0.11952508166666669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A0-4583-A9AA-79B4538DE0B6}"/>
            </c:ext>
          </c:extLst>
        </c:ser>
        <c:ser>
          <c:idx val="3"/>
          <c:order val="2"/>
          <c:tx>
            <c:strRef>
              <c:f>present!$A$23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plus>
            <c:min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(present!$G$23,present!$K$23)</c:f>
              <c:numCache>
                <c:formatCode>0.000</c:formatCode>
                <c:ptCount val="2"/>
                <c:pt idx="0">
                  <c:v>7.8500127146250001E-2</c:v>
                </c:pt>
                <c:pt idx="1">
                  <c:v>1.3668164825000001E-2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A0-4583-A9AA-79B4538DE0B6}"/>
            </c:ext>
          </c:extLst>
        </c:ser>
        <c:ser>
          <c:idx val="0"/>
          <c:order val="3"/>
          <c:tx>
            <c:strRef>
              <c:f>present!$A$25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plus>
            <c:min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(present!$G$25,present!$K$25)</c:f>
              <c:numCache>
                <c:formatCode>0.000</c:formatCode>
                <c:ptCount val="2"/>
                <c:pt idx="0">
                  <c:v>0.18091784966666666</c:v>
                </c:pt>
                <c:pt idx="1">
                  <c:v>4.0128700736666668E-2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A0-4583-A9AA-79B4538D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plus>
            <c:min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(present!$G$21,present!$K$21)</c:f>
              <c:numCache>
                <c:formatCode>0.000</c:formatCode>
                <c:ptCount val="2"/>
                <c:pt idx="0">
                  <c:v>0.24565959500000001</c:v>
                </c:pt>
                <c:pt idx="1">
                  <c:v>0.11952508166666669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1-45F1-B33B-E17767A7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plus>
            <c:min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(present!$G$23,present!$K$23)</c:f>
              <c:numCache>
                <c:formatCode>0.000</c:formatCode>
                <c:ptCount val="2"/>
                <c:pt idx="0">
                  <c:v>7.8500127146250001E-2</c:v>
                </c:pt>
                <c:pt idx="1">
                  <c:v>1.3668164825000001E-2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0-474A-8D8D-61BCACA1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plus>
            <c:min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(present!$G$25,present!$K$25)</c:f>
              <c:numCache>
                <c:formatCode>0.000</c:formatCode>
                <c:ptCount val="2"/>
                <c:pt idx="0">
                  <c:v>0.18091784966666666</c:v>
                </c:pt>
                <c:pt idx="1">
                  <c:v>4.0128700736666668E-2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3-44B6-9EFC-78CD82B9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(present!$T$20,present!$U$20)</c:f>
                <c:numCache>
                  <c:formatCode>General</c:formatCode>
                  <c:ptCount val="2"/>
                  <c:pt idx="0">
                    <c:v>0.19934072369048317</c:v>
                  </c:pt>
                  <c:pt idx="1">
                    <c:v>4.0693844269892701</c:v>
                  </c:pt>
                </c:numCache>
              </c:numRef>
            </c:plus>
            <c:minus>
              <c:numRef>
                <c:f>(present!$T$20,present!$U$20)</c:f>
                <c:numCache>
                  <c:formatCode>General</c:formatCode>
                  <c:ptCount val="2"/>
                  <c:pt idx="0">
                    <c:v>0.19934072369048317</c:v>
                  </c:pt>
                  <c:pt idx="1">
                    <c:v>4.0693844269892701</c:v>
                  </c:pt>
                </c:numCache>
              </c:numRef>
            </c:minus>
          </c:errBars>
          <c:val>
            <c:numRef>
              <c:f>(present!$T$19,present!$U$19)</c:f>
              <c:numCache>
                <c:formatCode>0.000</c:formatCode>
                <c:ptCount val="2"/>
                <c:pt idx="0">
                  <c:v>0.55014309266706374</c:v>
                </c:pt>
                <c:pt idx="1">
                  <c:v>15.819051157192257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EE-4226-B13B-6D15ECEF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(present!$P$22,present!$Q$22)</c:f>
                <c:numCache>
                  <c:formatCode>General</c:formatCode>
                  <c:ptCount val="2"/>
                  <c:pt idx="0">
                    <c:v>8.9147115859711121E-2</c:v>
                  </c:pt>
                  <c:pt idx="1">
                    <c:v>26.396258474497497</c:v>
                  </c:pt>
                </c:numCache>
              </c:numRef>
            </c:plus>
            <c:minus>
              <c:numRef>
                <c:f>(present!$P$22,present!$Q$22)</c:f>
                <c:numCache>
                  <c:formatCode>General</c:formatCode>
                  <c:ptCount val="2"/>
                  <c:pt idx="0">
                    <c:v>8.9147115859711121E-2</c:v>
                  </c:pt>
                  <c:pt idx="1">
                    <c:v>26.396258474497497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(present!$P$21,present!$Q$21)</c:f>
              <c:numCache>
                <c:formatCode>0.000</c:formatCode>
                <c:ptCount val="2"/>
                <c:pt idx="0">
                  <c:v>0.51412795128702304</c:v>
                </c:pt>
                <c:pt idx="1">
                  <c:v>-33.962696154705419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5B6-B03B-9E526E71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(present!$P$24,present!$Q$24)</c:f>
                <c:numCache>
                  <c:formatCode>General</c:formatCode>
                  <c:ptCount val="2"/>
                  <c:pt idx="0">
                    <c:v>0.26792148303385471</c:v>
                  </c:pt>
                  <c:pt idx="1">
                    <c:v>3.259361476051271</c:v>
                  </c:pt>
                </c:numCache>
              </c:numRef>
            </c:plus>
            <c:minus>
              <c:numRef>
                <c:f>(present!$P$24,present!$Q$24)</c:f>
                <c:numCache>
                  <c:formatCode>General</c:formatCode>
                  <c:ptCount val="2"/>
                  <c:pt idx="0">
                    <c:v>0.26792148303385471</c:v>
                  </c:pt>
                  <c:pt idx="1">
                    <c:v>3.259361476051271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(present!$P$23,present!$Q$23)</c:f>
              <c:numCache>
                <c:formatCode>0.000</c:formatCode>
                <c:ptCount val="2"/>
                <c:pt idx="0">
                  <c:v>0.48273021377086145</c:v>
                </c:pt>
                <c:pt idx="1">
                  <c:v>12.472939814239181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1-4357-B0E1-D56A4EB5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(present!$P$26,present!$Q$26)</c:f>
                <c:numCache>
                  <c:formatCode>General</c:formatCode>
                  <c:ptCount val="2"/>
                  <c:pt idx="0">
                    <c:v>8.5710044023149079E-2</c:v>
                  </c:pt>
                  <c:pt idx="1">
                    <c:v>3.8453517346474033</c:v>
                  </c:pt>
                </c:numCache>
              </c:numRef>
            </c:plus>
            <c:minus>
              <c:numRef>
                <c:f>(present!$P$26,present!$Q$26)</c:f>
                <c:numCache>
                  <c:formatCode>General</c:formatCode>
                  <c:ptCount val="2"/>
                  <c:pt idx="0">
                    <c:v>8.5710044023149079E-2</c:v>
                  </c:pt>
                  <c:pt idx="1">
                    <c:v>3.8453517346474033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(present!$P$25,present!$Q$25)</c:f>
              <c:numCache>
                <c:formatCode>0.000</c:formatCode>
                <c:ptCount val="2"/>
                <c:pt idx="0">
                  <c:v>0.58613123746988871</c:v>
                </c:pt>
                <c:pt idx="1">
                  <c:v>9.5666152973343781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E-4C92-9A6C-6AD8DFB5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(present!$T$22,present!$U$22)</c:f>
                <c:numCache>
                  <c:formatCode>General</c:formatCode>
                  <c:ptCount val="2"/>
                  <c:pt idx="0">
                    <c:v>0.11233057707929726</c:v>
                  </c:pt>
                  <c:pt idx="1">
                    <c:v>1.5917846081364788</c:v>
                  </c:pt>
                </c:numCache>
              </c:numRef>
            </c:plus>
            <c:minus>
              <c:numRef>
                <c:f>(present!$T$22,present!$U$22)</c:f>
                <c:numCache>
                  <c:formatCode>General</c:formatCode>
                  <c:ptCount val="2"/>
                  <c:pt idx="0">
                    <c:v>0.11233057707929726</c:v>
                  </c:pt>
                  <c:pt idx="1">
                    <c:v>1.5917846081364788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(present!$T$21,present!$U$21)</c:f>
              <c:numCache>
                <c:formatCode>0.000</c:formatCode>
                <c:ptCount val="2"/>
                <c:pt idx="0">
                  <c:v>0.57627572681789374</c:v>
                </c:pt>
                <c:pt idx="1">
                  <c:v>22.637300969245359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F5C-B9A3-AE0C40C4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(present!$T$24,present!$U$24)</c:f>
                <c:numCache>
                  <c:formatCode>General</c:formatCode>
                  <c:ptCount val="2"/>
                  <c:pt idx="0">
                    <c:v>0.21878957240669947</c:v>
                  </c:pt>
                  <c:pt idx="1">
                    <c:v>10.790206987695926</c:v>
                  </c:pt>
                </c:numCache>
              </c:numRef>
            </c:plus>
            <c:minus>
              <c:numRef>
                <c:f>(present!$T$24,present!$U$24)</c:f>
                <c:numCache>
                  <c:formatCode>General</c:formatCode>
                  <c:ptCount val="2"/>
                  <c:pt idx="0">
                    <c:v>0.21878957240669947</c:v>
                  </c:pt>
                  <c:pt idx="1">
                    <c:v>10.790206987695926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(present!$T$23,present!$U$23)</c:f>
              <c:numCache>
                <c:formatCode>0.000</c:formatCode>
                <c:ptCount val="2"/>
                <c:pt idx="0">
                  <c:v>0.42604584469007456</c:v>
                </c:pt>
                <c:pt idx="1">
                  <c:v>36.476601998323261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671-82B9-F4B13ECE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4-4A07-9313-26330532E7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4-4A07-9313-26330532E7A6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(present!$G$17,present!$K$17)</c:f>
                <c:numCache>
                  <c:formatCode>General</c:formatCode>
                  <c:ptCount val="2"/>
                  <c:pt idx="0">
                    <c:v>2.3857985748569191E-2</c:v>
                  </c:pt>
                  <c:pt idx="1">
                    <c:v>2.3042992763081756E-2</c:v>
                  </c:pt>
                </c:numCache>
              </c:numRef>
            </c:plus>
            <c:minus>
              <c:numRef>
                <c:f>(present!$G$17,present!$K$17)</c:f>
                <c:numCache>
                  <c:formatCode>General</c:formatCode>
                  <c:ptCount val="2"/>
                  <c:pt idx="0">
                    <c:v>2.3857985748569191E-2</c:v>
                  </c:pt>
                  <c:pt idx="1">
                    <c:v>2.3042992763081756E-2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(present!$G$15,present!$K$15)</c:f>
              <c:numCache>
                <c:formatCode>0.00</c:formatCode>
                <c:ptCount val="2"/>
                <c:pt idx="0">
                  <c:v>0.17809692602659091</c:v>
                </c:pt>
                <c:pt idx="1">
                  <c:v>9.9193954805454551E-2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7-4CE1-A24D-6B21D134D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(present!$T$26,present!$U$26)</c:f>
                <c:numCache>
                  <c:formatCode>General</c:formatCode>
                  <c:ptCount val="2"/>
                  <c:pt idx="0">
                    <c:v>0.79274982077354716</c:v>
                  </c:pt>
                  <c:pt idx="1">
                    <c:v>9.3949505571931127</c:v>
                  </c:pt>
                </c:numCache>
              </c:numRef>
            </c:plus>
            <c:minus>
              <c:numRef>
                <c:f>(present!$T$26,present!$U$26)</c:f>
                <c:numCache>
                  <c:formatCode>General</c:formatCode>
                  <c:ptCount val="2"/>
                  <c:pt idx="0">
                    <c:v>0.79274982077354716</c:v>
                  </c:pt>
                  <c:pt idx="1">
                    <c:v>9.3949505571931127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present!$T$25:$U$25</c:f>
              <c:numCache>
                <c:formatCode>0.000</c:formatCode>
                <c:ptCount val="2"/>
                <c:pt idx="0">
                  <c:v>2.4604937179638831</c:v>
                </c:pt>
                <c:pt idx="1">
                  <c:v>25.426153154182334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5-4DA2-B0CA-D0C96F84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plus>
            <c:min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(present!$N$21,present!$R$21)</c:f>
              <c:numCache>
                <c:formatCode>0.000</c:formatCode>
                <c:ptCount val="2"/>
                <c:pt idx="0">
                  <c:v>1.013169117936185</c:v>
                </c:pt>
                <c:pt idx="1">
                  <c:v>1.0207768966461217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5-435D-B5F3-0B1898B7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plus>
            <c:min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(present!$N$23,present!$R$23)</c:f>
              <c:numCache>
                <c:formatCode>0.000</c:formatCode>
                <c:ptCount val="2"/>
                <c:pt idx="0">
                  <c:v>1.0225144030113935</c:v>
                </c:pt>
                <c:pt idx="1">
                  <c:v>1.0103370305524866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8-4559-8D05-13BE145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plus>
            <c:min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(present!$N$25,present!$R$25)</c:f>
              <c:numCache>
                <c:formatCode>0.000</c:formatCode>
                <c:ptCount val="2"/>
                <c:pt idx="0">
                  <c:v>1.0086536150712015</c:v>
                </c:pt>
                <c:pt idx="1">
                  <c:v>1.0127094897410507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E-4822-B499-C96408B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plus>
            <c:min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(present!$O$21,present!$S$21)</c:f>
              <c:numCache>
                <c:formatCode>0.000</c:formatCode>
                <c:ptCount val="2"/>
                <c:pt idx="0">
                  <c:v>6.7810528659295278E-3</c:v>
                </c:pt>
                <c:pt idx="1">
                  <c:v>1.2475798333188404E-2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878-8169-88F8B876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plus>
            <c:min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(present!$O$23,present!$S$23)</c:f>
              <c:numCache>
                <c:formatCode>0.000</c:formatCode>
                <c:ptCount val="2"/>
                <c:pt idx="0">
                  <c:v>9.024177126052255E-3</c:v>
                </c:pt>
                <c:pt idx="1">
                  <c:v>3.9471378569260482E-3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3BF-A109-6A4813CA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plus>
            <c:min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(present!$O$25,present!$S$25)</c:f>
              <c:numCache>
                <c:formatCode>0.000</c:formatCode>
                <c:ptCount val="2"/>
                <c:pt idx="0">
                  <c:v>5.5984632524697722E-3</c:v>
                </c:pt>
                <c:pt idx="1">
                  <c:v>2.5750430824263298E-2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E-435D-9801-9AB51BFC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05-4BF7-9373-4008CA76B3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05-4BF7-9373-4008CA76B3BF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(present!$H$17,present!$L$17)</c:f>
                <c:numCache>
                  <c:formatCode>General</c:formatCode>
                  <c:ptCount val="2"/>
                  <c:pt idx="0">
                    <c:v>0.19321578194652458</c:v>
                  </c:pt>
                  <c:pt idx="1">
                    <c:v>0.18682714566552158</c:v>
                  </c:pt>
                </c:numCache>
              </c:numRef>
            </c:plus>
            <c:minus>
              <c:numRef>
                <c:f>(present!$H$17,present!$L$17)</c:f>
                <c:numCache>
                  <c:formatCode>General</c:formatCode>
                  <c:ptCount val="2"/>
                  <c:pt idx="0">
                    <c:v>0.19321578194652458</c:v>
                  </c:pt>
                  <c:pt idx="1">
                    <c:v>0.18682714566552158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(present!$H$15,present!$L$15)</c:f>
              <c:numCache>
                <c:formatCode>0.00</c:formatCode>
                <c:ptCount val="2"/>
                <c:pt idx="0">
                  <c:v>1.3110756941981443</c:v>
                </c:pt>
                <c:pt idx="1">
                  <c:v>1.0088066841818182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F-4543-A9EB-BA64A2F5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present!$T$1</c:f>
              <c:strCache>
                <c:ptCount val="1"/>
                <c:pt idx="0">
                  <c:v>X direction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(present!$P$17,present!$Q$17)</c:f>
                <c:numCache>
                  <c:formatCode>General</c:formatCode>
                  <c:ptCount val="2"/>
                  <c:pt idx="0">
                    <c:v>6.7261684141390346E-2</c:v>
                  </c:pt>
                  <c:pt idx="1">
                    <c:v>10.355682074512822</c:v>
                  </c:pt>
                </c:numCache>
              </c:numRef>
            </c:plus>
            <c:minus>
              <c:numRef>
                <c:f>(present!$P$17,present!$Q$17)</c:f>
                <c:numCache>
                  <c:formatCode>General</c:formatCode>
                  <c:ptCount val="2"/>
                  <c:pt idx="0">
                    <c:v>6.7261684141390346E-2</c:v>
                  </c:pt>
                  <c:pt idx="1">
                    <c:v>10.355682074512822</c:v>
                  </c:pt>
                </c:numCache>
              </c:numRef>
            </c:minus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(present!$P$15,present!$Q$15)</c:f>
              <c:numCache>
                <c:formatCode>0.00</c:formatCode>
                <c:ptCount val="2"/>
                <c:pt idx="0">
                  <c:v>0.48682885073440807</c:v>
                </c:pt>
                <c:pt idx="1">
                  <c:v>-1.7803906982799427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3C-4C8C-8465-911B0C690CDC}"/>
            </c:ext>
          </c:extLst>
        </c:ser>
        <c:ser>
          <c:idx val="0"/>
          <c:order val="1"/>
          <c:tx>
            <c:strRef>
              <c:f>present!$U$1</c:f>
              <c:strCache>
                <c:ptCount val="1"/>
                <c:pt idx="0">
                  <c:v>Y direction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(present!$T$17,present!$U$17)</c:f>
                <c:numCache>
                  <c:formatCode>General</c:formatCode>
                  <c:ptCount val="2"/>
                  <c:pt idx="0">
                    <c:v>0.34603194684830552</c:v>
                  </c:pt>
                  <c:pt idx="1">
                    <c:v>4.0202975580515465</c:v>
                  </c:pt>
                </c:numCache>
              </c:numRef>
            </c:plus>
            <c:minus>
              <c:numRef>
                <c:f>(present!$T$17,present!$U$17)</c:f>
                <c:numCache>
                  <c:formatCode>General</c:formatCode>
                  <c:ptCount val="2"/>
                  <c:pt idx="0">
                    <c:v>0.34603194684830552</c:v>
                  </c:pt>
                  <c:pt idx="1">
                    <c:v>4.0202975580515465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(present!$T$15,present!$U$15)</c:f>
              <c:numCache>
                <c:formatCode>0.00</c:formatCode>
                <c:ptCount val="2"/>
                <c:pt idx="0">
                  <c:v>1.0557117547024246</c:v>
                </c:pt>
                <c:pt idx="1">
                  <c:v>24.054610894409674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3C-4C8C-8465-911B0C69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(present!$P$20,present!$Q$20)</c:f>
                <c:numCache>
                  <c:formatCode>General</c:formatCode>
                  <c:ptCount val="2"/>
                  <c:pt idx="0">
                    <c:v>7.0528892961595299E-2</c:v>
                  </c:pt>
                  <c:pt idx="1">
                    <c:v>15.792490936948735</c:v>
                  </c:pt>
                </c:numCache>
              </c:numRef>
            </c:plus>
            <c:minus>
              <c:numRef>
                <c:f>(present!$P$20,present!$Q$20)</c:f>
                <c:numCache>
                  <c:formatCode>General</c:formatCode>
                  <c:ptCount val="2"/>
                  <c:pt idx="0">
                    <c:v>7.0528892961595299E-2</c:v>
                  </c:pt>
                  <c:pt idx="1">
                    <c:v>15.792490936948735</c:v>
                  </c:pt>
                </c:numCache>
              </c:numRef>
            </c:minus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(present!$P$19,present!$Q$19)</c:f>
              <c:numCache>
                <c:formatCode>0.000</c:formatCode>
                <c:ptCount val="2"/>
                <c:pt idx="0">
                  <c:v>0.36295978808867657</c:v>
                </c:pt>
                <c:pt idx="1">
                  <c:v>9.552688420851803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AE-4BD2-AE10-11AF0074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(present!$O$20,present!$S$20)</c:f>
                <c:numCache>
                  <c:formatCode>General</c:formatCode>
                  <c:ptCount val="2"/>
                  <c:pt idx="0">
                    <c:v>7.2431415113214661E-4</c:v>
                  </c:pt>
                  <c:pt idx="1">
                    <c:v>5.0409242154028653E-3</c:v>
                  </c:pt>
                </c:numCache>
              </c:numRef>
            </c:plus>
            <c:minus>
              <c:numRef>
                <c:f>(present!$O$20,present!$S$20)</c:f>
                <c:numCache>
                  <c:formatCode>General</c:formatCode>
                  <c:ptCount val="2"/>
                  <c:pt idx="0">
                    <c:v>7.2431415113214661E-4</c:v>
                  </c:pt>
                  <c:pt idx="1">
                    <c:v>5.0409242154028653E-3</c:v>
                  </c:pt>
                </c:numCache>
              </c:numRef>
            </c:minus>
          </c:errBars>
          <c:val>
            <c:numRef>
              <c:f>(present!$O$19,present!$S$19)</c:f>
              <c:numCache>
                <c:formatCode>0.000</c:formatCode>
                <c:ptCount val="2"/>
                <c:pt idx="0">
                  <c:v>7.6246416270294255E-3</c:v>
                </c:pt>
                <c:pt idx="1">
                  <c:v>1.5930405061705389E-2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D-4A19-A304-9EEE82D00DFE}"/>
            </c:ext>
          </c:extLst>
        </c:ser>
        <c:ser>
          <c:idx val="2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plus>
            <c:min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(present!$O$21,present!$S$21)</c:f>
              <c:numCache>
                <c:formatCode>0.000</c:formatCode>
                <c:ptCount val="2"/>
                <c:pt idx="0">
                  <c:v>6.7810528659295278E-3</c:v>
                </c:pt>
                <c:pt idx="1">
                  <c:v>1.2475798333188404E-2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D-4A19-A304-9EEE82D00DFE}"/>
            </c:ext>
          </c:extLst>
        </c:ser>
        <c:ser>
          <c:idx val="3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plus>
            <c:min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(present!$O$23,present!$S$23)</c:f>
              <c:numCache>
                <c:formatCode>0.000</c:formatCode>
                <c:ptCount val="2"/>
                <c:pt idx="0">
                  <c:v>9.024177126052255E-3</c:v>
                </c:pt>
                <c:pt idx="1">
                  <c:v>3.9471378569260482E-3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D-4A19-A304-9EEE82D00DFE}"/>
            </c:ext>
          </c:extLst>
        </c:ser>
        <c:ser>
          <c:idx val="0"/>
          <c:order val="3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plus>
            <c:min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(present!$O$25,present!$S$25)</c:f>
              <c:numCache>
                <c:formatCode>0.000</c:formatCode>
                <c:ptCount val="2"/>
                <c:pt idx="0">
                  <c:v>5.5984632524697722E-3</c:v>
                </c:pt>
                <c:pt idx="1">
                  <c:v>2.5750430824263298E-2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D-4A19-A304-9EEE82D0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(present!$N$20,present!$R$20)</c:f>
                <c:numCache>
                  <c:formatCode>General</c:formatCode>
                  <c:ptCount val="2"/>
                  <c:pt idx="0">
                    <c:v>1.7602989206223268E-3</c:v>
                  </c:pt>
                  <c:pt idx="1">
                    <c:v>5.6921532361613909E-3</c:v>
                  </c:pt>
                </c:numCache>
              </c:numRef>
            </c:plus>
            <c:minus>
              <c:numRef>
                <c:f>(present!$N$20,present!$R$20)</c:f>
                <c:numCache>
                  <c:formatCode>General</c:formatCode>
                  <c:ptCount val="2"/>
                  <c:pt idx="0">
                    <c:v>1.7602989206223268E-3</c:v>
                  </c:pt>
                  <c:pt idx="1">
                    <c:v>5.6921532361613909E-3</c:v>
                  </c:pt>
                </c:numCache>
              </c:numRef>
            </c:minus>
          </c:errBars>
          <c:val>
            <c:numRef>
              <c:f>(present!$N$19,present!$R$19)</c:f>
              <c:numCache>
                <c:formatCode>0.000</c:formatCode>
                <c:ptCount val="2"/>
                <c:pt idx="0">
                  <c:v>1.0210801863544703</c:v>
                </c:pt>
                <c:pt idx="1">
                  <c:v>1.0286099795251027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CE-4DDA-9F71-2BB5D1DAEED9}"/>
            </c:ext>
          </c:extLst>
        </c:ser>
        <c:ser>
          <c:idx val="2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plus>
            <c:min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(present!$N$21,present!$R$21)</c:f>
              <c:numCache>
                <c:formatCode>0.000</c:formatCode>
                <c:ptCount val="2"/>
                <c:pt idx="0">
                  <c:v>1.013169117936185</c:v>
                </c:pt>
                <c:pt idx="1">
                  <c:v>1.0207768966461217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CE-4DDA-9F71-2BB5D1DAEED9}"/>
            </c:ext>
          </c:extLst>
        </c:ser>
        <c:ser>
          <c:idx val="3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plus>
            <c:min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(present!$N$23,present!$R$23)</c:f>
              <c:numCache>
                <c:formatCode>0.000</c:formatCode>
                <c:ptCount val="2"/>
                <c:pt idx="0">
                  <c:v>1.0225144030113935</c:v>
                </c:pt>
                <c:pt idx="1">
                  <c:v>1.0103370305524866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E-4DDA-9F71-2BB5D1DAEED9}"/>
            </c:ext>
          </c:extLst>
        </c:ser>
        <c:ser>
          <c:idx val="0"/>
          <c:order val="3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plus>
            <c:min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(present!$N$25,present!$R$25)</c:f>
              <c:numCache>
                <c:formatCode>0.000</c:formatCode>
                <c:ptCount val="2"/>
                <c:pt idx="0">
                  <c:v>1.0086536150712015</c:v>
                </c:pt>
                <c:pt idx="1">
                  <c:v>1.0127094897410507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CE-4DDA-9F71-2BB5D1DA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(present!$E$20,present!$I$20)</c:f>
                <c:numCache>
                  <c:formatCode>General</c:formatCode>
                  <c:ptCount val="2"/>
                  <c:pt idx="0">
                    <c:v>0.10944105753185809</c:v>
                  </c:pt>
                  <c:pt idx="1">
                    <c:v>0.16166651389965753</c:v>
                  </c:pt>
                </c:numCache>
              </c:numRef>
            </c:plus>
            <c:minus>
              <c:numRef>
                <c:f>(present!$E$20,present!$I$20)</c:f>
                <c:numCache>
                  <c:formatCode>General</c:formatCode>
                  <c:ptCount val="2"/>
                  <c:pt idx="0">
                    <c:v>0.10944105753185809</c:v>
                  </c:pt>
                  <c:pt idx="1">
                    <c:v>0.16166651389965753</c:v>
                  </c:pt>
                </c:numCache>
              </c:numRef>
            </c:minus>
          </c:errBars>
          <c:val>
            <c:numRef>
              <c:f>(present!$E$19,present!$I$19)</c:f>
              <c:numCache>
                <c:formatCode>0.000</c:formatCode>
                <c:ptCount val="2"/>
                <c:pt idx="0">
                  <c:v>0.32431095123333331</c:v>
                </c:pt>
                <c:pt idx="1">
                  <c:v>0.40977071366666667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4-45CC-9AD8-AA81222C842C}"/>
            </c:ext>
          </c:extLst>
        </c:ser>
        <c:ser>
          <c:idx val="2"/>
          <c:order val="1"/>
          <c:tx>
            <c:strRef>
              <c:f>present!$A$6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plus>
            <c:min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(present!$E$21,present!$I$21)</c:f>
              <c:numCache>
                <c:formatCode>0.000</c:formatCode>
                <c:ptCount val="2"/>
                <c:pt idx="0">
                  <c:v>10.125280511666666</c:v>
                </c:pt>
                <c:pt idx="1">
                  <c:v>0.26958738866666665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4-45CC-9AD8-AA81222C842C}"/>
            </c:ext>
          </c:extLst>
        </c:ser>
        <c:ser>
          <c:idx val="3"/>
          <c:order val="2"/>
          <c:tx>
            <c:strRef>
              <c:f>present!$A$9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plus>
            <c:min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(present!$E$23,present!$I$23)</c:f>
              <c:numCache>
                <c:formatCode>0.000</c:formatCode>
                <c:ptCount val="2"/>
                <c:pt idx="0">
                  <c:v>0.12975148349999999</c:v>
                </c:pt>
                <c:pt idx="1">
                  <c:v>8.9660057560000006E-2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4-45CC-9AD8-AA81222C842C}"/>
            </c:ext>
          </c:extLst>
        </c:ser>
        <c:ser>
          <c:idx val="0"/>
          <c:order val="3"/>
          <c:tx>
            <c:strRef>
              <c:f>present!$A$11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plus>
            <c:min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(present!$E$25,present!$I$25)</c:f>
              <c:numCache>
                <c:formatCode>0.000</c:formatCode>
                <c:ptCount val="2"/>
                <c:pt idx="0">
                  <c:v>0.86455775000000001</c:v>
                </c:pt>
                <c:pt idx="1">
                  <c:v>0.53380221260000005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4-45CC-9AD8-AA81222C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image" Target="../media/image2.png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4.xml"/><Relationship Id="rId9" Type="http://schemas.openxmlformats.org/officeDocument/2006/relationships/image" Target="../media/image6.png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44</xdr:row>
      <xdr:rowOff>91003</xdr:rowOff>
    </xdr:from>
    <xdr:to>
      <xdr:col>11</xdr:col>
      <xdr:colOff>481944</xdr:colOff>
      <xdr:row>47</xdr:row>
      <xdr:rowOff>171761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497F1EF-6A54-4FE6-A805-5548285F87DE}"/>
            </a:ext>
          </a:extLst>
        </xdr:cNvPr>
        <xdr:cNvSpPr txBox="1"/>
      </xdr:nvSpPr>
      <xdr:spPr>
        <a:xfrm>
          <a:off x="5875020" y="8137723"/>
          <a:ext cx="1114404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Right Anterior (12AE1):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6</xdr:col>
      <xdr:colOff>533400</xdr:colOff>
      <xdr:row>45</xdr:row>
      <xdr:rowOff>83965</xdr:rowOff>
    </xdr:from>
    <xdr:to>
      <xdr:col>8</xdr:col>
      <xdr:colOff>412240</xdr:colOff>
      <xdr:row>48</xdr:row>
      <xdr:rowOff>164722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4C223861-C889-4748-9755-A4043D3F6817}"/>
            </a:ext>
          </a:extLst>
        </xdr:cNvPr>
        <xdr:cNvSpPr txBox="1"/>
      </xdr:nvSpPr>
      <xdr:spPr>
        <a:xfrm>
          <a:off x="3977640" y="8313565"/>
          <a:ext cx="1113280" cy="6293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Right Posterior (12AE2):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>
    <xdr:from>
      <xdr:col>0</xdr:col>
      <xdr:colOff>0</xdr:colOff>
      <xdr:row>44</xdr:row>
      <xdr:rowOff>101828</xdr:rowOff>
    </xdr:from>
    <xdr:to>
      <xdr:col>3</xdr:col>
      <xdr:colOff>325126</xdr:colOff>
      <xdr:row>47</xdr:row>
      <xdr:rowOff>174966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FF3A55FD-9531-4F31-9D42-0FD401A233B6}"/>
            </a:ext>
          </a:extLst>
        </xdr:cNvPr>
        <xdr:cNvSpPr txBox="1"/>
      </xdr:nvSpPr>
      <xdr:spPr>
        <a:xfrm>
          <a:off x="0" y="8148548"/>
          <a:ext cx="2085346" cy="6217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Left Anterior (12BE1):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0</xdr:col>
      <xdr:colOff>0</xdr:colOff>
      <xdr:row>50</xdr:row>
      <xdr:rowOff>50772</xdr:rowOff>
    </xdr:from>
    <xdr:to>
      <xdr:col>4</xdr:col>
      <xdr:colOff>0</xdr:colOff>
      <xdr:row>53</xdr:row>
      <xdr:rowOff>131530</xdr:rowOff>
    </xdr:to>
    <xdr:sp macro="" textlink="">
      <xdr:nvSpPr>
        <xdr:cNvPr id="5" name="TextBox 7">
          <a:extLst>
            <a:ext uri="{FF2B5EF4-FFF2-40B4-BE49-F238E27FC236}">
              <a16:creationId xmlns:a16="http://schemas.microsoft.com/office/drawing/2014/main" id="{283F073F-3344-4049-846B-C81BF7A8A606}"/>
            </a:ext>
          </a:extLst>
        </xdr:cNvPr>
        <xdr:cNvSpPr txBox="1"/>
      </xdr:nvSpPr>
      <xdr:spPr>
        <a:xfrm>
          <a:off x="0" y="9194772"/>
          <a:ext cx="2225040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Left Posterior (12BE2):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 editAs="oneCell">
    <xdr:from>
      <xdr:col>22</xdr:col>
      <xdr:colOff>106680</xdr:colOff>
      <xdr:row>17</xdr:row>
      <xdr:rowOff>60960</xdr:rowOff>
    </xdr:from>
    <xdr:to>
      <xdr:col>27</xdr:col>
      <xdr:colOff>183162</xdr:colOff>
      <xdr:row>24</xdr:row>
      <xdr:rowOff>152591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9FF731-3480-4D76-B162-38817CEC4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880" y="3169920"/>
          <a:ext cx="2019582" cy="1371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44</xdr:row>
      <xdr:rowOff>91003</xdr:rowOff>
    </xdr:from>
    <xdr:to>
      <xdr:col>11</xdr:col>
      <xdr:colOff>481944</xdr:colOff>
      <xdr:row>47</xdr:row>
      <xdr:rowOff>171761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90CE10AA-FCC6-4348-8D85-8B8E4F3F740A}"/>
            </a:ext>
          </a:extLst>
        </xdr:cNvPr>
        <xdr:cNvSpPr txBox="1"/>
      </xdr:nvSpPr>
      <xdr:spPr>
        <a:xfrm>
          <a:off x="5577840" y="8320603"/>
          <a:ext cx="1114404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Right Anterior (12AE1):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6</xdr:col>
      <xdr:colOff>533400</xdr:colOff>
      <xdr:row>45</xdr:row>
      <xdr:rowOff>83965</xdr:rowOff>
    </xdr:from>
    <xdr:to>
      <xdr:col>8</xdr:col>
      <xdr:colOff>412240</xdr:colOff>
      <xdr:row>48</xdr:row>
      <xdr:rowOff>164722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B3E4860-7D1F-4717-BCFD-3CD807A2DF33}"/>
            </a:ext>
          </a:extLst>
        </xdr:cNvPr>
        <xdr:cNvSpPr txBox="1"/>
      </xdr:nvSpPr>
      <xdr:spPr>
        <a:xfrm>
          <a:off x="3695700" y="8496445"/>
          <a:ext cx="1098040" cy="6293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Right Posterior (12AE2):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>
    <xdr:from>
      <xdr:col>0</xdr:col>
      <xdr:colOff>0</xdr:colOff>
      <xdr:row>44</xdr:row>
      <xdr:rowOff>101828</xdr:rowOff>
    </xdr:from>
    <xdr:to>
      <xdr:col>3</xdr:col>
      <xdr:colOff>325126</xdr:colOff>
      <xdr:row>47</xdr:row>
      <xdr:rowOff>174966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38DA9CEF-C6B3-42BB-BD90-E827EE6A4ADC}"/>
            </a:ext>
          </a:extLst>
        </xdr:cNvPr>
        <xdr:cNvSpPr txBox="1"/>
      </xdr:nvSpPr>
      <xdr:spPr>
        <a:xfrm>
          <a:off x="0" y="8331428"/>
          <a:ext cx="1871986" cy="6217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Left Anterior (12BE1):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0</xdr:col>
      <xdr:colOff>0</xdr:colOff>
      <xdr:row>50</xdr:row>
      <xdr:rowOff>50772</xdr:rowOff>
    </xdr:from>
    <xdr:to>
      <xdr:col>4</xdr:col>
      <xdr:colOff>0</xdr:colOff>
      <xdr:row>53</xdr:row>
      <xdr:rowOff>131530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94A59F9B-F9C8-4703-B61D-442506A1A132}"/>
            </a:ext>
          </a:extLst>
        </xdr:cNvPr>
        <xdr:cNvSpPr txBox="1"/>
      </xdr:nvSpPr>
      <xdr:spPr>
        <a:xfrm>
          <a:off x="0" y="9377652"/>
          <a:ext cx="1943100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Left Posterior (12BE2):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 editAs="oneCell">
    <xdr:from>
      <xdr:col>23</xdr:col>
      <xdr:colOff>83820</xdr:colOff>
      <xdr:row>18</xdr:row>
      <xdr:rowOff>152400</xdr:rowOff>
    </xdr:from>
    <xdr:to>
      <xdr:col>28</xdr:col>
      <xdr:colOff>91722</xdr:colOff>
      <xdr:row>26</xdr:row>
      <xdr:rowOff>61151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57F5D2-F1BB-436E-A7CE-88E5BD60F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1160" y="3444240"/>
          <a:ext cx="2019582" cy="1371791"/>
        </a:xfrm>
        <a:prstGeom prst="rect">
          <a:avLst/>
        </a:prstGeom>
      </xdr:spPr>
    </xdr:pic>
    <xdr:clientData/>
  </xdr:twoCellAnchor>
  <xdr:twoCellAnchor editAs="oneCell">
    <xdr:from>
      <xdr:col>30</xdr:col>
      <xdr:colOff>384658</xdr:colOff>
      <xdr:row>1</xdr:row>
      <xdr:rowOff>91440</xdr:rowOff>
    </xdr:from>
    <xdr:to>
      <xdr:col>37</xdr:col>
      <xdr:colOff>280906</xdr:colOff>
      <xdr:row>18</xdr:row>
      <xdr:rowOff>160685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9B881B-5513-4074-93EC-B12F0CECC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22878" y="274320"/>
          <a:ext cx="4163448" cy="31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149190</xdr:colOff>
      <xdr:row>24</xdr:row>
      <xdr:rowOff>60960</xdr:rowOff>
    </xdr:from>
    <xdr:to>
      <xdr:col>9</xdr:col>
      <xdr:colOff>96282</xdr:colOff>
      <xdr:row>51</xdr:row>
      <xdr:rowOff>29083</xdr:rowOff>
    </xdr:to>
    <xdr:pic>
      <xdr:nvPicPr>
        <xdr:cNvPr id="2" name="Picture 1" descr="A close up of a logo  Description automatically generated">
          <a:extLst>
            <a:ext uri="{FF2B5EF4-FFF2-40B4-BE49-F238E27FC236}">
              <a16:creationId xmlns:a16="http://schemas.microsoft.com/office/drawing/2014/main" id="{552D97F3-E0A5-4D8C-ACA9-63C4BB7DD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</a:blip>
        <a:srcRect l="7646" r="30992" b="34429"/>
        <a:stretch/>
      </xdr:blipFill>
      <xdr:spPr>
        <a:xfrm>
          <a:off x="1406490" y="4450080"/>
          <a:ext cx="3680892" cy="4905883"/>
        </a:xfrm>
        <a:prstGeom prst="rect">
          <a:avLst/>
        </a:prstGeom>
      </xdr:spPr>
    </xdr:pic>
    <xdr:clientData/>
  </xdr:twoCellAnchor>
  <xdr:twoCellAnchor>
    <xdr:from>
      <xdr:col>7</xdr:col>
      <xdr:colOff>335027</xdr:colOff>
      <xdr:row>36</xdr:row>
      <xdr:rowOff>30043</xdr:rowOff>
    </xdr:from>
    <xdr:to>
      <xdr:col>13</xdr:col>
      <xdr:colOff>504804</xdr:colOff>
      <xdr:row>39</xdr:row>
      <xdr:rowOff>110801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438C8C2C-0E58-478E-B244-718DB830C163}"/>
            </a:ext>
          </a:extLst>
        </xdr:cNvPr>
        <xdr:cNvSpPr txBox="1"/>
      </xdr:nvSpPr>
      <xdr:spPr>
        <a:xfrm>
          <a:off x="4106927" y="6613723"/>
          <a:ext cx="2608177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Right Anterior (12AE1):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7</xdr:col>
      <xdr:colOff>318663</xdr:colOff>
      <xdr:row>42</xdr:row>
      <xdr:rowOff>68725</xdr:rowOff>
    </xdr:from>
    <xdr:to>
      <xdr:col>13</xdr:col>
      <xdr:colOff>488440</xdr:colOff>
      <xdr:row>45</xdr:row>
      <xdr:rowOff>149482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9DC8C21A-D33E-4191-AC68-47B986436DE0}"/>
            </a:ext>
          </a:extLst>
        </xdr:cNvPr>
        <xdr:cNvSpPr txBox="1"/>
      </xdr:nvSpPr>
      <xdr:spPr>
        <a:xfrm>
          <a:off x="4090563" y="7749685"/>
          <a:ext cx="2608177" cy="6293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Right Posterior (12AE2):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>
    <xdr:from>
      <xdr:col>0</xdr:col>
      <xdr:colOff>71114</xdr:colOff>
      <xdr:row>36</xdr:row>
      <xdr:rowOff>117068</xdr:rowOff>
    </xdr:from>
    <xdr:to>
      <xdr:col>4</xdr:col>
      <xdr:colOff>426814</xdr:colOff>
      <xdr:row>40</xdr:row>
      <xdr:rowOff>7326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8D3BE221-91A9-46BD-8D9C-7E5F7CDEF68C}"/>
            </a:ext>
          </a:extLst>
        </xdr:cNvPr>
        <xdr:cNvSpPr txBox="1"/>
      </xdr:nvSpPr>
      <xdr:spPr>
        <a:xfrm>
          <a:off x="71114" y="6700748"/>
          <a:ext cx="2298800" cy="6217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Left Anterior (12BE1):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0</xdr:col>
      <xdr:colOff>0</xdr:colOff>
      <xdr:row>41</xdr:row>
      <xdr:rowOff>165072</xdr:rowOff>
    </xdr:from>
    <xdr:to>
      <xdr:col>4</xdr:col>
      <xdr:colOff>510627</xdr:colOff>
      <xdr:row>45</xdr:row>
      <xdr:rowOff>62950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25F3748E-1E38-4E2B-8081-3D93DB34735D}"/>
            </a:ext>
          </a:extLst>
        </xdr:cNvPr>
        <xdr:cNvSpPr txBox="1"/>
      </xdr:nvSpPr>
      <xdr:spPr>
        <a:xfrm>
          <a:off x="0" y="7663152"/>
          <a:ext cx="2453727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Left Posterior (12BE2):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198887</xdr:colOff>
      <xdr:row>30</xdr:row>
      <xdr:rowOff>102560</xdr:rowOff>
    </xdr:from>
    <xdr:to>
      <xdr:col>14</xdr:col>
      <xdr:colOff>299852</xdr:colOff>
      <xdr:row>34</xdr:row>
      <xdr:rowOff>3284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A101B640-1E21-442E-810A-1BF3EDC3A692}"/>
            </a:ext>
          </a:extLst>
        </xdr:cNvPr>
        <xdr:cNvSpPr txBox="1"/>
      </xdr:nvSpPr>
      <xdr:spPr>
        <a:xfrm>
          <a:off x="4466087" y="5588960"/>
          <a:ext cx="2539365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B050"/>
              </a:solidFill>
            </a:rPr>
            <a:t>Right Anterior (11AE1): </a:t>
          </a:r>
        </a:p>
        <a:p>
          <a:r>
            <a:rPr lang="en-US">
              <a:solidFill>
                <a:srgbClr val="00B050"/>
              </a:solidFill>
            </a:rPr>
            <a:t>30cc for 3 days</a:t>
          </a:r>
        </a:p>
      </xdr:txBody>
    </xdr:sp>
    <xdr:clientData/>
  </xdr:twoCellAnchor>
  <xdr:twoCellAnchor>
    <xdr:from>
      <xdr:col>8</xdr:col>
      <xdr:colOff>198886</xdr:colOff>
      <xdr:row>35</xdr:row>
      <xdr:rowOff>70006</xdr:rowOff>
    </xdr:from>
    <xdr:to>
      <xdr:col>14</xdr:col>
      <xdr:colOff>299851</xdr:colOff>
      <xdr:row>38</xdr:row>
      <xdr:rowOff>153610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A5D8FDEC-DFB2-4F50-8927-4A0142AB0ADA}"/>
            </a:ext>
          </a:extLst>
        </xdr:cNvPr>
        <xdr:cNvSpPr txBox="1"/>
      </xdr:nvSpPr>
      <xdr:spPr>
        <a:xfrm>
          <a:off x="4466086" y="6470806"/>
          <a:ext cx="2539365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70C0"/>
              </a:solidFill>
            </a:rPr>
            <a:t>Right Posterior (11AE2): </a:t>
          </a:r>
        </a:p>
        <a:p>
          <a:r>
            <a:rPr lang="en-US">
              <a:solidFill>
                <a:srgbClr val="0070C0"/>
              </a:solidFill>
            </a:rPr>
            <a:t>60cc for 3 days</a:t>
          </a:r>
        </a:p>
      </xdr:txBody>
    </xdr:sp>
    <xdr:clientData/>
  </xdr:twoCellAnchor>
  <xdr:twoCellAnchor>
    <xdr:from>
      <xdr:col>0</xdr:col>
      <xdr:colOff>190500</xdr:colOff>
      <xdr:row>30</xdr:row>
      <xdr:rowOff>113803</xdr:rowOff>
    </xdr:from>
    <xdr:to>
      <xdr:col>5</xdr:col>
      <xdr:colOff>69892</xdr:colOff>
      <xdr:row>34</xdr:row>
      <xdr:rowOff>14527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142617EA-5414-4281-BE80-BD992FBBFE3F}"/>
            </a:ext>
          </a:extLst>
        </xdr:cNvPr>
        <xdr:cNvSpPr txBox="1"/>
      </xdr:nvSpPr>
      <xdr:spPr>
        <a:xfrm>
          <a:off x="190500" y="5600203"/>
          <a:ext cx="2317792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B050"/>
              </a:solidFill>
            </a:rPr>
            <a:t>Left Anterior (11BE1): </a:t>
          </a:r>
        </a:p>
        <a:p>
          <a:r>
            <a:rPr lang="en-US">
              <a:solidFill>
                <a:srgbClr val="00B050"/>
              </a:solidFill>
            </a:rPr>
            <a:t>30cc for 3 days</a:t>
          </a:r>
        </a:p>
      </xdr:txBody>
    </xdr:sp>
    <xdr:clientData/>
  </xdr:twoCellAnchor>
  <xdr:twoCellAnchor>
    <xdr:from>
      <xdr:col>0</xdr:col>
      <xdr:colOff>190500</xdr:colOff>
      <xdr:row>35</xdr:row>
      <xdr:rowOff>56280</xdr:rowOff>
    </xdr:from>
    <xdr:to>
      <xdr:col>5</xdr:col>
      <xdr:colOff>205031</xdr:colOff>
      <xdr:row>38</xdr:row>
      <xdr:rowOff>139884</xdr:rowOff>
    </xdr:to>
    <xdr:sp macro="" textlink="">
      <xdr:nvSpPr>
        <xdr:cNvPr id="5" name="TextBox 7">
          <a:extLst>
            <a:ext uri="{FF2B5EF4-FFF2-40B4-BE49-F238E27FC236}">
              <a16:creationId xmlns:a16="http://schemas.microsoft.com/office/drawing/2014/main" id="{73221DA6-3FBD-4796-83DB-701ED799E4DD}"/>
            </a:ext>
          </a:extLst>
        </xdr:cNvPr>
        <xdr:cNvSpPr txBox="1"/>
      </xdr:nvSpPr>
      <xdr:spPr>
        <a:xfrm>
          <a:off x="190500" y="6457080"/>
          <a:ext cx="2452931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70C0"/>
              </a:solidFill>
            </a:rPr>
            <a:t>Left Posterior (11BE2): </a:t>
          </a:r>
        </a:p>
        <a:p>
          <a:r>
            <a:rPr lang="en-US">
              <a:solidFill>
                <a:srgbClr val="0070C0"/>
              </a:solidFill>
            </a:rPr>
            <a:t>60cc for 3 days</a:t>
          </a:r>
        </a:p>
      </xdr:txBody>
    </xdr:sp>
    <xdr:clientData/>
  </xdr:twoCellAnchor>
  <xdr:twoCellAnchor editAs="oneCell">
    <xdr:from>
      <xdr:col>2</xdr:col>
      <xdr:colOff>185028</xdr:colOff>
      <xdr:row>18</xdr:row>
      <xdr:rowOff>53340</xdr:rowOff>
    </xdr:from>
    <xdr:to>
      <xdr:col>9</xdr:col>
      <xdr:colOff>137926</xdr:colOff>
      <xdr:row>45</xdr:row>
      <xdr:rowOff>45179</xdr:rowOff>
    </xdr:to>
    <xdr:pic>
      <xdr:nvPicPr>
        <xdr:cNvPr id="6" name="Picture 5" descr="A close up of a logo  Description automatically generated">
          <a:extLst>
            <a:ext uri="{FF2B5EF4-FFF2-40B4-BE49-F238E27FC236}">
              <a16:creationId xmlns:a16="http://schemas.microsoft.com/office/drawing/2014/main" id="{6C4AC598-A420-437C-8024-77251C37D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</a:blip>
        <a:srcRect l="7646" r="30992" b="34429"/>
        <a:stretch/>
      </xdr:blipFill>
      <xdr:spPr>
        <a:xfrm>
          <a:off x="794628" y="3345180"/>
          <a:ext cx="3671458" cy="49295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48260</xdr:colOff>
      <xdr:row>10</xdr:row>
      <xdr:rowOff>60960</xdr:rowOff>
    </xdr:from>
    <xdr:to>
      <xdr:col>8</xdr:col>
      <xdr:colOff>423124</xdr:colOff>
      <xdr:row>25</xdr:row>
      <xdr:rowOff>67226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4119C-CAF6-4A7E-BD68-E08F4FA8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" y="1923627"/>
          <a:ext cx="4642064" cy="2800266"/>
        </a:xfrm>
        <a:prstGeom prst="rect">
          <a:avLst/>
        </a:prstGeom>
      </xdr:spPr>
    </xdr:pic>
    <xdr:clientData/>
  </xdr:twoCellAnchor>
  <xdr:twoCellAnchor editAs="oneCell">
    <xdr:from>
      <xdr:col>2</xdr:col>
      <xdr:colOff>342053</xdr:colOff>
      <xdr:row>21</xdr:row>
      <xdr:rowOff>85514</xdr:rowOff>
    </xdr:from>
    <xdr:to>
      <xdr:col>5</xdr:col>
      <xdr:colOff>182033</xdr:colOff>
      <xdr:row>25</xdr:row>
      <xdr:rowOff>143818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45CFFC-08DB-4069-9759-A86E84849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253" y="3997114"/>
          <a:ext cx="1668780" cy="8033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297180</xdr:colOff>
      <xdr:row>78</xdr:row>
      <xdr:rowOff>180975</xdr:rowOff>
    </xdr:from>
    <xdr:to>
      <xdr:col>22</xdr:col>
      <xdr:colOff>518160</xdr:colOff>
      <xdr:row>93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3ACF22-4EA7-43C5-AA6C-A2B0CD47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582929</xdr:colOff>
      <xdr:row>32</xdr:row>
      <xdr:rowOff>143419</xdr:rowOff>
    </xdr:from>
    <xdr:to>
      <xdr:col>29</xdr:col>
      <xdr:colOff>187779</xdr:colOff>
      <xdr:row>47</xdr:row>
      <xdr:rowOff>143419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78739C-5F3D-484D-BB14-0B6BEE5CA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503466</xdr:colOff>
      <xdr:row>32</xdr:row>
      <xdr:rowOff>96883</xdr:rowOff>
    </xdr:from>
    <xdr:to>
      <xdr:col>42</xdr:col>
      <xdr:colOff>122466</xdr:colOff>
      <xdr:row>47</xdr:row>
      <xdr:rowOff>96883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A8F8E7-05CF-4410-B3C7-9EEF3BCB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211728</xdr:colOff>
      <xdr:row>32</xdr:row>
      <xdr:rowOff>111034</xdr:rowOff>
    </xdr:from>
    <xdr:to>
      <xdr:col>35</xdr:col>
      <xdr:colOff>427265</xdr:colOff>
      <xdr:row>47</xdr:row>
      <xdr:rowOff>111034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F414F-909C-43F9-957A-D704536B7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359878</xdr:colOff>
      <xdr:row>33</xdr:row>
      <xdr:rowOff>21949</xdr:rowOff>
    </xdr:from>
    <xdr:to>
      <xdr:col>15</xdr:col>
      <xdr:colOff>575415</xdr:colOff>
      <xdr:row>48</xdr:row>
      <xdr:rowOff>21949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CC28C-0F07-48FD-B003-5FDEB9B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333375</xdr:colOff>
      <xdr:row>0</xdr:row>
      <xdr:rowOff>123825</xdr:rowOff>
    </xdr:from>
    <xdr:to>
      <xdr:col>27</xdr:col>
      <xdr:colOff>548912</xdr:colOff>
      <xdr:row>13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6665CC-9693-4A47-9437-99073BF8A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438150</xdr:colOff>
      <xdr:row>50</xdr:row>
      <xdr:rowOff>85725</xdr:rowOff>
    </xdr:from>
    <xdr:to>
      <xdr:col>8</xdr:col>
      <xdr:colOff>206012</xdr:colOff>
      <xdr:row>65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2BB2D1-4D03-4D2C-BD74-754BCFDB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49</xdr:row>
      <xdr:rowOff>85725</xdr:rowOff>
    </xdr:from>
    <xdr:to>
      <xdr:col>15</xdr:col>
      <xdr:colOff>377462</xdr:colOff>
      <xdr:row>64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D8F271-26FA-4D7A-AB0A-F09055A5B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42</xdr:col>
      <xdr:colOff>247650</xdr:colOff>
      <xdr:row>33</xdr:row>
      <xdr:rowOff>47625</xdr:rowOff>
    </xdr:from>
    <xdr:to>
      <xdr:col>52</xdr:col>
      <xdr:colOff>162764</xdr:colOff>
      <xdr:row>54</xdr:row>
      <xdr:rowOff>124366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A5A72-E1FC-48CB-AF31-1073201A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98450" y="6715125"/>
          <a:ext cx="6011114" cy="4077241"/>
        </a:xfrm>
        <a:prstGeom prst="rect">
          <a:avLst/>
        </a:prstGeom>
      </xdr:spPr>
    </xdr:pic>
    <xdr:clientData/>
  </xdr:twoCellAnchor>
  <xdr:twoCellAnchor>
    <xdr:from>
      <xdr:col>16</xdr:col>
      <xdr:colOff>285750</xdr:colOff>
      <xdr:row>32</xdr:row>
      <xdr:rowOff>161925</xdr:rowOff>
    </xdr:from>
    <xdr:to>
      <xdr:col>22</xdr:col>
      <xdr:colOff>506730</xdr:colOff>
      <xdr:row>47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2F4692-5E73-4087-AC8D-BB8A92871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276225</xdr:colOff>
      <xdr:row>48</xdr:row>
      <xdr:rowOff>95250</xdr:rowOff>
    </xdr:from>
    <xdr:to>
      <xdr:col>22</xdr:col>
      <xdr:colOff>497205</xdr:colOff>
      <xdr:row>63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BBC042-54D9-4C42-87A4-31C6AF32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266700</xdr:colOff>
      <xdr:row>63</xdr:row>
      <xdr:rowOff>142875</xdr:rowOff>
    </xdr:from>
    <xdr:to>
      <xdr:col>22</xdr:col>
      <xdr:colOff>487680</xdr:colOff>
      <xdr:row>78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95D8AB-C036-43E4-BA6C-A09574C1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590550</xdr:colOff>
      <xdr:row>48</xdr:row>
      <xdr:rowOff>47625</xdr:rowOff>
    </xdr:from>
    <xdr:to>
      <xdr:col>29</xdr:col>
      <xdr:colOff>195400</xdr:colOff>
      <xdr:row>63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A23AC-1981-4109-8AF0-24C68FAB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63</xdr:row>
      <xdr:rowOff>66675</xdr:rowOff>
    </xdr:from>
    <xdr:to>
      <xdr:col>29</xdr:col>
      <xdr:colOff>214450</xdr:colOff>
      <xdr:row>78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CEE55ED-1016-4DC1-86CD-64D64480D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9525</xdr:colOff>
      <xdr:row>78</xdr:row>
      <xdr:rowOff>114300</xdr:rowOff>
    </xdr:from>
    <xdr:to>
      <xdr:col>29</xdr:col>
      <xdr:colOff>223975</xdr:colOff>
      <xdr:row>93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4DC500-EC96-4839-A8CC-546374F9D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76200</xdr:colOff>
      <xdr:row>94</xdr:row>
      <xdr:rowOff>66675</xdr:rowOff>
    </xdr:from>
    <xdr:to>
      <xdr:col>29</xdr:col>
      <xdr:colOff>290650</xdr:colOff>
      <xdr:row>109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7056549-8ABD-404E-A2BE-DB667C0EA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247650</xdr:colOff>
      <xdr:row>48</xdr:row>
      <xdr:rowOff>38100</xdr:rowOff>
    </xdr:from>
    <xdr:to>
      <xdr:col>35</xdr:col>
      <xdr:colOff>463187</xdr:colOff>
      <xdr:row>63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510809-2FBE-4E8B-AE0C-7BCAFC7F6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247650</xdr:colOff>
      <xdr:row>64</xdr:row>
      <xdr:rowOff>38100</xdr:rowOff>
    </xdr:from>
    <xdr:to>
      <xdr:col>35</xdr:col>
      <xdr:colOff>463187</xdr:colOff>
      <xdr:row>79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62AF7FA-7B5D-4DCC-9C4E-9A58CF498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247650</xdr:colOff>
      <xdr:row>80</xdr:row>
      <xdr:rowOff>38100</xdr:rowOff>
    </xdr:from>
    <xdr:to>
      <xdr:col>35</xdr:col>
      <xdr:colOff>463187</xdr:colOff>
      <xdr:row>95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C52FBB-7A57-46F4-94E2-00813F263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247650</xdr:colOff>
      <xdr:row>96</xdr:row>
      <xdr:rowOff>38100</xdr:rowOff>
    </xdr:from>
    <xdr:to>
      <xdr:col>35</xdr:col>
      <xdr:colOff>463187</xdr:colOff>
      <xdr:row>111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C8FE50D-8697-4311-8FB5-25656732A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247650</xdr:colOff>
      <xdr:row>48</xdr:row>
      <xdr:rowOff>38100</xdr:rowOff>
    </xdr:from>
    <xdr:to>
      <xdr:col>42</xdr:col>
      <xdr:colOff>476250</xdr:colOff>
      <xdr:row>63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10056F-873F-43AC-8C71-D0CFAD5DC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247650</xdr:colOff>
      <xdr:row>64</xdr:row>
      <xdr:rowOff>38100</xdr:rowOff>
    </xdr:from>
    <xdr:to>
      <xdr:col>42</xdr:col>
      <xdr:colOff>476250</xdr:colOff>
      <xdr:row>79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195A5E-ADA1-4210-930A-3C63148D5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247650</xdr:colOff>
      <xdr:row>80</xdr:row>
      <xdr:rowOff>38100</xdr:rowOff>
    </xdr:from>
    <xdr:to>
      <xdr:col>42</xdr:col>
      <xdr:colOff>476250</xdr:colOff>
      <xdr:row>95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5CA0FCD-5A10-4F5A-ABF0-12D3CF87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247650</xdr:colOff>
      <xdr:row>96</xdr:row>
      <xdr:rowOff>38100</xdr:rowOff>
    </xdr:from>
    <xdr:to>
      <xdr:col>42</xdr:col>
      <xdr:colOff>476250</xdr:colOff>
      <xdr:row>111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D305B96-AC79-4204-B157-DE0C34FA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314325</xdr:colOff>
      <xdr:row>14</xdr:row>
      <xdr:rowOff>152400</xdr:rowOff>
    </xdr:from>
    <xdr:to>
      <xdr:col>27</xdr:col>
      <xdr:colOff>529862</xdr:colOff>
      <xdr:row>29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E16C4CC-06B3-4629-A120-04B4DE9D0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47625</xdr:colOff>
      <xdr:row>0</xdr:row>
      <xdr:rowOff>133350</xdr:rowOff>
    </xdr:from>
    <xdr:to>
      <xdr:col>34</xdr:col>
      <xdr:colOff>263162</xdr:colOff>
      <xdr:row>13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208858E-7672-4C91-A20C-72A5458CD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371475</xdr:colOff>
      <xdr:row>0</xdr:row>
      <xdr:rowOff>114300</xdr:rowOff>
    </xdr:from>
    <xdr:to>
      <xdr:col>40</xdr:col>
      <xdr:colOff>587012</xdr:colOff>
      <xdr:row>13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4031FD-FE05-4073-8CB7-D9EDAC4A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76200</xdr:colOff>
      <xdr:row>0</xdr:row>
      <xdr:rowOff>152400</xdr:rowOff>
    </xdr:from>
    <xdr:to>
      <xdr:col>47</xdr:col>
      <xdr:colOff>291737</xdr:colOff>
      <xdr:row>13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4F0684B-0831-4359-A8D8-4CC91484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95250</xdr:colOff>
      <xdr:row>15</xdr:row>
      <xdr:rowOff>0</xdr:rowOff>
    </xdr:from>
    <xdr:to>
      <xdr:col>34</xdr:col>
      <xdr:colOff>310787</xdr:colOff>
      <xdr:row>30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52DD1C8-2625-4486-997F-06FA9CD58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485775</xdr:colOff>
      <xdr:row>15</xdr:row>
      <xdr:rowOff>28575</xdr:rowOff>
    </xdr:from>
    <xdr:to>
      <xdr:col>41</xdr:col>
      <xdr:colOff>91712</xdr:colOff>
      <xdr:row>30</xdr:row>
      <xdr:rowOff>28575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BE89BD8-C574-4913-877C-DFFBD6BE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323850</xdr:colOff>
      <xdr:row>15</xdr:row>
      <xdr:rowOff>9525</xdr:rowOff>
    </xdr:from>
    <xdr:to>
      <xdr:col>47</xdr:col>
      <xdr:colOff>539387</xdr:colOff>
      <xdr:row>30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716AE41-5FF4-421D-8B91-04185808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15</xdr:col>
      <xdr:colOff>215537</xdr:colOff>
      <xdr:row>80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D61FEE8-BCA4-49A2-B4C1-EAFC9B245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215537</xdr:colOff>
      <xdr:row>96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77B1EBC-9AAE-4A8D-9A0B-81C9CED81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215537</xdr:colOff>
      <xdr:row>112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4AAC919-760E-46E1-8055-544EC7C7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8</xdr:col>
      <xdr:colOff>377462</xdr:colOff>
      <xdr:row>81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89DB837-EC11-4C16-99BE-A2C45DBDC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8</xdr:col>
      <xdr:colOff>377462</xdr:colOff>
      <xdr:row>98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CCEA7F3-D3C8-4551-829E-54EFD92E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8</xdr:col>
      <xdr:colOff>377462</xdr:colOff>
      <xdr:row>115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1FAED42-B32E-44F0-B328-A7D95535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56</xdr:col>
      <xdr:colOff>205740</xdr:colOff>
      <xdr:row>18</xdr:row>
      <xdr:rowOff>91440</xdr:rowOff>
    </xdr:from>
    <xdr:to>
      <xdr:col>59</xdr:col>
      <xdr:colOff>396522</xdr:colOff>
      <xdr:row>26</xdr:row>
      <xdr:rowOff>191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0516566-78B7-4A4B-BA77-690899A84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4206180" y="3749040"/>
          <a:ext cx="2019582" cy="1371791"/>
        </a:xfrm>
        <a:prstGeom prst="rect">
          <a:avLst/>
        </a:prstGeom>
      </xdr:spPr>
    </xdr:pic>
    <xdr:clientData/>
  </xdr:twoCellAnchor>
  <xdr:twoCellAnchor editAs="oneCell">
    <xdr:from>
      <xdr:col>62</xdr:col>
      <xdr:colOff>79858</xdr:colOff>
      <xdr:row>3</xdr:row>
      <xdr:rowOff>30480</xdr:rowOff>
    </xdr:from>
    <xdr:to>
      <xdr:col>68</xdr:col>
      <xdr:colOff>585706</xdr:colOff>
      <xdr:row>20</xdr:row>
      <xdr:rowOff>99725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76468D0-6D73-4052-B224-B86C981A7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7898" y="579120"/>
          <a:ext cx="4163448" cy="31782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251460</xdr:colOff>
      <xdr:row>18</xdr:row>
      <xdr:rowOff>118437</xdr:rowOff>
    </xdr:from>
    <xdr:to>
      <xdr:col>17</xdr:col>
      <xdr:colOff>16724</xdr:colOff>
      <xdr:row>33</xdr:row>
      <xdr:rowOff>124703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3DC1C-B448-4739-83BF-7FFCB0EAA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8380" y="3410277"/>
          <a:ext cx="4642064" cy="274946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175260</xdr:rowOff>
    </xdr:from>
    <xdr:to>
      <xdr:col>8</xdr:col>
      <xdr:colOff>449580</xdr:colOff>
      <xdr:row>20</xdr:row>
      <xdr:rowOff>47297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763AD-9CFA-4ADA-B4A0-98B59E51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8720" y="2918460"/>
          <a:ext cx="1668780" cy="786437"/>
        </a:xfrm>
        <a:prstGeom prst="rect">
          <a:avLst/>
        </a:prstGeom>
      </xdr:spPr>
    </xdr:pic>
    <xdr:clientData/>
  </xdr:twoCellAnchor>
  <xdr:twoCellAnchor editAs="oneCell">
    <xdr:from>
      <xdr:col>5</xdr:col>
      <xdr:colOff>586740</xdr:colOff>
      <xdr:row>22</xdr:row>
      <xdr:rowOff>6102</xdr:rowOff>
    </xdr:from>
    <xdr:to>
      <xdr:col>8</xdr:col>
      <xdr:colOff>337532</xdr:colOff>
      <xdr:row>25</xdr:row>
      <xdr:rowOff>171607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6778C3-DBE0-4A13-840D-AD58E41F7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5860" y="4029462"/>
          <a:ext cx="1579592" cy="714145"/>
        </a:xfrm>
        <a:prstGeom prst="rect">
          <a:avLst/>
        </a:prstGeom>
      </xdr:spPr>
    </xdr:pic>
    <xdr:clientData/>
  </xdr:twoCellAnchor>
  <xdr:twoCellAnchor editAs="oneCell">
    <xdr:from>
      <xdr:col>9</xdr:col>
      <xdr:colOff>90082</xdr:colOff>
      <xdr:row>19</xdr:row>
      <xdr:rowOff>87630</xdr:rowOff>
    </xdr:from>
    <xdr:to>
      <xdr:col>16</xdr:col>
      <xdr:colOff>587949</xdr:colOff>
      <xdr:row>32</xdr:row>
      <xdr:rowOff>13335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E164E7-2117-460D-91BE-55A4DF240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8907" y="3526155"/>
          <a:ext cx="4765067" cy="2278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ura Maria Nuñez Alvarez" id="{483DE697-5BFD-4F25-81D9-208A1B8EA0AC}" userId="Laura Maria Nuñez Alvarez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71269-5456-4FFD-BDE1-36416D466ACC}" name="Table13" displayName="Table13" ref="A2:M35" totalsRowShown="0">
  <autoFilter ref="A2:M35" xr:uid="{74F9F348-71E0-4B55-8E91-06372502754E}"/>
  <sortState xmlns:xlrd2="http://schemas.microsoft.com/office/spreadsheetml/2017/richdata2" ref="A3:M35">
    <sortCondition ref="B3:B35" customList="Control,Apex,Middle,Periphery"/>
  </sortState>
  <tableColumns count="13">
    <tableColumn id="1" xr3:uid="{70795267-A124-477E-AD5F-C6919C908701}" name="Column1" dataDxfId="53"/>
    <tableColumn id="2" xr3:uid="{9B07EC11-CDAC-4FA4-8DB8-055FBD008660}" name="Location"/>
    <tableColumn id="3" xr3:uid="{A2182229-EAF5-4DE1-9822-5D0BD6E6E5DE}" name="CC" dataDxfId="52"/>
    <tableColumn id="4" xr3:uid="{F81F7B3A-DA3D-4DC2-AEBF-27BEF8F32BAE}" name="days" dataDxfId="51"/>
    <tableColumn id="5" xr3:uid="{7D6ACE3B-5E7A-4586-AE09-78DD7AA31B1E}" name="mu" dataDxfId="50"/>
    <tableColumn id="6" xr3:uid="{7BDFFDD9-AEB9-4E9A-9369-F3EC402CDC1C}" name="k1_1" dataDxfId="49"/>
    <tableColumn id="7" xr3:uid="{C849280A-F1E0-4214-9214-518E87790D02}" name="k2_1" dataDxfId="48"/>
    <tableColumn id="8" xr3:uid="{0AB2C74C-6954-4D75-8FE7-58E4810A7204}" name="kappa1" dataDxfId="47"/>
    <tableColumn id="9" xr3:uid="{B6B53FE7-32B3-4AA6-9091-6E8D799DB9E7}" name="alpha1" dataDxfId="46"/>
    <tableColumn id="10" xr3:uid="{2011B4F3-1DAB-4681-8B05-21B55773A8BB}" name="k1_2" dataDxfId="45"/>
    <tableColumn id="11" xr3:uid="{4A069AED-34DF-46CD-99DA-2F3277312B1D}" name="k2_2" dataDxfId="44"/>
    <tableColumn id="12" xr3:uid="{94728E4C-DB03-4C32-A087-A2AA8CBA1438}" name="kappa2" dataDxfId="43"/>
    <tableColumn id="13" xr3:uid="{DFAAF303-FDE5-4EDF-BD2B-83DBFCF00105}" name="alpha2" dataDxfId="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55AF60-77C1-403B-90D5-F1C491BA1E69}" name="Table3681012" displayName="Table3681012" ref="BQ2:BS9" totalsRowCount="1">
  <autoFilter ref="BQ2:BS8" xr:uid="{3D55AF60-77C1-403B-90D5-F1C491BA1E69}"/>
  <sortState xmlns:xlrd2="http://schemas.microsoft.com/office/spreadsheetml/2017/richdata2" ref="BQ3:BS8">
    <sortCondition ref="BR2:BR8"/>
  </sortState>
  <tableColumns count="3">
    <tableColumn id="1" xr3:uid="{77D1EB6D-79BE-4727-9C05-88B5E39E036F}" name="Grupo"/>
    <tableColumn id="2" xr3:uid="{ACB889AF-CF08-42A2-A8E9-9390F0578FE9}" name="Valores" dataDxfId="21" totalsRowDxfId="20"/>
    <tableColumn id="3" xr3:uid="{6961ADE7-306F-4973-987C-DC134DEF3302}" name="Rango" totalsRowFunction="custom" dataDxfId="19" totalsRowDxfId="18">
      <calculatedColumnFormula>_xlfn.RANK.AVG(BR3,$AK$3:$AK$8,1)</calculatedColumnFormula>
      <totalsRowFormula>SUM(Table3681012[Rango])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ACBEA5-4B74-4559-BF7F-F2BCEDF5D66C}" name="Table4791113" displayName="Table4791113" ref="BQ25:BS33" totalsRowShown="0">
  <autoFilter ref="BQ25:BS33" xr:uid="{F1ACBEA5-4B74-4559-BF7F-F2BCEDF5D66C}"/>
  <sortState xmlns:xlrd2="http://schemas.microsoft.com/office/spreadsheetml/2017/richdata2" ref="BQ26:BS33">
    <sortCondition ref="BR25:BR33"/>
  </sortState>
  <tableColumns count="3">
    <tableColumn id="1" xr3:uid="{E9F029E0-FD0C-4B0C-BB4D-CC7A85A81127}" name="Grupo"/>
    <tableColumn id="2" xr3:uid="{6E828CFE-0583-4668-8F12-CBB5C9B0FF57}" name="Valores" dataDxfId="17"/>
    <tableColumn id="3" xr3:uid="{60B037F8-30BB-4988-ADB6-C7D6DA187D12}" name="Ran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5AD631-E142-4E28-B5A7-1244EF016B23}" name="Table368101214" displayName="Table368101214" ref="BY2:CA9" totalsRowCount="1">
  <autoFilter ref="BY2:CA8" xr:uid="{355AD631-E142-4E28-B5A7-1244EF016B23}"/>
  <sortState xmlns:xlrd2="http://schemas.microsoft.com/office/spreadsheetml/2017/richdata2" ref="BY3:CA8">
    <sortCondition ref="BZ2:BZ8"/>
  </sortState>
  <tableColumns count="3">
    <tableColumn id="1" xr3:uid="{892D42D3-343F-4C35-8C58-7AD71A2BC4E4}" name="Grupo"/>
    <tableColumn id="2" xr3:uid="{808A74BE-4F09-4C62-B70D-F2409BFA1DB1}" name="Valores" dataDxfId="16" totalsRowDxfId="15"/>
    <tableColumn id="3" xr3:uid="{FB0C9692-71DC-45FB-9830-0B8926F1AF24}" name="Rango" totalsRowFunction="custom" dataDxfId="14" totalsRowDxfId="13">
      <calculatedColumnFormula>_xlfn.RANK.AVG(BZ3,$AK$3:$AK$8,1)</calculatedColumnFormula>
      <totalsRowFormula>SUM(Table368101214[Rango])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F80944-BC71-47DC-B9E9-A99F462D8A12}" name="Table479111315" displayName="Table479111315" ref="BY25:CA33" totalsRowShown="0">
  <autoFilter ref="BY25:CA33" xr:uid="{66F80944-BC71-47DC-B9E9-A99F462D8A12}"/>
  <sortState xmlns:xlrd2="http://schemas.microsoft.com/office/spreadsheetml/2017/richdata2" ref="BY26:CA33">
    <sortCondition ref="BZ25:BZ33"/>
  </sortState>
  <tableColumns count="3">
    <tableColumn id="1" xr3:uid="{C4400A5A-CC1B-4E17-B2E2-15EAF41B5858}" name="Grupo"/>
    <tableColumn id="2" xr3:uid="{94541D68-6089-47C2-A24B-BD9CEA89637C}" name="Valores" dataDxfId="12"/>
    <tableColumn id="3" xr3:uid="{0301BB27-1630-440E-A653-00D534DCFB2B}" name="Rang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9F348-71E0-4B55-8E91-06372502754E}" name="Table1" displayName="Table1" ref="A2:M35" totalsRowShown="0">
  <autoFilter ref="A2:M35" xr:uid="{74F9F348-71E0-4B55-8E91-06372502754E}"/>
  <sortState xmlns:xlrd2="http://schemas.microsoft.com/office/spreadsheetml/2017/richdata2" ref="A3:M35">
    <sortCondition ref="B3:B35" customList="Control,Apex,Middle,Periphery"/>
  </sortState>
  <tableColumns count="13">
    <tableColumn id="1" xr3:uid="{47BD6F99-ADAD-4433-9C19-5B767568A5AC}" name="Column1" dataDxfId="11"/>
    <tableColumn id="2" xr3:uid="{21A0E185-2A01-4036-96B2-0AA8FB530E22}" name="Location"/>
    <tableColumn id="3" xr3:uid="{F775F056-1F43-414F-99AE-CF188041A83B}" name="CC" dataDxfId="10"/>
    <tableColumn id="4" xr3:uid="{6912F3D2-DAE7-4660-842A-8182BB586B5C}" name="days" dataDxfId="9"/>
    <tableColumn id="5" xr3:uid="{DE672674-EF45-4ABC-AB48-D14678DB869B}" name="mu" dataDxfId="8"/>
    <tableColumn id="6" xr3:uid="{D8EF7C4C-8A98-4FA7-BB81-489F7416FEB7}" name="k1_1" dataDxfId="7"/>
    <tableColumn id="7" xr3:uid="{60F53F17-5ABF-44D4-A1CC-595FCE33D9AA}" name="k2_1" dataDxfId="6"/>
    <tableColumn id="8" xr3:uid="{349872BE-89DA-4B38-85F3-154E8FB8E184}" name="kappa1" dataDxfId="5"/>
    <tableColumn id="9" xr3:uid="{2792C850-0D98-4EDC-BB22-E4790F7F0FE8}" name="alpha1" dataDxfId="4"/>
    <tableColumn id="10" xr3:uid="{873A602A-9BAE-4A0A-86DB-072314D3CD3C}" name="k1_2" dataDxfId="3"/>
    <tableColumn id="11" xr3:uid="{FA2FA66C-5589-46EC-B84A-7A4C291CADFC}" name="k2_2" dataDxfId="2"/>
    <tableColumn id="12" xr3:uid="{295980B6-0744-44BD-8773-93DD59F85525}" name="kappa2" dataDxfId="1"/>
    <tableColumn id="13" xr3:uid="{279A37EC-3B4F-4932-B866-0EE46C76DFED}" name="alpha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48EAE-12AF-47A0-91A2-3BB884D742E3}" name="Table3" displayName="Table3" ref="AJ2:AL9" totalsRowCount="1">
  <autoFilter ref="AJ2:AL8" xr:uid="{3E448EAE-12AF-47A0-91A2-3BB884D742E3}"/>
  <sortState xmlns:xlrd2="http://schemas.microsoft.com/office/spreadsheetml/2017/richdata2" ref="AJ3:AL8">
    <sortCondition ref="AK2:AK8"/>
  </sortState>
  <tableColumns count="3">
    <tableColumn id="1" xr3:uid="{7EA15D6C-2A90-40B3-AD15-7FBF0BDDEAAF}" name="Grupo"/>
    <tableColumn id="2" xr3:uid="{BD6B8C78-1D2D-441D-8B91-DA3232DCD86B}" name="Valores" dataDxfId="41" totalsRowDxfId="40"/>
    <tableColumn id="3" xr3:uid="{E0875586-008D-44AD-B5E2-37DA38AA76AB}" name="Rango" totalsRowFunction="custom" dataDxfId="39" totalsRowDxfId="38">
      <calculatedColumnFormula>_xlfn.RANK.AVG(AK3,$AK$3:$AK$8,1)</calculatedColumnFormula>
      <totalsRowFormula>SUM(Table3[Rango])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095ED-EDD0-41A7-AE96-191AB4EA572C}" name="Table4" displayName="Table4" ref="AJ25:AL33" totalsRowShown="0">
  <autoFilter ref="AJ25:AL33" xr:uid="{509095ED-EDD0-41A7-AE96-191AB4EA572C}"/>
  <sortState xmlns:xlrd2="http://schemas.microsoft.com/office/spreadsheetml/2017/richdata2" ref="AJ26:AL33">
    <sortCondition ref="AK25:AK33"/>
  </sortState>
  <tableColumns count="3">
    <tableColumn id="1" xr3:uid="{2606D2AE-5A03-4980-A727-8BC7CC060F7E}" name="Grupo"/>
    <tableColumn id="2" xr3:uid="{3B669245-F778-48E1-8EEF-E382DBB560B6}" name="Valores" dataDxfId="37"/>
    <tableColumn id="3" xr3:uid="{8C4DFBE4-4564-4B20-AF78-D4C323A35C87}" name="Rang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5BC985-61C7-4F95-B9FE-24203645B330}" name="Table36" displayName="Table36" ref="AS2:AU9" totalsRowCount="1">
  <autoFilter ref="AS2:AU8" xr:uid="{B15BC985-61C7-4F95-B9FE-24203645B330}"/>
  <sortState xmlns:xlrd2="http://schemas.microsoft.com/office/spreadsheetml/2017/richdata2" ref="AS3:AU8">
    <sortCondition ref="AT2:AT8"/>
  </sortState>
  <tableColumns count="3">
    <tableColumn id="1" xr3:uid="{3AE7E685-2C6F-4B06-A4D3-E608E236F1B4}" name="Grupo"/>
    <tableColumn id="2" xr3:uid="{2C8246EF-1A36-43C0-92A1-1067D073938F}" name="Valores" dataDxfId="36" totalsRowDxfId="35"/>
    <tableColumn id="3" xr3:uid="{EB4D192C-2BFD-4D06-9ACB-40F3C830BA22}" name="Rango" totalsRowFunction="custom" dataDxfId="34" totalsRowDxfId="33">
      <calculatedColumnFormula>_xlfn.RANK.AVG(AT3,$AK$3:$AK$8,1)</calculatedColumnFormula>
      <totalsRowFormula>SUM(Table36[Rango])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7CFC29-F5C3-43F5-ACB5-5FCDD48C59C8}" name="Table47" displayName="Table47" ref="AS25:AU33" totalsRowShown="0">
  <autoFilter ref="AS25:AU33" xr:uid="{187CFC29-F5C3-43F5-ACB5-5FCDD48C59C8}"/>
  <sortState xmlns:xlrd2="http://schemas.microsoft.com/office/spreadsheetml/2017/richdata2" ref="AS26:AU33">
    <sortCondition ref="AT25:AT33"/>
  </sortState>
  <tableColumns count="3">
    <tableColumn id="1" xr3:uid="{54320DBE-1FF9-452D-880C-82C02190A63D}" name="Grupo"/>
    <tableColumn id="2" xr3:uid="{23FC8FC9-653D-4B56-9D44-033F8B60081D}" name="Valores" dataDxfId="32"/>
    <tableColumn id="3" xr3:uid="{8F5FDA39-FC29-49AC-87C8-430F15D682FF}" name="Rang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F3B2F5-8124-4179-AC6F-91ADA5FF0E38}" name="Table368" displayName="Table368" ref="BA2:BC9" totalsRowCount="1">
  <autoFilter ref="BA2:BC8" xr:uid="{0CF3B2F5-8124-4179-AC6F-91ADA5FF0E38}"/>
  <sortState xmlns:xlrd2="http://schemas.microsoft.com/office/spreadsheetml/2017/richdata2" ref="BA3:BC8">
    <sortCondition ref="BB2:BB8"/>
  </sortState>
  <tableColumns count="3">
    <tableColumn id="1" xr3:uid="{90B159DD-CFC9-4EC5-A606-A39A85E91250}" name="Grupo"/>
    <tableColumn id="2" xr3:uid="{3C1398DC-CCDA-4791-994B-A20A15DF7F49}" name="Valores" dataDxfId="31" totalsRowDxfId="30"/>
    <tableColumn id="3" xr3:uid="{203E3E92-B830-4D47-98CF-62C28F193B24}" name="Rango" totalsRowFunction="custom" dataDxfId="29" totalsRowDxfId="28">
      <calculatedColumnFormula>_xlfn.RANK.AVG(BB3,$AK$3:$AK$8,1)</calculatedColumnFormula>
      <totalsRowFormula>SUM(Table368[Rango])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AA3297-6A34-4FD7-9460-2C554647DBE1}" name="Table479" displayName="Table479" ref="BA25:BC33" totalsRowShown="0">
  <autoFilter ref="BA25:BC33" xr:uid="{DEAA3297-6A34-4FD7-9460-2C554647DBE1}"/>
  <sortState xmlns:xlrd2="http://schemas.microsoft.com/office/spreadsheetml/2017/richdata2" ref="BA26:BC33">
    <sortCondition ref="BB25:BB33"/>
  </sortState>
  <tableColumns count="3">
    <tableColumn id="1" xr3:uid="{B0C10910-BC0B-4BEA-924A-9F2DA205ABD1}" name="Grupo"/>
    <tableColumn id="2" xr3:uid="{3B334C78-585C-41B8-A617-109B6FF56D0F}" name="Valores" dataDxfId="27"/>
    <tableColumn id="3" xr3:uid="{D3A838CD-8494-4215-8323-D92902A900BC}" name="Rang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1C95F5-5438-449B-950C-EFD30EBB4BAB}" name="Table36810" displayName="Table36810" ref="BI2:BK9" totalsRowCount="1">
  <autoFilter ref="BI2:BK8" xr:uid="{331C95F5-5438-449B-950C-EFD30EBB4BAB}"/>
  <sortState xmlns:xlrd2="http://schemas.microsoft.com/office/spreadsheetml/2017/richdata2" ref="BI3:BK8">
    <sortCondition ref="BJ2:BJ8"/>
  </sortState>
  <tableColumns count="3">
    <tableColumn id="1" xr3:uid="{DBE791C1-E29A-4D4E-9B38-069E5D1AE36C}" name="Grupo"/>
    <tableColumn id="2" xr3:uid="{6A152378-9F9D-4C48-BC6A-C0AB6D11E1AF}" name="Valores" dataDxfId="26" totalsRowDxfId="25"/>
    <tableColumn id="3" xr3:uid="{B28707AC-257E-4905-8500-08F2E364A343}" name="Rango" totalsRowFunction="custom" dataDxfId="24" totalsRowDxfId="23">
      <calculatedColumnFormula>_xlfn.RANK.AVG(BJ3,$AK$3:$AK$8,1)</calculatedColumnFormula>
      <totalsRowFormula>SUM(Table36810[Rango])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577535-7D5B-471C-B1DF-5B0E6E629450}" name="Table47911" displayName="Table47911" ref="BI25:BK33" totalsRowShown="0">
  <autoFilter ref="BI25:BK33" xr:uid="{6D577535-7D5B-471C-B1DF-5B0E6E629450}"/>
  <sortState xmlns:xlrd2="http://schemas.microsoft.com/office/spreadsheetml/2017/richdata2" ref="BI26:BK33">
    <sortCondition ref="BJ25:BJ33"/>
  </sortState>
  <tableColumns count="3">
    <tableColumn id="1" xr3:uid="{98D0A387-457D-4E37-BA60-E883ECC6BAA3}" name="Grupo"/>
    <tableColumn id="2" xr3:uid="{E2BCDFA0-0BFF-4F2A-BDEA-0DB9FF4F54A4}" name="Valores" dataDxfId="22"/>
    <tableColumn id="3" xr3:uid="{E44BDBF2-D3C2-47D0-9EAE-FF3C06FB7949}" name="Ran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2-01-14T20:50:52.11" personId="{483DE697-5BFD-4F25-81D9-208A1B8EA0AC}" id="{E27A12D8-A1FC-4242-B38B-5D6E5B3051F5}">
    <text>add this values to the PSF2 sheet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4285-8A1E-4138-9D9C-6EF7DD2C5C58}">
  <dimension ref="A1:CA49"/>
  <sheetViews>
    <sheetView topLeftCell="A9" zoomScaleNormal="100" workbookViewId="0">
      <pane xSplit="1" topLeftCell="BO1" activePane="topRight" state="frozen"/>
      <selection pane="topRight" activeCell="BO36" sqref="BO36"/>
    </sheetView>
  </sheetViews>
  <sheetFormatPr baseColWidth="10" defaultColWidth="8.83203125" defaultRowHeight="15" x14ac:dyDescent="0.2"/>
  <cols>
    <col min="1" max="1" width="10.5" customWidth="1"/>
    <col min="2" max="2" width="10.1640625" customWidth="1"/>
    <col min="3" max="3" width="5.1640625" customWidth="1"/>
    <col min="4" max="4" width="6.83203125" customWidth="1"/>
    <col min="8" max="8" width="9.1640625" customWidth="1"/>
    <col min="12" max="12" width="9.1640625" customWidth="1"/>
    <col min="18" max="18" width="4.5" customWidth="1"/>
    <col min="22" max="22" width="4.83203125" customWidth="1"/>
    <col min="23" max="23" width="5.1640625" customWidth="1"/>
    <col min="24" max="24" width="4.5" customWidth="1"/>
    <col min="25" max="25" width="6.5" customWidth="1"/>
    <col min="26" max="26" width="5.1640625" customWidth="1"/>
    <col min="27" max="27" width="7.1640625" customWidth="1"/>
    <col min="28" max="28" width="6.1640625" customWidth="1"/>
    <col min="37" max="37" width="9.1640625" customWidth="1"/>
    <col min="42" max="42" width="9.1640625" bestFit="1" customWidth="1"/>
    <col min="44" max="44" width="9.1640625" bestFit="1" customWidth="1"/>
    <col min="60" max="60" width="9.1640625" bestFit="1" customWidth="1"/>
    <col min="66" max="66" width="9.83203125" customWidth="1"/>
    <col min="68" max="68" width="9.6640625" customWidth="1"/>
  </cols>
  <sheetData>
    <row r="1" spans="1:79" x14ac:dyDescent="0.2">
      <c r="E1" t="s">
        <v>45</v>
      </c>
      <c r="AO1" t="s">
        <v>13</v>
      </c>
      <c r="AW1" t="s">
        <v>174</v>
      </c>
      <c r="BE1" t="s">
        <v>177</v>
      </c>
      <c r="BM1" t="s">
        <v>178</v>
      </c>
      <c r="BU1" t="s">
        <v>179</v>
      </c>
    </row>
    <row r="2" spans="1:79" x14ac:dyDescent="0.2">
      <c r="A2" t="s">
        <v>125</v>
      </c>
      <c r="B2" t="s">
        <v>48</v>
      </c>
      <c r="C2" s="3" t="s">
        <v>46</v>
      </c>
      <c r="D2" s="3" t="s">
        <v>47</v>
      </c>
      <c r="E2" t="s">
        <v>11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126</v>
      </c>
      <c r="P2" t="s">
        <v>122</v>
      </c>
      <c r="Q2" t="s">
        <v>84</v>
      </c>
      <c r="S2" t="s">
        <v>133</v>
      </c>
      <c r="T2" t="s">
        <v>134</v>
      </c>
      <c r="U2" t="s">
        <v>135</v>
      </c>
      <c r="W2" t="s">
        <v>144</v>
      </c>
      <c r="X2" t="s">
        <v>145</v>
      </c>
      <c r="AG2" t="s">
        <v>122</v>
      </c>
      <c r="AH2" t="s">
        <v>98</v>
      </c>
      <c r="AJ2" t="s">
        <v>133</v>
      </c>
      <c r="AK2" t="s">
        <v>134</v>
      </c>
      <c r="AL2" t="s">
        <v>155</v>
      </c>
      <c r="AP2" t="s">
        <v>122</v>
      </c>
      <c r="AQ2" t="s">
        <v>98</v>
      </c>
      <c r="AS2" t="s">
        <v>133</v>
      </c>
      <c r="AT2" t="s">
        <v>134</v>
      </c>
      <c r="AU2" t="s">
        <v>155</v>
      </c>
      <c r="AX2" t="s">
        <v>122</v>
      </c>
      <c r="AY2" t="s">
        <v>98</v>
      </c>
      <c r="BA2" t="s">
        <v>133</v>
      </c>
      <c r="BB2" t="s">
        <v>134</v>
      </c>
      <c r="BC2" t="s">
        <v>155</v>
      </c>
      <c r="BF2" t="s">
        <v>122</v>
      </c>
      <c r="BG2" t="s">
        <v>98</v>
      </c>
      <c r="BI2" t="s">
        <v>133</v>
      </c>
      <c r="BJ2" t="s">
        <v>134</v>
      </c>
      <c r="BK2" t="s">
        <v>155</v>
      </c>
      <c r="BN2" t="s">
        <v>122</v>
      </c>
      <c r="BO2" t="s">
        <v>98</v>
      </c>
      <c r="BQ2" t="s">
        <v>133</v>
      </c>
      <c r="BR2" t="s">
        <v>134</v>
      </c>
      <c r="BS2" t="s">
        <v>155</v>
      </c>
      <c r="BV2" t="s">
        <v>122</v>
      </c>
      <c r="BW2" t="s">
        <v>98</v>
      </c>
      <c r="BY2" t="s">
        <v>133</v>
      </c>
      <c r="BZ2" t="s">
        <v>134</v>
      </c>
      <c r="CA2" t="s">
        <v>155</v>
      </c>
    </row>
    <row r="3" spans="1:79" x14ac:dyDescent="0.2">
      <c r="A3" s="21" t="s">
        <v>65</v>
      </c>
      <c r="B3" t="s">
        <v>52</v>
      </c>
      <c r="C3" s="3"/>
      <c r="D3" s="3"/>
      <c r="E3" s="2">
        <v>0</v>
      </c>
      <c r="F3" s="1">
        <v>0.332111184</v>
      </c>
      <c r="G3" s="1">
        <v>657.62122899999997</v>
      </c>
      <c r="H3" s="1">
        <v>0.15755595</v>
      </c>
      <c r="I3" s="2">
        <v>1.1226544199999999</v>
      </c>
      <c r="J3" s="1">
        <v>0.78984352400000002</v>
      </c>
      <c r="K3" s="1">
        <v>343.88025399999998</v>
      </c>
      <c r="L3" s="1">
        <v>0.190081629</v>
      </c>
      <c r="M3" s="2">
        <v>0.829466166</v>
      </c>
      <c r="O3">
        <v>1</v>
      </c>
      <c r="P3" s="23">
        <v>1.1630537700000001</v>
      </c>
      <c r="Q3" s="23">
        <v>3.6510943900000002E-2</v>
      </c>
      <c r="S3" t="s">
        <v>84</v>
      </c>
      <c r="T3" s="23">
        <v>0</v>
      </c>
      <c r="U3">
        <f>_xlfn.RANK.AVG(T3,$T$3:$T$21,1)</f>
        <v>2.5</v>
      </c>
      <c r="W3" t="s">
        <v>146</v>
      </c>
      <c r="X3" t="s">
        <v>147</v>
      </c>
      <c r="AG3" s="1">
        <v>8.8349592699999993E-2</v>
      </c>
      <c r="AH3" s="1">
        <v>29.1056366</v>
      </c>
      <c r="AJ3" t="s">
        <v>122</v>
      </c>
      <c r="AK3" s="1">
        <v>8.8349592699999993E-2</v>
      </c>
      <c r="AL3" s="19">
        <f>_xlfn.RANK.AVG(AK3,$AK$3:$AK$8,1)</f>
        <v>1</v>
      </c>
      <c r="AP3" s="1">
        <v>670.75370599999997</v>
      </c>
      <c r="AQ3" s="1">
        <v>678.824612</v>
      </c>
      <c r="AS3" t="s">
        <v>122</v>
      </c>
      <c r="AT3" s="1">
        <v>8.8349592699999993E-2</v>
      </c>
      <c r="AU3" s="19">
        <f>_xlfn.RANK.AVG(AT3,$AK$3:$AK$8,1)</f>
        <v>1</v>
      </c>
      <c r="AX3">
        <v>0.22755189424686598</v>
      </c>
      <c r="AY3">
        <v>0.58210486769746328</v>
      </c>
      <c r="BA3" t="s">
        <v>122</v>
      </c>
      <c r="BB3" s="1">
        <v>8.8349592699999993E-2</v>
      </c>
      <c r="BC3" s="19">
        <f>_xlfn.RANK.AVG(BB3,$AK$3:$AK$8,1)</f>
        <v>1</v>
      </c>
      <c r="BF3">
        <v>11.039912437664208</v>
      </c>
      <c r="BG3">
        <v>22.503648865420647</v>
      </c>
      <c r="BI3" t="s">
        <v>122</v>
      </c>
      <c r="BJ3" s="1">
        <v>8.8349592699999993E-2</v>
      </c>
      <c r="BK3" s="19">
        <f>_xlfn.RANK.AVG(BJ3,$AK$3:$AK$8,1)</f>
        <v>1</v>
      </c>
      <c r="BN3">
        <v>1.0186979516298658</v>
      </c>
      <c r="BO3">
        <v>1.0172324889489419</v>
      </c>
      <c r="BQ3" t="s">
        <v>122</v>
      </c>
      <c r="BR3" s="1">
        <v>8.8349592699999993E-2</v>
      </c>
      <c r="BS3" s="19">
        <f>_xlfn.RANK.AVG(BR3,$AK$3:$AK$8,1)</f>
        <v>1</v>
      </c>
      <c r="BV3">
        <v>4.4533401146942932E-3</v>
      </c>
      <c r="BW3">
        <v>1.082467427056439E-2</v>
      </c>
      <c r="BY3" t="s">
        <v>122</v>
      </c>
      <c r="BZ3" s="1">
        <v>8.8349592699999993E-2</v>
      </c>
      <c r="CA3" s="19">
        <f>_xlfn.RANK.AVG(BZ3,$AK$3:$AK$8,1)</f>
        <v>1</v>
      </c>
    </row>
    <row r="4" spans="1:79" x14ac:dyDescent="0.2">
      <c r="A4" s="21" t="s">
        <v>66</v>
      </c>
      <c r="B4" t="s">
        <v>52</v>
      </c>
      <c r="C4" s="3"/>
      <c r="E4" s="2">
        <v>0</v>
      </c>
      <c r="F4" s="1">
        <v>0.55247207700000001</v>
      </c>
      <c r="G4" s="1">
        <v>185.993506</v>
      </c>
      <c r="H4" s="1">
        <v>0.20824074100000001</v>
      </c>
      <c r="I4" s="2">
        <v>1.9931537500000001</v>
      </c>
      <c r="J4" s="1">
        <v>0.123449461</v>
      </c>
      <c r="K4" s="1">
        <v>189.32383899999999</v>
      </c>
      <c r="L4" s="1">
        <v>0.22045748800000001</v>
      </c>
      <c r="M4" s="2">
        <v>0.178986168</v>
      </c>
      <c r="O4">
        <v>2</v>
      </c>
      <c r="P4" s="24">
        <v>0.53519899199999998</v>
      </c>
      <c r="Q4" s="24">
        <v>12.2160569</v>
      </c>
      <c r="S4" t="s">
        <v>84</v>
      </c>
      <c r="T4" s="23">
        <v>0</v>
      </c>
      <c r="U4">
        <f t="shared" ref="U4:U21" si="0">_xlfn.RANK.AVG(T4,$T$3:$T$21,1)</f>
        <v>2.5</v>
      </c>
      <c r="AG4" s="1">
        <v>0.332111184</v>
      </c>
      <c r="AH4" s="1">
        <v>1.04531113</v>
      </c>
      <c r="AJ4" t="s">
        <v>98</v>
      </c>
      <c r="AK4" s="1">
        <v>0.224893805</v>
      </c>
      <c r="AL4" s="19">
        <f t="shared" ref="AL4:AL8" si="1">_xlfn.RANK.AVG(AK4,$AK$3:$AK$8,1)</f>
        <v>2</v>
      </c>
      <c r="AP4" s="1">
        <v>657.62122899999997</v>
      </c>
      <c r="AQ4" s="1">
        <v>1000</v>
      </c>
      <c r="AS4" t="s">
        <v>98</v>
      </c>
      <c r="AT4" s="1">
        <v>0.224893805</v>
      </c>
      <c r="AU4" s="19">
        <f t="shared" ref="AU4:AU8" si="2">_xlfn.RANK.AVG(AT4,$AK$3:$AK$8,1)</f>
        <v>2</v>
      </c>
      <c r="AX4">
        <v>1.34314281063765</v>
      </c>
      <c r="AY4">
        <v>0.51383453058315465</v>
      </c>
      <c r="BA4" t="s">
        <v>98</v>
      </c>
      <c r="BB4" s="1">
        <v>0.224893805</v>
      </c>
      <c r="BC4" s="19">
        <f t="shared" ref="BC4:BC8" si="3">_xlfn.RANK.AVG(BB4,$AK$3:$AK$8,1)</f>
        <v>2</v>
      </c>
      <c r="BF4">
        <v>34.831400928320122</v>
      </c>
      <c r="BG4">
        <v>12.818952990213317</v>
      </c>
      <c r="BI4" t="s">
        <v>98</v>
      </c>
      <c r="BJ4" s="1">
        <v>0.224893805</v>
      </c>
      <c r="BK4" s="19">
        <f t="shared" ref="BK4:BK8" si="4">_xlfn.RANK.AVG(BJ4,$AK$3:$AK$8,1)</f>
        <v>2</v>
      </c>
      <c r="BN4">
        <v>1.0183259037353771</v>
      </c>
      <c r="BO4">
        <v>1.0142658720323487</v>
      </c>
      <c r="BQ4" t="s">
        <v>98</v>
      </c>
      <c r="BR4" s="1">
        <v>0.224893805</v>
      </c>
      <c r="BS4" s="19">
        <f t="shared" ref="BS4:BS8" si="5">_xlfn.RANK.AVG(BR4,$AK$3:$AK$8,1)</f>
        <v>2</v>
      </c>
      <c r="BV4">
        <v>2.5436044554954133E-2</v>
      </c>
      <c r="BW4">
        <v>7.3577427699940455E-3</v>
      </c>
      <c r="BY4" t="s">
        <v>98</v>
      </c>
      <c r="BZ4" s="1">
        <v>0.224893805</v>
      </c>
      <c r="CA4" s="19">
        <f t="shared" ref="CA4:CA8" si="6">_xlfn.RANK.AVG(BZ4,$AK$3:$AK$8,1)</f>
        <v>2</v>
      </c>
    </row>
    <row r="5" spans="1:79" x14ac:dyDescent="0.2">
      <c r="A5" s="22" t="s">
        <v>24</v>
      </c>
      <c r="B5" t="s">
        <v>52</v>
      </c>
      <c r="C5" s="3"/>
      <c r="D5" s="3"/>
      <c r="E5" s="2">
        <v>9.0557138299999992E-3</v>
      </c>
      <c r="F5" s="1">
        <v>1.1630537700000001</v>
      </c>
      <c r="G5" s="1">
        <v>324.17728099999999</v>
      </c>
      <c r="H5" s="1">
        <v>0.25168019200000002</v>
      </c>
      <c r="I5" s="2">
        <v>1.06167604</v>
      </c>
      <c r="J5" s="1">
        <v>0</v>
      </c>
      <c r="K5" s="1">
        <v>30.829998100000001</v>
      </c>
      <c r="L5" s="1">
        <v>0.105253311</v>
      </c>
      <c r="M5" s="2">
        <v>1.10407879</v>
      </c>
      <c r="O5">
        <v>3</v>
      </c>
      <c r="P5" s="23">
        <v>2.2730000600000001E-2</v>
      </c>
      <c r="Q5" s="23">
        <v>0</v>
      </c>
      <c r="S5" t="s">
        <v>84</v>
      </c>
      <c r="T5" s="23">
        <v>0</v>
      </c>
      <c r="U5">
        <f t="shared" si="0"/>
        <v>2.5</v>
      </c>
      <c r="W5" t="s">
        <v>122</v>
      </c>
      <c r="X5" t="s">
        <v>131</v>
      </c>
      <c r="Y5" s="3">
        <f>COUNTIF($S$3:$S$21,W5)</f>
        <v>4</v>
      </c>
      <c r="Z5" s="28" t="s">
        <v>127</v>
      </c>
      <c r="AA5" s="3">
        <f>SUMIF($S$3:$S$21,W5,U3:$U$21)</f>
        <v>38</v>
      </c>
      <c r="AB5" t="s">
        <v>129</v>
      </c>
      <c r="AC5">
        <f>$Y$5*$Y$6+(0.5*(Y5*(Y5+1)))-AA5</f>
        <v>32</v>
      </c>
      <c r="AG5" s="1">
        <v>0.55247207700000001</v>
      </c>
      <c r="AH5" s="1">
        <v>0.224893805</v>
      </c>
      <c r="AJ5" t="s">
        <v>122</v>
      </c>
      <c r="AK5" s="1">
        <v>0.332111184</v>
      </c>
      <c r="AL5" s="19">
        <f t="shared" si="1"/>
        <v>3</v>
      </c>
      <c r="AP5" s="1">
        <v>185.993506</v>
      </c>
      <c r="AQ5" s="1">
        <v>534.34323500000005</v>
      </c>
      <c r="AS5" t="s">
        <v>122</v>
      </c>
      <c r="AT5" s="1">
        <v>0.332111184</v>
      </c>
      <c r="AU5" s="19">
        <f t="shared" si="2"/>
        <v>3</v>
      </c>
      <c r="AX5">
        <v>0.42083332558481035</v>
      </c>
      <c r="AY5">
        <v>0.65394590573750622</v>
      </c>
      <c r="BA5" t="s">
        <v>122</v>
      </c>
      <c r="BB5" s="1">
        <v>0.332111184</v>
      </c>
      <c r="BC5" s="19">
        <f t="shared" si="3"/>
        <v>3</v>
      </c>
      <c r="BF5">
        <v>17.719347900691599</v>
      </c>
      <c r="BG5">
        <v>15.097241345208124</v>
      </c>
      <c r="BI5" t="s">
        <v>122</v>
      </c>
      <c r="BJ5" s="1">
        <v>0.332111184</v>
      </c>
      <c r="BK5" s="19">
        <f t="shared" si="4"/>
        <v>3</v>
      </c>
      <c r="BN5">
        <v>1.031994591480869</v>
      </c>
      <c r="BO5">
        <v>1.009581924403391</v>
      </c>
      <c r="BQ5" t="s">
        <v>122</v>
      </c>
      <c r="BR5" s="1">
        <v>0.332111184</v>
      </c>
      <c r="BS5" s="19">
        <f t="shared" si="5"/>
        <v>3</v>
      </c>
      <c r="BV5">
        <v>1.4030465470488755E-2</v>
      </c>
      <c r="BW5">
        <v>6.5536097524860433E-3</v>
      </c>
      <c r="BY5" t="s">
        <v>122</v>
      </c>
      <c r="BZ5" s="1">
        <v>0.332111184</v>
      </c>
      <c r="CA5" s="19">
        <f t="shared" si="6"/>
        <v>3</v>
      </c>
    </row>
    <row r="6" spans="1:79" x14ac:dyDescent="0.2">
      <c r="A6" s="22" t="s">
        <v>29</v>
      </c>
      <c r="B6" t="s">
        <v>52</v>
      </c>
      <c r="C6" s="3"/>
      <c r="D6" s="3"/>
      <c r="E6" s="2">
        <v>1.4089711499999999E-4</v>
      </c>
      <c r="F6" s="1">
        <v>0.53519899199999998</v>
      </c>
      <c r="G6" s="1">
        <v>91.582177000000001</v>
      </c>
      <c r="H6" s="1">
        <v>0.17715937900000001</v>
      </c>
      <c r="I6" s="2">
        <v>1.51541115</v>
      </c>
      <c r="J6" s="1">
        <v>0.110145916</v>
      </c>
      <c r="K6" s="1">
        <v>107.664485</v>
      </c>
      <c r="L6" s="1">
        <v>8.7620099300000004E-2</v>
      </c>
      <c r="M6" s="2">
        <v>-0.13147529099999999</v>
      </c>
      <c r="O6">
        <v>4</v>
      </c>
      <c r="P6" s="24">
        <v>0.37474575799999998</v>
      </c>
      <c r="Q6" s="24">
        <v>0.98969070400000003</v>
      </c>
      <c r="S6" t="s">
        <v>84</v>
      </c>
      <c r="T6" s="23">
        <v>0</v>
      </c>
      <c r="U6">
        <f t="shared" si="0"/>
        <v>2.5</v>
      </c>
      <c r="W6" t="s">
        <v>84</v>
      </c>
      <c r="X6" t="s">
        <v>132</v>
      </c>
      <c r="Y6" s="3">
        <f>COUNTIF($S$3:$S$21,W6)</f>
        <v>15</v>
      </c>
      <c r="Z6" t="s">
        <v>128</v>
      </c>
      <c r="AA6" s="3">
        <f>SUMIF($S$3:$S$21,W6,U3:$U$21)</f>
        <v>152</v>
      </c>
      <c r="AB6" t="s">
        <v>130</v>
      </c>
      <c r="AC6">
        <f>$Y$5*$Y$6+(0.5*(Y6*(Y6+1)))-AA6</f>
        <v>28</v>
      </c>
      <c r="AI6" t="s">
        <v>172</v>
      </c>
      <c r="AJ6" t="s">
        <v>122</v>
      </c>
      <c r="AK6" s="1">
        <v>0.55247207700000001</v>
      </c>
      <c r="AL6" s="19">
        <f t="shared" si="1"/>
        <v>4</v>
      </c>
      <c r="AR6" t="s">
        <v>172</v>
      </c>
      <c r="AS6" t="s">
        <v>122</v>
      </c>
      <c r="AT6" s="1">
        <v>0.55247207700000001</v>
      </c>
      <c r="AU6" s="19">
        <f t="shared" si="2"/>
        <v>4</v>
      </c>
      <c r="AZ6" t="s">
        <v>172</v>
      </c>
      <c r="BA6" t="s">
        <v>122</v>
      </c>
      <c r="BB6" s="1">
        <v>0.55247207700000001</v>
      </c>
      <c r="BC6" s="19">
        <f t="shared" si="3"/>
        <v>4</v>
      </c>
      <c r="BH6" t="s">
        <v>172</v>
      </c>
      <c r="BI6" t="s">
        <v>122</v>
      </c>
      <c r="BJ6" s="1">
        <v>0.55247207700000001</v>
      </c>
      <c r="BK6" s="19">
        <f t="shared" si="4"/>
        <v>4</v>
      </c>
      <c r="BP6" t="s">
        <v>172</v>
      </c>
      <c r="BQ6" t="s">
        <v>122</v>
      </c>
      <c r="BR6" s="1">
        <v>0.55247207700000001</v>
      </c>
      <c r="BS6" s="19">
        <f t="shared" si="5"/>
        <v>4</v>
      </c>
      <c r="BX6" t="s">
        <v>172</v>
      </c>
      <c r="BY6" t="s">
        <v>122</v>
      </c>
      <c r="BZ6" s="1">
        <v>0.55247207700000001</v>
      </c>
      <c r="CA6" s="19">
        <f t="shared" si="6"/>
        <v>4</v>
      </c>
    </row>
    <row r="7" spans="1:79" x14ac:dyDescent="0.2">
      <c r="A7" s="22" t="s">
        <v>34</v>
      </c>
      <c r="B7" t="s">
        <v>52</v>
      </c>
      <c r="C7" s="3"/>
      <c r="D7" s="3"/>
      <c r="E7" s="2">
        <v>0</v>
      </c>
      <c r="F7" s="1">
        <v>2.2730000600000001E-2</v>
      </c>
      <c r="G7" s="1">
        <v>310.791788</v>
      </c>
      <c r="H7" s="1">
        <v>0.15140542400000001</v>
      </c>
      <c r="I7" s="2">
        <v>0.990722879</v>
      </c>
      <c r="J7" s="1">
        <v>9.8588583100000002E-2</v>
      </c>
      <c r="K7" s="1">
        <v>138.03174200000001</v>
      </c>
      <c r="L7" s="1">
        <v>9.62171047E-2</v>
      </c>
      <c r="M7" s="2">
        <v>0.60990904700000004</v>
      </c>
      <c r="O7">
        <v>5</v>
      </c>
      <c r="P7" s="23"/>
      <c r="Q7" s="23">
        <v>1.2086918799999999</v>
      </c>
      <c r="S7" t="s">
        <v>122</v>
      </c>
      <c r="T7" s="23">
        <v>2.2730000600000001E-2</v>
      </c>
      <c r="U7">
        <f t="shared" si="0"/>
        <v>5</v>
      </c>
      <c r="AF7" t="s">
        <v>168</v>
      </c>
      <c r="AG7" s="1">
        <v>3</v>
      </c>
      <c r="AH7" s="1">
        <v>3</v>
      </c>
      <c r="AI7" s="1">
        <f>AG7+AH7-2</f>
        <v>4</v>
      </c>
      <c r="AJ7" t="s">
        <v>98</v>
      </c>
      <c r="AK7" s="1">
        <v>1.04531113</v>
      </c>
      <c r="AL7" s="19">
        <f t="shared" si="1"/>
        <v>5</v>
      </c>
      <c r="AO7" t="s">
        <v>168</v>
      </c>
      <c r="AP7" s="1">
        <f>COUNT(AP3:AP5)</f>
        <v>3</v>
      </c>
      <c r="AQ7" s="1">
        <f>COUNT(AQ3:AQ5)</f>
        <v>3</v>
      </c>
      <c r="AR7" s="1">
        <f>+AP7+AQ7-2</f>
        <v>4</v>
      </c>
      <c r="AS7" t="s">
        <v>98</v>
      </c>
      <c r="AT7" s="1">
        <v>1.04531113</v>
      </c>
      <c r="AU7" s="19">
        <f t="shared" si="2"/>
        <v>5</v>
      </c>
      <c r="AW7" t="s">
        <v>168</v>
      </c>
      <c r="AX7" s="1">
        <f>COUNT(AX3:AX5)</f>
        <v>3</v>
      </c>
      <c r="AY7" s="1">
        <f>COUNT(AY3:AY5)</f>
        <v>3</v>
      </c>
      <c r="AZ7" s="1">
        <f>+AX7+AY7-2</f>
        <v>4</v>
      </c>
      <c r="BA7" t="s">
        <v>98</v>
      </c>
      <c r="BB7" s="1">
        <v>1.04531113</v>
      </c>
      <c r="BC7" s="19">
        <f t="shared" si="3"/>
        <v>5</v>
      </c>
      <c r="BE7" t="s">
        <v>168</v>
      </c>
      <c r="BF7" s="1">
        <f>COUNT(BF3:BF5)</f>
        <v>3</v>
      </c>
      <c r="BG7" s="1">
        <f>COUNT(BG3:BG5)</f>
        <v>3</v>
      </c>
      <c r="BH7" s="1">
        <f>+BF7+BG7-2</f>
        <v>4</v>
      </c>
      <c r="BI7" t="s">
        <v>98</v>
      </c>
      <c r="BJ7" s="1">
        <v>1.04531113</v>
      </c>
      <c r="BK7" s="19">
        <f t="shared" si="4"/>
        <v>5</v>
      </c>
      <c r="BM7" t="s">
        <v>168</v>
      </c>
      <c r="BN7" s="1">
        <f>COUNT(BN3:BN5)</f>
        <v>3</v>
      </c>
      <c r="BO7" s="1">
        <f>COUNT(BO3:BO5)</f>
        <v>3</v>
      </c>
      <c r="BP7" s="19">
        <f>+BN7+BO7-2</f>
        <v>4</v>
      </c>
      <c r="BQ7" t="s">
        <v>98</v>
      </c>
      <c r="BR7" s="1">
        <v>1.04531113</v>
      </c>
      <c r="BS7" s="19">
        <f t="shared" si="5"/>
        <v>5</v>
      </c>
      <c r="BU7" t="s">
        <v>168</v>
      </c>
      <c r="BV7" s="1">
        <f>COUNT(BV3:BV5)</f>
        <v>3</v>
      </c>
      <c r="BW7" s="1">
        <f>COUNT(BW3:BW5)</f>
        <v>3</v>
      </c>
      <c r="BX7" s="19">
        <f>+BV7+BW7-2</f>
        <v>4</v>
      </c>
      <c r="BY7" t="s">
        <v>98</v>
      </c>
      <c r="BZ7" s="1">
        <v>1.04531113</v>
      </c>
      <c r="CA7" s="19">
        <f t="shared" si="6"/>
        <v>5</v>
      </c>
    </row>
    <row r="8" spans="1:79" x14ac:dyDescent="0.2">
      <c r="A8" s="22" t="s">
        <v>39</v>
      </c>
      <c r="B8" t="s">
        <v>52</v>
      </c>
      <c r="C8" s="3"/>
      <c r="D8" s="3"/>
      <c r="E8" s="2">
        <v>2.2752823499999999E-4</v>
      </c>
      <c r="F8" s="1">
        <v>0.37474575799999998</v>
      </c>
      <c r="G8" s="1">
        <v>596.298992</v>
      </c>
      <c r="H8" s="1">
        <v>0.23811626799999999</v>
      </c>
      <c r="I8" s="2">
        <v>1.5761813200000001</v>
      </c>
      <c r="J8" s="1">
        <v>0.25920627000000002</v>
      </c>
      <c r="K8" s="1">
        <v>99.388516600000003</v>
      </c>
      <c r="L8" s="1">
        <v>0.10750217199999999</v>
      </c>
      <c r="M8" s="2">
        <v>0.64752091099999998</v>
      </c>
      <c r="O8">
        <v>6</v>
      </c>
      <c r="P8" s="24"/>
      <c r="Q8" s="24">
        <v>1.0777659399999999</v>
      </c>
      <c r="S8" t="s">
        <v>84</v>
      </c>
      <c r="T8" s="23">
        <v>3.6510943900000002E-2</v>
      </c>
      <c r="U8">
        <f t="shared" si="0"/>
        <v>6</v>
      </c>
      <c r="X8" t="s">
        <v>136</v>
      </c>
      <c r="Y8">
        <f>MIN(AC5:AC6)</f>
        <v>28</v>
      </c>
      <c r="Z8">
        <v>5</v>
      </c>
      <c r="AB8" t="s">
        <v>141</v>
      </c>
      <c r="AC8">
        <f>0.5*Y5*Y6</f>
        <v>30</v>
      </c>
      <c r="AF8" t="s">
        <v>123</v>
      </c>
      <c r="AG8" s="1">
        <f>AVERAGE(AG3:AG5)</f>
        <v>0.32431095123333331</v>
      </c>
      <c r="AH8" s="1">
        <f>AVERAGE(AH3:AH5)</f>
        <v>10.125280511666666</v>
      </c>
      <c r="AI8" s="1">
        <f>AH8-AG8</f>
        <v>9.8009695604333338</v>
      </c>
      <c r="AJ8" t="s">
        <v>98</v>
      </c>
      <c r="AK8" s="1">
        <v>29.1056366</v>
      </c>
      <c r="AL8" s="19">
        <f t="shared" si="1"/>
        <v>6</v>
      </c>
      <c r="AO8" t="s">
        <v>123</v>
      </c>
      <c r="AP8" s="1">
        <f>AVERAGE(AP3:AP5)</f>
        <v>504.7894803333333</v>
      </c>
      <c r="AQ8" s="1">
        <f>AVERAGE(AQ3:AQ5)</f>
        <v>737.72261566666657</v>
      </c>
      <c r="AR8" s="1">
        <f>AQ8-AP8</f>
        <v>232.93313533333327</v>
      </c>
      <c r="AS8" t="s">
        <v>98</v>
      </c>
      <c r="AT8" s="1">
        <v>29.1056366</v>
      </c>
      <c r="AU8" s="19">
        <f t="shared" si="2"/>
        <v>6</v>
      </c>
      <c r="AW8" t="s">
        <v>123</v>
      </c>
      <c r="AX8" s="1">
        <f>AVERAGE(AX3:AX5)</f>
        <v>0.66384267682310882</v>
      </c>
      <c r="AY8" s="1">
        <f>AVERAGE(AY3:AY5)</f>
        <v>0.58329510133937468</v>
      </c>
      <c r="AZ8" s="1">
        <f>AY8-AX8</f>
        <v>-8.0547575483734146E-2</v>
      </c>
      <c r="BA8" t="s">
        <v>98</v>
      </c>
      <c r="BB8" s="1">
        <v>29.1056366</v>
      </c>
      <c r="BC8" s="19">
        <f t="shared" si="3"/>
        <v>6</v>
      </c>
      <c r="BE8" t="s">
        <v>123</v>
      </c>
      <c r="BF8" s="1">
        <f>AVERAGE(BF3:BF5)</f>
        <v>21.196887088891973</v>
      </c>
      <c r="BG8" s="1">
        <f>AVERAGE(BG3:BG5)</f>
        <v>16.806614400280697</v>
      </c>
      <c r="BH8" s="1">
        <f>BG8-BF8</f>
        <v>-4.390272688611276</v>
      </c>
      <c r="BI8" t="s">
        <v>98</v>
      </c>
      <c r="BJ8" s="1">
        <v>29.1056366</v>
      </c>
      <c r="BK8" s="19">
        <f t="shared" si="4"/>
        <v>6</v>
      </c>
      <c r="BM8" t="s">
        <v>123</v>
      </c>
      <c r="BN8" s="1">
        <f>AVERAGE(BN3:BN5)</f>
        <v>1.0230061489487039</v>
      </c>
      <c r="BO8" s="1">
        <f>AVERAGE(BO3:BO5)</f>
        <v>1.0136934284615606</v>
      </c>
      <c r="BP8" s="19">
        <f>ABS(BO8-BN8)</f>
        <v>9.3127204871432667E-3</v>
      </c>
      <c r="BQ8" t="s">
        <v>98</v>
      </c>
      <c r="BR8" s="1">
        <v>29.1056366</v>
      </c>
      <c r="BS8" s="19">
        <f t="shared" si="5"/>
        <v>6</v>
      </c>
      <c r="BU8" t="s">
        <v>123</v>
      </c>
      <c r="BV8" s="1">
        <f>AVERAGE(BV3:BV5)</f>
        <v>1.4639950046712391E-2</v>
      </c>
      <c r="BW8" s="1">
        <f>AVERAGE(BW3:BW5)</f>
        <v>8.2453422643481589E-3</v>
      </c>
      <c r="BX8" s="19">
        <f>ABS(BW8-BV8)</f>
        <v>6.3946077823642325E-3</v>
      </c>
      <c r="BY8" t="s">
        <v>98</v>
      </c>
      <c r="BZ8" s="1">
        <v>29.1056366</v>
      </c>
      <c r="CA8" s="19">
        <f t="shared" si="6"/>
        <v>6</v>
      </c>
    </row>
    <row r="9" spans="1:79" x14ac:dyDescent="0.2">
      <c r="A9" s="21" t="s">
        <v>49</v>
      </c>
      <c r="B9" t="s">
        <v>53</v>
      </c>
      <c r="C9" s="3">
        <v>60</v>
      </c>
      <c r="D9" s="3">
        <v>7</v>
      </c>
      <c r="E9" s="11">
        <v>0</v>
      </c>
      <c r="F9" s="5">
        <v>1.1979573100000001</v>
      </c>
      <c r="G9" s="5">
        <v>809.79864199999997</v>
      </c>
      <c r="H9" s="5">
        <v>0.178682481</v>
      </c>
      <c r="I9" s="4">
        <v>1.1174442</v>
      </c>
      <c r="J9" s="5">
        <v>0.50433411100000003</v>
      </c>
      <c r="K9" s="5">
        <v>277.68595800000003</v>
      </c>
      <c r="L9" s="5">
        <v>0.119932154</v>
      </c>
      <c r="M9" s="4">
        <v>0.62252243600000001</v>
      </c>
      <c r="O9">
        <v>7</v>
      </c>
      <c r="Q9" s="23">
        <v>0</v>
      </c>
      <c r="S9" t="s">
        <v>84</v>
      </c>
      <c r="T9" s="24">
        <v>9.4765872900000006E-2</v>
      </c>
      <c r="U9">
        <f t="shared" si="0"/>
        <v>7</v>
      </c>
      <c r="AF9" t="s">
        <v>165</v>
      </c>
      <c r="AG9">
        <f>_xlfn.STDEV.P(AG3:AG5)</f>
        <v>0.18955747207924675</v>
      </c>
      <c r="AH9">
        <f>_xlfn.STDEV.P(AH3:AH5)</f>
        <v>13.425317105546998</v>
      </c>
      <c r="AK9" s="1"/>
      <c r="AL9" s="19">
        <f>SUM(Table3[Rango])</f>
        <v>21</v>
      </c>
      <c r="AO9" t="s">
        <v>165</v>
      </c>
      <c r="AP9">
        <f>_xlfn.STDEV.P(AP3:AP5)</f>
        <v>225.48654124861261</v>
      </c>
      <c r="AQ9">
        <f>_xlfn.STDEV.P(AQ3:AQ5)</f>
        <v>194.61207023975606</v>
      </c>
      <c r="AT9" s="1"/>
      <c r="AU9" s="19">
        <f>SUM(Table36[Rango])</f>
        <v>21</v>
      </c>
      <c r="AW9" t="s">
        <v>165</v>
      </c>
      <c r="AX9">
        <f>_xlfn.STDEV.P(AX3:AX5)</f>
        <v>0.4867757401345793</v>
      </c>
      <c r="AY9">
        <f>_xlfn.STDEV.P(AY3:AY5)</f>
        <v>5.720642070025949E-2</v>
      </c>
      <c r="BB9" s="1"/>
      <c r="BC9" s="19">
        <f>SUM(Table368[Rango])</f>
        <v>21</v>
      </c>
      <c r="BE9" t="s">
        <v>165</v>
      </c>
      <c r="BF9">
        <f>_xlfn.STDEV.P(BF3:BF5)</f>
        <v>10.019271106368144</v>
      </c>
      <c r="BG9">
        <f>_xlfn.STDEV.P(BG3:BG5)</f>
        <v>4.1343923962996509</v>
      </c>
      <c r="BJ9" s="1"/>
      <c r="BK9" s="19">
        <f>SUM(Table36810[Rango])</f>
        <v>21</v>
      </c>
      <c r="BM9" t="s">
        <v>165</v>
      </c>
      <c r="BN9">
        <f>_xlfn.STDEV.P(BN3:BN5)</f>
        <v>6.357603283967614E-3</v>
      </c>
      <c r="BO9">
        <f>_xlfn.STDEV.P(BO3:BO5)</f>
        <v>3.1494500258206666E-3</v>
      </c>
      <c r="BR9" s="1"/>
      <c r="BS9" s="19">
        <f>SUM(Table3681012[Rango])</f>
        <v>21</v>
      </c>
      <c r="BU9" t="s">
        <v>165</v>
      </c>
      <c r="BV9">
        <f>_xlfn.STDEV.P(BV3:BV5)</f>
        <v>8.5769876216659317E-3</v>
      </c>
      <c r="BW9">
        <f>_xlfn.STDEV.P(BW3:BW5)</f>
        <v>1.8531725367020766E-3</v>
      </c>
      <c r="BZ9" s="1"/>
      <c r="CA9" s="19">
        <f>SUM(Table368101214[Rango])</f>
        <v>21</v>
      </c>
    </row>
    <row r="10" spans="1:79" x14ac:dyDescent="0.2">
      <c r="A10" s="21" t="s">
        <v>2</v>
      </c>
      <c r="B10" t="s">
        <v>53</v>
      </c>
      <c r="C10" s="3">
        <v>90</v>
      </c>
      <c r="D10" s="3">
        <v>7</v>
      </c>
      <c r="E10" s="11">
        <v>4.4026528200000003E-5</v>
      </c>
      <c r="F10" s="5">
        <v>0.61841645300000003</v>
      </c>
      <c r="G10" s="5">
        <v>537.29415400000005</v>
      </c>
      <c r="H10" s="5">
        <v>0.17956904600000001</v>
      </c>
      <c r="I10" s="4">
        <v>1.2331375099999999</v>
      </c>
      <c r="J10" s="5">
        <v>3.1439455200000001E-2</v>
      </c>
      <c r="K10" s="5">
        <v>137.94547900000001</v>
      </c>
      <c r="L10" s="5">
        <v>9.6227391300000006E-2</v>
      </c>
      <c r="M10" s="4">
        <v>0.46076057199999998</v>
      </c>
      <c r="O10">
        <v>8</v>
      </c>
      <c r="Q10" s="24">
        <v>1.2811934300000001</v>
      </c>
      <c r="S10" t="s">
        <v>122</v>
      </c>
      <c r="T10" s="24">
        <v>0.37474575799999998</v>
      </c>
      <c r="U10">
        <f t="shared" si="0"/>
        <v>8</v>
      </c>
      <c r="X10" t="s">
        <v>137</v>
      </c>
      <c r="Y10">
        <f>(Y8-(0.5*Y5*Y6))/SQRT((Y5*Y6*(Y5+Y6+1))/12)</f>
        <v>-0.2</v>
      </c>
      <c r="AB10" t="s">
        <v>142</v>
      </c>
      <c r="AC10">
        <f>SQRT((Y5*Y6*(Y5+Y6+1))/12)</f>
        <v>10</v>
      </c>
      <c r="AF10" t="s">
        <v>166</v>
      </c>
      <c r="AG10">
        <f>SQRT((AG9*AG9*2+2*AH9*AH9)/(AI7))</f>
        <v>9.4940789816525619</v>
      </c>
      <c r="AO10" t="s">
        <v>166</v>
      </c>
      <c r="AP10">
        <f>SQRT((AP9*AP9*2+2*AQ9*AQ9)/(4))</f>
        <v>210.6158091968241</v>
      </c>
      <c r="AW10" t="s">
        <v>166</v>
      </c>
      <c r="AX10">
        <f>SQRT((AX9*AX9*2+2*AY9*AY9)/(4))</f>
        <v>0.34657120174136119</v>
      </c>
      <c r="BE10" t="s">
        <v>166</v>
      </c>
      <c r="BF10">
        <f>SQRT((BF9*BF9*2+2*BG9*BG9)/(4))</f>
        <v>7.6641696872356597</v>
      </c>
      <c r="BM10" t="s">
        <v>166</v>
      </c>
      <c r="BN10">
        <f>SQRT((BN9*BN9*2+2*BO9*BO9)/(4))</f>
        <v>5.0168792581373528E-3</v>
      </c>
      <c r="BU10" t="s">
        <v>166</v>
      </c>
      <c r="BV10">
        <f>SQRT((BV9*BV9*2+2*BW9*BW9)/(4))</f>
        <v>6.2047951260697327E-3</v>
      </c>
    </row>
    <row r="11" spans="1:79" x14ac:dyDescent="0.2">
      <c r="A11" s="21" t="s">
        <v>5</v>
      </c>
      <c r="B11" t="s">
        <v>53</v>
      </c>
      <c r="C11" s="3">
        <v>60</v>
      </c>
      <c r="D11" s="3">
        <v>7</v>
      </c>
      <c r="E11" s="11">
        <v>1.7323031899999999E-4</v>
      </c>
      <c r="F11" s="5">
        <v>0.38287615000000003</v>
      </c>
      <c r="G11" s="5">
        <v>410.89509199999998</v>
      </c>
      <c r="H11" s="5">
        <v>0.17584308200000001</v>
      </c>
      <c r="I11" s="4">
        <v>1.53403599</v>
      </c>
      <c r="J11" s="5">
        <v>0.73184827200000002</v>
      </c>
      <c r="K11" s="5">
        <v>125.179095</v>
      </c>
      <c r="L11" s="5">
        <v>0.117627155</v>
      </c>
      <c r="M11" s="4">
        <v>0.47955440999999999</v>
      </c>
      <c r="O11">
        <v>9</v>
      </c>
      <c r="Q11" s="23">
        <v>0</v>
      </c>
      <c r="S11" t="s">
        <v>84</v>
      </c>
      <c r="T11" s="23">
        <v>0.39492650200000001</v>
      </c>
      <c r="U11">
        <f t="shared" si="0"/>
        <v>9</v>
      </c>
      <c r="X11" t="s">
        <v>15</v>
      </c>
      <c r="Y11">
        <v>0.05</v>
      </c>
      <c r="AF11" t="s">
        <v>167</v>
      </c>
      <c r="AG11" s="1">
        <f>AG10*SQRT((1/AG7)+(1/AH7))</f>
        <v>7.7518830275771036</v>
      </c>
      <c r="AO11" t="s">
        <v>167</v>
      </c>
      <c r="AP11" s="1">
        <f>AP10*SQRT((1/AP7)+(1/AQ7))</f>
        <v>171.9670880985332</v>
      </c>
      <c r="AW11" t="s">
        <v>167</v>
      </c>
      <c r="AX11" s="1">
        <f>AX10*SQRT((1/AX7)+(1/AY7))</f>
        <v>0.28297420126983458</v>
      </c>
      <c r="BE11" t="s">
        <v>167</v>
      </c>
      <c r="BF11" s="1">
        <f>BF10*SQRT((1/BF7)+(1/BG7))</f>
        <v>6.2577683452778352</v>
      </c>
      <c r="BM11" t="s">
        <v>167</v>
      </c>
      <c r="BN11" s="1">
        <f>BN10*SQRT((1/BN7)+(1/BO7))</f>
        <v>4.0962647611963755E-3</v>
      </c>
      <c r="BU11" t="s">
        <v>167</v>
      </c>
      <c r="BV11" s="1">
        <f>BV10*SQRT((1/BV7)+(1/BW7))</f>
        <v>5.066194005792956E-3</v>
      </c>
    </row>
    <row r="12" spans="1:79" x14ac:dyDescent="0.2">
      <c r="A12" s="21" t="s">
        <v>8</v>
      </c>
      <c r="B12" t="s">
        <v>53</v>
      </c>
      <c r="C12" s="3">
        <v>90</v>
      </c>
      <c r="D12" s="3">
        <v>7</v>
      </c>
      <c r="E12" s="11">
        <v>0</v>
      </c>
      <c r="F12" s="5">
        <v>0.46455511399999999</v>
      </c>
      <c r="G12" s="5">
        <v>522.61890400000004</v>
      </c>
      <c r="H12" s="5">
        <v>0.20141224999999999</v>
      </c>
      <c r="I12" s="4">
        <v>2.0816775700000001</v>
      </c>
      <c r="J12" s="5">
        <v>4.35059499E-2</v>
      </c>
      <c r="K12" s="5">
        <v>128.955117</v>
      </c>
      <c r="L12" s="5">
        <v>0.108331574</v>
      </c>
      <c r="M12" s="4">
        <v>0.196446338</v>
      </c>
      <c r="O12">
        <v>10</v>
      </c>
      <c r="Q12" s="24">
        <v>1.2054020400000001</v>
      </c>
      <c r="S12" t="s">
        <v>84</v>
      </c>
      <c r="T12" s="24">
        <v>0.51013756499999996</v>
      </c>
      <c r="U12">
        <f t="shared" si="0"/>
        <v>10</v>
      </c>
      <c r="AF12" t="s">
        <v>169</v>
      </c>
      <c r="AG12" s="1">
        <f>AI8/AG11</f>
        <v>1.264334036719422</v>
      </c>
      <c r="AH12" s="3" t="s">
        <v>170</v>
      </c>
      <c r="AI12">
        <v>2.7759999999999998</v>
      </c>
      <c r="AO12" t="s">
        <v>169</v>
      </c>
      <c r="AP12" s="1">
        <f>AR8/AP11</f>
        <v>1.3545216000858717</v>
      </c>
      <c r="AQ12" s="3" t="s">
        <v>170</v>
      </c>
      <c r="AR12">
        <v>2.7759999999999998</v>
      </c>
      <c r="AW12" t="s">
        <v>169</v>
      </c>
      <c r="AX12" s="1">
        <f>AZ8/AX11</f>
        <v>-0.28464635688440981</v>
      </c>
      <c r="AY12" s="3" t="s">
        <v>170</v>
      </c>
      <c r="AZ12">
        <v>2.7759999999999998</v>
      </c>
      <c r="BE12" t="s">
        <v>169</v>
      </c>
      <c r="BF12" s="1">
        <f>BH8/BF11</f>
        <v>-0.70157162208220969</v>
      </c>
      <c r="BG12" s="3" t="s">
        <v>170</v>
      </c>
      <c r="BH12">
        <v>2.7759999999999998</v>
      </c>
      <c r="BM12" t="s">
        <v>169</v>
      </c>
      <c r="BN12" s="1">
        <f>BP8/BN11</f>
        <v>2.2734664456658185</v>
      </c>
      <c r="BO12" s="3" t="s">
        <v>170</v>
      </c>
      <c r="BP12">
        <v>2.7759999999999998</v>
      </c>
      <c r="BU12" t="s">
        <v>169</v>
      </c>
      <c r="BV12" s="1">
        <f>BX8/BV11</f>
        <v>1.262211390849284</v>
      </c>
      <c r="BW12" s="3" t="s">
        <v>170</v>
      </c>
      <c r="BX12">
        <v>2.7759999999999998</v>
      </c>
    </row>
    <row r="13" spans="1:79" x14ac:dyDescent="0.2">
      <c r="A13" s="22" t="s">
        <v>25</v>
      </c>
      <c r="B13" t="s">
        <v>53</v>
      </c>
      <c r="C13" s="3">
        <v>30</v>
      </c>
      <c r="D13" s="3">
        <v>3</v>
      </c>
      <c r="E13" s="2">
        <v>0</v>
      </c>
      <c r="F13" s="1">
        <v>3.6510943900000002E-2</v>
      </c>
      <c r="G13" s="1">
        <v>1000</v>
      </c>
      <c r="H13" s="1">
        <v>0.12977992899999999</v>
      </c>
      <c r="I13" s="2">
        <v>1.58388167</v>
      </c>
      <c r="J13" s="1">
        <v>1.5399299500000001</v>
      </c>
      <c r="K13" s="1">
        <v>202.89173199999999</v>
      </c>
      <c r="L13" s="1">
        <v>7.5112729700000005E-2</v>
      </c>
      <c r="M13" s="2">
        <v>0.733373952</v>
      </c>
      <c r="O13">
        <v>11</v>
      </c>
      <c r="Q13" s="23">
        <v>0</v>
      </c>
      <c r="S13" t="s">
        <v>122</v>
      </c>
      <c r="T13" s="24">
        <v>0.53519899199999998</v>
      </c>
      <c r="U13">
        <f t="shared" si="0"/>
        <v>11</v>
      </c>
      <c r="X13" t="s">
        <v>138</v>
      </c>
      <c r="Y13">
        <f>_xlfn.NORM.S.INV(1-0.5*Y11)</f>
        <v>1.9599639845400536</v>
      </c>
      <c r="AB13" t="s">
        <v>143</v>
      </c>
      <c r="AC13">
        <f>(Y8-AC8)/AC10</f>
        <v>-0.2</v>
      </c>
      <c r="AF13" t="s">
        <v>164</v>
      </c>
      <c r="AG13">
        <f>TTEST(AG3:AG5,AH3:AH5,2,3)</f>
        <v>0.41037077625861329</v>
      </c>
      <c r="AH13" s="3" t="s">
        <v>171</v>
      </c>
      <c r="AI13">
        <v>0.05</v>
      </c>
      <c r="AO13" t="s">
        <v>173</v>
      </c>
      <c r="AP13">
        <f>TTEST(AP3:AP5,AQ3:AQ5,2,3)</f>
        <v>0.33200893689968863</v>
      </c>
      <c r="AQ13" s="3" t="s">
        <v>171</v>
      </c>
      <c r="AR13">
        <v>0.05</v>
      </c>
      <c r="AW13" t="s">
        <v>173</v>
      </c>
      <c r="AX13">
        <f>TTEST(AX3:AX5,AY3:AY5,2,3)</f>
        <v>0.83731844729442961</v>
      </c>
      <c r="AY13" s="3" t="s">
        <v>171</v>
      </c>
      <c r="AZ13">
        <v>0.05</v>
      </c>
      <c r="BE13" t="s">
        <v>173</v>
      </c>
      <c r="BF13">
        <f>TTEST(BF3:BF5,BG3:BG5,2,3)</f>
        <v>0.61152511581631996</v>
      </c>
      <c r="BG13" s="3" t="s">
        <v>171</v>
      </c>
      <c r="BH13">
        <v>0.05</v>
      </c>
      <c r="BM13" t="s">
        <v>173</v>
      </c>
      <c r="BN13">
        <f>TTEST(BN3:BN5,BO3:BO5,2,3)</f>
        <v>0.16274823028089078</v>
      </c>
      <c r="BO13" s="3" t="s">
        <v>171</v>
      </c>
      <c r="BP13">
        <v>0.05</v>
      </c>
      <c r="BU13" t="s">
        <v>173</v>
      </c>
      <c r="BV13">
        <f>TTEST(BV3:BV5,BW3:BW5,2,3)</f>
        <v>0.40306716899683798</v>
      </c>
      <c r="BW13" s="3" t="s">
        <v>171</v>
      </c>
      <c r="BX13">
        <v>0.05</v>
      </c>
    </row>
    <row r="14" spans="1:79" x14ac:dyDescent="0.2">
      <c r="A14" s="22" t="s">
        <v>27</v>
      </c>
      <c r="B14" t="s">
        <v>53</v>
      </c>
      <c r="C14" s="3">
        <v>60</v>
      </c>
      <c r="D14" s="3">
        <v>3</v>
      </c>
      <c r="E14" s="2">
        <v>9.9879408400000008E-3</v>
      </c>
      <c r="F14" s="1">
        <v>12.2160569</v>
      </c>
      <c r="G14" s="1">
        <v>200.80007900000001</v>
      </c>
      <c r="H14" s="1">
        <v>0.28733642300000001</v>
      </c>
      <c r="I14" s="2">
        <v>2.75305781</v>
      </c>
      <c r="J14" s="1">
        <v>0.31199249000000001</v>
      </c>
      <c r="K14" s="1">
        <v>272.18984999999998</v>
      </c>
      <c r="L14" s="1">
        <v>5.1436791099999997E-2</v>
      </c>
      <c r="M14" s="2">
        <v>1.5540677300000001</v>
      </c>
      <c r="O14">
        <v>12</v>
      </c>
      <c r="Q14" s="24">
        <v>9.4765872900000006E-2</v>
      </c>
      <c r="S14" t="s">
        <v>84</v>
      </c>
      <c r="T14" s="24">
        <v>0.98969070400000003</v>
      </c>
      <c r="U14">
        <f t="shared" si="0"/>
        <v>12</v>
      </c>
      <c r="X14" t="s">
        <v>139</v>
      </c>
      <c r="Y14">
        <f>_xlfn.NORM.S.DIST(Y10,TRUE)</f>
        <v>0.42074029056089696</v>
      </c>
      <c r="AB14" t="s">
        <v>148</v>
      </c>
      <c r="AC14">
        <v>0.84148100000000003</v>
      </c>
      <c r="AD14" t="s">
        <v>149</v>
      </c>
    </row>
    <row r="15" spans="1:79" x14ac:dyDescent="0.2">
      <c r="A15" s="22" t="s">
        <v>30</v>
      </c>
      <c r="B15" t="s">
        <v>53</v>
      </c>
      <c r="C15" s="3">
        <v>30</v>
      </c>
      <c r="D15" s="3">
        <v>3</v>
      </c>
      <c r="E15" s="2">
        <v>0</v>
      </c>
      <c r="F15" s="1">
        <v>0</v>
      </c>
      <c r="G15" s="1">
        <v>52.418960400000003</v>
      </c>
      <c r="H15" s="1">
        <v>0.20671535499999999</v>
      </c>
      <c r="I15" s="2">
        <v>1.60563207</v>
      </c>
      <c r="J15" s="1">
        <v>1.2180170400000001</v>
      </c>
      <c r="K15" s="1">
        <v>969.97912499999995</v>
      </c>
      <c r="L15" s="1">
        <v>0.15660199499999999</v>
      </c>
      <c r="M15" s="2">
        <v>0.79921194100000004</v>
      </c>
      <c r="O15">
        <v>13</v>
      </c>
      <c r="Q15" s="23">
        <v>0.39492650200000001</v>
      </c>
      <c r="S15" t="s">
        <v>84</v>
      </c>
      <c r="T15" s="24">
        <v>1.0777659399999999</v>
      </c>
      <c r="U15">
        <f t="shared" si="0"/>
        <v>13</v>
      </c>
      <c r="AF15" s="30" t="s">
        <v>122</v>
      </c>
      <c r="AG15" s="30">
        <v>3</v>
      </c>
      <c r="AH15" s="30" t="s">
        <v>156</v>
      </c>
      <c r="AI15" s="30">
        <f>SUMIF($AJ$3:$AJ$8,AF15,AL3:$AL$8)</f>
        <v>8</v>
      </c>
      <c r="AJ15" s="30" t="s">
        <v>158</v>
      </c>
      <c r="AK15" s="30">
        <f>$AG$15*$AG$16+(0.5*(AG15*(AG15+1)))-AI15</f>
        <v>7</v>
      </c>
      <c r="AO15" s="30" t="s">
        <v>122</v>
      </c>
      <c r="AP15" s="30">
        <v>3</v>
      </c>
      <c r="AQ15" s="30" t="s">
        <v>156</v>
      </c>
      <c r="AR15" s="30">
        <f>SUMIF($AJ$3:$AJ$8,AO15,$AL3:AL$8)</f>
        <v>8</v>
      </c>
      <c r="AS15" s="30" t="s">
        <v>158</v>
      </c>
      <c r="AT15" s="31">
        <f>$AG$15*$AG$16+(0.5*(AP15*(AP15+1)))-AR15</f>
        <v>7</v>
      </c>
      <c r="AU15" s="32"/>
      <c r="AW15" s="30" t="s">
        <v>122</v>
      </c>
      <c r="AX15" s="30">
        <v>3</v>
      </c>
      <c r="AY15" s="30" t="s">
        <v>156</v>
      </c>
      <c r="AZ15" s="30">
        <f>SUMIF($AJ$3:$AJ$8,AW15,$AL3:BC$8)</f>
        <v>8</v>
      </c>
      <c r="BA15" s="30" t="s">
        <v>158</v>
      </c>
      <c r="BB15" s="30">
        <f>$AG$15*$AG$16+(0.5*(AX15*(AX15+1)))-AZ15</f>
        <v>7</v>
      </c>
      <c r="BE15" s="30" t="s">
        <v>122</v>
      </c>
      <c r="BF15" s="30">
        <v>3</v>
      </c>
      <c r="BG15" s="30" t="s">
        <v>156</v>
      </c>
      <c r="BH15" s="30">
        <f>SUMIF($AJ$3:$AJ$8,BE15,$AL3:BK$8)</f>
        <v>8</v>
      </c>
      <c r="BI15" s="30" t="s">
        <v>158</v>
      </c>
      <c r="BJ15" s="30">
        <f>$AG$15*$AG$16+(0.5*(BF15*(BF15+1)))-BH15</f>
        <v>7</v>
      </c>
      <c r="BM15" s="30" t="s">
        <v>122</v>
      </c>
      <c r="BN15" s="30">
        <v>3</v>
      </c>
      <c r="BO15" s="30" t="s">
        <v>156</v>
      </c>
      <c r="BP15" s="30">
        <f>SUMIF($AJ$3:$AJ$8,BM15,$AL3:BS$8)</f>
        <v>8</v>
      </c>
      <c r="BQ15" s="30" t="s">
        <v>158</v>
      </c>
      <c r="BR15" s="30">
        <f>$AG$15*$AG$16+(0.5*(BN15*(BN15+1)))-BP15</f>
        <v>7</v>
      </c>
      <c r="BU15" s="30" t="s">
        <v>122</v>
      </c>
      <c r="BV15" s="30">
        <v>3</v>
      </c>
      <c r="BW15" s="30" t="s">
        <v>156</v>
      </c>
      <c r="BX15" s="30">
        <f>SUMIF($AJ$3:$AJ$8,BU15,$AL3:CA$8)</f>
        <v>8</v>
      </c>
      <c r="BY15" s="30" t="s">
        <v>158</v>
      </c>
      <c r="BZ15" s="30">
        <f>$AG$15*$AG$16+(0.5*(BV15*(BV15+1)))-BX15</f>
        <v>7</v>
      </c>
    </row>
    <row r="16" spans="1:79" x14ac:dyDescent="0.2">
      <c r="A16" s="22" t="s">
        <v>35</v>
      </c>
      <c r="B16" t="s">
        <v>53</v>
      </c>
      <c r="C16" s="3">
        <v>30</v>
      </c>
      <c r="D16" s="3">
        <v>3</v>
      </c>
      <c r="E16" s="2">
        <v>0</v>
      </c>
      <c r="F16" s="1">
        <v>0.98969070400000003</v>
      </c>
      <c r="G16" s="1">
        <v>442.11053700000002</v>
      </c>
      <c r="H16" s="1">
        <v>0.21337298499999999</v>
      </c>
      <c r="I16" s="2">
        <v>2.43098137</v>
      </c>
      <c r="J16" s="1">
        <v>0.14702066599999999</v>
      </c>
      <c r="K16" s="1">
        <v>210.52828199999999</v>
      </c>
      <c r="L16" s="1">
        <v>7.2613595000000003E-2</v>
      </c>
      <c r="M16" s="2">
        <v>1.1319582800000001</v>
      </c>
      <c r="O16">
        <v>14</v>
      </c>
      <c r="Q16" s="24">
        <v>0.51013756499999996</v>
      </c>
      <c r="S16" t="s">
        <v>122</v>
      </c>
      <c r="T16" s="23">
        <v>1.1630537700000001</v>
      </c>
      <c r="U16">
        <f t="shared" si="0"/>
        <v>14</v>
      </c>
      <c r="W16" t="s">
        <v>140</v>
      </c>
      <c r="AF16" s="30" t="s">
        <v>98</v>
      </c>
      <c r="AG16" s="30">
        <v>3</v>
      </c>
      <c r="AH16" s="30" t="s">
        <v>157</v>
      </c>
      <c r="AI16" s="30">
        <f>SUMIF($AJ$3:$AJ$8,AF16,AL3:$AL$8)</f>
        <v>13</v>
      </c>
      <c r="AJ16" s="30" t="s">
        <v>159</v>
      </c>
      <c r="AK16" s="30">
        <f>$AG$15*$AG$16+(0.5*(AG16*(AG16+1)))-AI16</f>
        <v>2</v>
      </c>
      <c r="AO16" s="30" t="s">
        <v>98</v>
      </c>
      <c r="AP16" s="30">
        <v>3</v>
      </c>
      <c r="AQ16" s="30" t="s">
        <v>157</v>
      </c>
      <c r="AR16" s="30">
        <f>SUMIF($AJ$3:$AJ$8,AO16,$AL3:AL$8)</f>
        <v>13</v>
      </c>
      <c r="AS16" s="30" t="s">
        <v>159</v>
      </c>
      <c r="AT16" s="31">
        <f>$AG$15*$AG$16+(0.5*(AP16*(AP16+1)))-AR16</f>
        <v>2</v>
      </c>
      <c r="AU16" s="32"/>
      <c r="AW16" s="30" t="s">
        <v>98</v>
      </c>
      <c r="AX16" s="30">
        <v>3</v>
      </c>
      <c r="AY16" s="30" t="s">
        <v>157</v>
      </c>
      <c r="AZ16" s="30">
        <f>SUMIF($AJ$3:$AJ$8,AW16,$AL3:BC$8)</f>
        <v>13</v>
      </c>
      <c r="BA16" s="30" t="s">
        <v>159</v>
      </c>
      <c r="BB16" s="30">
        <f>$AG$15*$AG$16+(0.5*(AX16*(AX16+1)))-AZ16</f>
        <v>2</v>
      </c>
      <c r="BE16" s="30" t="s">
        <v>98</v>
      </c>
      <c r="BF16" s="30">
        <v>3</v>
      </c>
      <c r="BG16" s="30" t="s">
        <v>157</v>
      </c>
      <c r="BH16" s="30">
        <f>SUMIF($AJ$3:$AJ$8,BE16,$AL3:BK$8)</f>
        <v>13</v>
      </c>
      <c r="BI16" s="30" t="s">
        <v>159</v>
      </c>
      <c r="BJ16" s="30">
        <f>$AG$15*$AG$16+(0.5*(BF16*(BF16+1)))-BH16</f>
        <v>2</v>
      </c>
      <c r="BM16" s="30" t="s">
        <v>98</v>
      </c>
      <c r="BN16" s="30">
        <v>3</v>
      </c>
      <c r="BO16" s="30" t="s">
        <v>157</v>
      </c>
      <c r="BP16" s="30">
        <f>SUMIF($AJ$3:$AJ$8,BM16,$AL3:BS$8)</f>
        <v>13</v>
      </c>
      <c r="BQ16" s="30" t="s">
        <v>159</v>
      </c>
      <c r="BR16" s="30">
        <f>$AG$15*$AG$16+(0.5*(BN16*(BN16+1)))-BP16</f>
        <v>2</v>
      </c>
      <c r="BU16" s="30" t="s">
        <v>98</v>
      </c>
      <c r="BV16" s="30">
        <v>3</v>
      </c>
      <c r="BW16" s="30" t="s">
        <v>157</v>
      </c>
      <c r="BX16" s="30">
        <f>SUMIF($AJ$3:$AJ$8,BU16,$AL3:CA$8)</f>
        <v>13</v>
      </c>
      <c r="BY16" s="30" t="s">
        <v>159</v>
      </c>
      <c r="BZ16" s="30">
        <f>$AG$15*$AG$16+(0.5*(BV16*(BV16+1)))-BX16</f>
        <v>2</v>
      </c>
    </row>
    <row r="17" spans="1:79" x14ac:dyDescent="0.2">
      <c r="A17" s="22" t="s">
        <v>37</v>
      </c>
      <c r="B17" t="s">
        <v>53</v>
      </c>
      <c r="C17" s="3">
        <v>60</v>
      </c>
      <c r="D17" s="3">
        <v>3</v>
      </c>
      <c r="E17" s="2">
        <v>0</v>
      </c>
      <c r="F17" s="1">
        <v>1.2086918799999999</v>
      </c>
      <c r="G17" s="1">
        <v>42.036540199999997</v>
      </c>
      <c r="H17" s="1">
        <v>0.12775836400000001</v>
      </c>
      <c r="I17" s="2">
        <v>-2.4080806E-2</v>
      </c>
      <c r="J17" s="1">
        <v>1.2597823800000001</v>
      </c>
      <c r="K17" s="1">
        <v>316.34777400000002</v>
      </c>
      <c r="L17" s="1">
        <v>7.9812147799999997E-2</v>
      </c>
      <c r="M17" s="2">
        <v>1.2071975399999999</v>
      </c>
      <c r="O17">
        <v>15</v>
      </c>
      <c r="Q17" s="23">
        <v>1.40103573</v>
      </c>
      <c r="S17" t="s">
        <v>84</v>
      </c>
      <c r="T17" s="24">
        <v>1.2054020400000001</v>
      </c>
      <c r="U17">
        <f t="shared" si="0"/>
        <v>15</v>
      </c>
      <c r="AF17" s="30"/>
      <c r="AG17" s="30"/>
      <c r="AH17" s="30"/>
      <c r="AI17" s="30"/>
      <c r="AJ17" s="30"/>
      <c r="AK17" s="30"/>
      <c r="AO17" s="30"/>
      <c r="AP17" s="30"/>
      <c r="AQ17" s="30"/>
      <c r="AR17" s="30"/>
      <c r="AS17" s="30"/>
      <c r="AT17" s="31"/>
      <c r="AU17" s="32"/>
      <c r="AW17" s="30"/>
      <c r="AX17" s="30"/>
      <c r="AY17" s="30"/>
      <c r="AZ17" s="30"/>
      <c r="BA17" s="30"/>
      <c r="BB17" s="30"/>
      <c r="BE17" s="30"/>
      <c r="BF17" s="30"/>
      <c r="BG17" s="30"/>
      <c r="BH17" s="30"/>
      <c r="BI17" s="30"/>
      <c r="BJ17" s="30"/>
      <c r="BM17" s="30"/>
      <c r="BN17" s="30"/>
      <c r="BO17" s="30"/>
      <c r="BP17" s="30"/>
      <c r="BQ17" s="30"/>
      <c r="BR17" s="30"/>
      <c r="BU17" s="30"/>
      <c r="BV17" s="30"/>
      <c r="BW17" s="30"/>
      <c r="BX17" s="30"/>
      <c r="BY17" s="30"/>
      <c r="BZ17" s="30"/>
    </row>
    <row r="18" spans="1:79" x14ac:dyDescent="0.2">
      <c r="A18" s="22" t="s">
        <v>40</v>
      </c>
      <c r="B18" t="s">
        <v>53</v>
      </c>
      <c r="C18" s="3">
        <v>30</v>
      </c>
      <c r="D18" s="3">
        <v>3</v>
      </c>
      <c r="E18" s="2">
        <v>0</v>
      </c>
      <c r="F18" s="1">
        <v>1.0777659399999999</v>
      </c>
      <c r="G18" s="1">
        <v>0</v>
      </c>
      <c r="H18" s="1">
        <v>0.16537010599999999</v>
      </c>
      <c r="I18" s="2">
        <v>-3.5176148300000001E-2</v>
      </c>
      <c r="J18" s="1">
        <v>0.80410408600000005</v>
      </c>
      <c r="K18" s="1">
        <v>284.62208199999998</v>
      </c>
      <c r="L18" s="1">
        <v>6.8907807799999998E-2</v>
      </c>
      <c r="M18" s="2">
        <v>1.0119267599999999</v>
      </c>
      <c r="Q18" s="24"/>
      <c r="S18" t="s">
        <v>84</v>
      </c>
      <c r="T18" s="23">
        <v>1.2086918799999999</v>
      </c>
      <c r="U18">
        <f t="shared" si="0"/>
        <v>16</v>
      </c>
      <c r="AF18" s="30"/>
      <c r="AG18" s="30" t="s">
        <v>136</v>
      </c>
      <c r="AH18" s="30">
        <f>MIN(AK15:AK16)</f>
        <v>2</v>
      </c>
      <c r="AI18" s="30"/>
      <c r="AJ18" s="30" t="s">
        <v>141</v>
      </c>
      <c r="AK18" s="30">
        <f>0.5*AG15*AG16</f>
        <v>4.5</v>
      </c>
      <c r="AO18" s="30"/>
      <c r="AP18" s="30" t="s">
        <v>136</v>
      </c>
      <c r="AQ18" s="30">
        <f>MIN(AT15:AT16)</f>
        <v>2</v>
      </c>
      <c r="AR18" s="30"/>
      <c r="AS18" s="30" t="s">
        <v>141</v>
      </c>
      <c r="AT18" s="31">
        <f>0.5*AP15*AP16</f>
        <v>4.5</v>
      </c>
      <c r="AU18" s="32"/>
      <c r="AW18" s="30"/>
      <c r="AX18" s="30" t="s">
        <v>136</v>
      </c>
      <c r="AY18" s="30">
        <f>MIN(BB15:BB16)</f>
        <v>2</v>
      </c>
      <c r="AZ18" s="30"/>
      <c r="BA18" s="30" t="s">
        <v>141</v>
      </c>
      <c r="BB18" s="30">
        <f>0.5*AX15*AX16</f>
        <v>4.5</v>
      </c>
      <c r="BE18" s="30"/>
      <c r="BF18" s="30" t="s">
        <v>136</v>
      </c>
      <c r="BG18" s="30">
        <f>MIN(BJ15:BJ16)</f>
        <v>2</v>
      </c>
      <c r="BH18" s="30"/>
      <c r="BI18" s="30" t="s">
        <v>141</v>
      </c>
      <c r="BJ18" s="30">
        <f>0.5*BF15*BF16</f>
        <v>4.5</v>
      </c>
      <c r="BM18" s="30"/>
      <c r="BN18" s="30" t="s">
        <v>136</v>
      </c>
      <c r="BO18" s="30">
        <f>MIN(BR15:BR16)</f>
        <v>2</v>
      </c>
      <c r="BP18" s="30"/>
      <c r="BQ18" s="30" t="s">
        <v>141</v>
      </c>
      <c r="BR18" s="30">
        <f>0.5*BN15*BN16</f>
        <v>4.5</v>
      </c>
      <c r="BU18" s="30"/>
      <c r="BV18" s="30" t="s">
        <v>136</v>
      </c>
      <c r="BW18" s="30">
        <f>MIN(BZ15:BZ16)</f>
        <v>2</v>
      </c>
      <c r="BX18" s="30"/>
      <c r="BY18" s="30" t="s">
        <v>141</v>
      </c>
      <c r="BZ18" s="30">
        <f>0.5*BV15*BV16</f>
        <v>4.5</v>
      </c>
    </row>
    <row r="19" spans="1:79" x14ac:dyDescent="0.2">
      <c r="A19" s="22" t="s">
        <v>42</v>
      </c>
      <c r="B19" t="s">
        <v>53</v>
      </c>
      <c r="C19" s="3">
        <v>60</v>
      </c>
      <c r="D19" s="3">
        <v>3</v>
      </c>
      <c r="E19" s="2">
        <v>0</v>
      </c>
      <c r="F19" s="1">
        <v>0</v>
      </c>
      <c r="G19" s="1">
        <v>45.194447599999997</v>
      </c>
      <c r="H19" s="1">
        <v>0.248476009</v>
      </c>
      <c r="I19" s="2">
        <v>0.82891212199999997</v>
      </c>
      <c r="J19" s="1">
        <v>4.81961963</v>
      </c>
      <c r="K19" s="1">
        <v>525.25088700000003</v>
      </c>
      <c r="L19" s="1">
        <v>0.18422671900000001</v>
      </c>
      <c r="M19" s="2">
        <v>0.90844512700000002</v>
      </c>
      <c r="Q19" s="23"/>
      <c r="S19" t="s">
        <v>84</v>
      </c>
      <c r="T19" s="24">
        <v>1.2811934300000001</v>
      </c>
      <c r="U19">
        <f t="shared" si="0"/>
        <v>17</v>
      </c>
      <c r="AF19" s="30"/>
      <c r="AG19" s="30"/>
      <c r="AH19" s="30"/>
      <c r="AI19" s="30"/>
      <c r="AJ19" s="30"/>
      <c r="AK19" s="30"/>
      <c r="AO19" s="30"/>
      <c r="AP19" s="30"/>
      <c r="AQ19" s="30"/>
      <c r="AR19" s="30"/>
      <c r="AS19" s="30"/>
      <c r="AT19" s="31"/>
      <c r="AU19" s="32"/>
      <c r="AW19" s="30"/>
      <c r="AX19" s="30"/>
      <c r="AY19" s="30"/>
      <c r="AZ19" s="30"/>
      <c r="BA19" s="30"/>
      <c r="BB19" s="30"/>
      <c r="BE19" s="30"/>
      <c r="BF19" s="30"/>
      <c r="BG19" s="30"/>
      <c r="BH19" s="30"/>
      <c r="BI19" s="30"/>
      <c r="BJ19" s="30"/>
      <c r="BM19" s="30"/>
      <c r="BN19" s="30"/>
      <c r="BO19" s="30"/>
      <c r="BP19" s="30"/>
      <c r="BQ19" s="30"/>
      <c r="BR19" s="30"/>
      <c r="BU19" s="30"/>
      <c r="BV19" s="30"/>
      <c r="BW19" s="30"/>
      <c r="BX19" s="30"/>
      <c r="BY19" s="30"/>
      <c r="BZ19" s="30"/>
    </row>
    <row r="20" spans="1:79" x14ac:dyDescent="0.2">
      <c r="A20" s="21" t="s">
        <v>0</v>
      </c>
      <c r="B20" t="s">
        <v>50</v>
      </c>
      <c r="C20" s="3">
        <v>60</v>
      </c>
      <c r="D20" s="3">
        <v>7</v>
      </c>
      <c r="E20" s="11">
        <v>6.1985894000000003E-5</v>
      </c>
      <c r="F20" s="5">
        <v>0.453072011</v>
      </c>
      <c r="G20" s="5">
        <v>964.97132699999997</v>
      </c>
      <c r="H20" s="5">
        <v>0.13167579800000001</v>
      </c>
      <c r="I20" s="4">
        <v>1.2729363300000001</v>
      </c>
      <c r="J20" s="5">
        <v>5.2476337800000002E-2</v>
      </c>
      <c r="K20" s="5">
        <v>506.99699399999997</v>
      </c>
      <c r="L20" s="5">
        <v>6.9483806499999995E-2</v>
      </c>
      <c r="M20" s="4">
        <v>0.71751717199999998</v>
      </c>
      <c r="Q20" s="24"/>
      <c r="S20" t="s">
        <v>84</v>
      </c>
      <c r="T20" s="23">
        <v>1.40103573</v>
      </c>
      <c r="U20">
        <f t="shared" si="0"/>
        <v>18</v>
      </c>
      <c r="AF20" s="30"/>
      <c r="AG20" s="30"/>
      <c r="AH20" s="30"/>
      <c r="AI20" s="30"/>
      <c r="AJ20" s="30" t="s">
        <v>142</v>
      </c>
      <c r="AK20" s="30">
        <f>SQRT((AG15*AG16*(AG15+AG16+1))/12)</f>
        <v>2.2912878474779199</v>
      </c>
      <c r="AO20" s="30"/>
      <c r="AP20" s="30"/>
      <c r="AQ20" s="30"/>
      <c r="AR20" s="30"/>
      <c r="AS20" s="30" t="s">
        <v>142</v>
      </c>
      <c r="AT20" s="31">
        <f>SQRT((AP15*AP16*(AP15+AP16+1))/12)</f>
        <v>2.2912878474779199</v>
      </c>
      <c r="AU20" s="32"/>
      <c r="AW20" s="30"/>
      <c r="AX20" s="30"/>
      <c r="AY20" s="30"/>
      <c r="AZ20" s="30"/>
      <c r="BA20" s="30" t="s">
        <v>142</v>
      </c>
      <c r="BB20" s="30">
        <f>SQRT((AX15*AX16*(AX15+AX16+1))/12)</f>
        <v>2.2912878474779199</v>
      </c>
      <c r="BE20" s="30"/>
      <c r="BF20" s="30"/>
      <c r="BG20" s="30"/>
      <c r="BH20" s="30"/>
      <c r="BI20" s="30" t="s">
        <v>142</v>
      </c>
      <c r="BJ20" s="30">
        <f>SQRT((BF15*BF16*(BF15+BF16+1))/12)</f>
        <v>2.2912878474779199</v>
      </c>
      <c r="BM20" s="30"/>
      <c r="BN20" s="30"/>
      <c r="BO20" s="30"/>
      <c r="BP20" s="30"/>
      <c r="BQ20" s="30" t="s">
        <v>142</v>
      </c>
      <c r="BR20" s="30">
        <f>SQRT((BN15*BN16*(BN15+BN16+1))/12)</f>
        <v>2.2912878474779199</v>
      </c>
      <c r="BU20" s="30"/>
      <c r="BV20" s="30"/>
      <c r="BW20" s="30"/>
      <c r="BX20" s="30"/>
      <c r="BY20" s="30" t="s">
        <v>142</v>
      </c>
      <c r="BZ20" s="30">
        <f>SQRT((BV15*BV16*(BV15+BV16+1))/12)</f>
        <v>2.2912878474779199</v>
      </c>
    </row>
    <row r="21" spans="1:79" x14ac:dyDescent="0.2">
      <c r="A21" s="21" t="s">
        <v>3</v>
      </c>
      <c r="B21" t="s">
        <v>50</v>
      </c>
      <c r="C21" s="3">
        <v>90</v>
      </c>
      <c r="D21" s="3">
        <v>7</v>
      </c>
      <c r="E21" s="11">
        <v>0</v>
      </c>
      <c r="F21" s="5">
        <v>1.2372456599999999</v>
      </c>
      <c r="G21" s="5">
        <v>407.29319099999998</v>
      </c>
      <c r="H21" s="5">
        <v>0.22238422799999999</v>
      </c>
      <c r="I21" s="4">
        <v>1.1113427499999999</v>
      </c>
      <c r="J21" s="5">
        <v>0.118545004</v>
      </c>
      <c r="K21" s="5">
        <v>94.382333500000001</v>
      </c>
      <c r="L21" s="5">
        <v>0.10372875600000001</v>
      </c>
      <c r="M21" s="4">
        <v>0.14425993000000001</v>
      </c>
      <c r="Q21" s="23"/>
      <c r="S21" t="s">
        <v>84</v>
      </c>
      <c r="T21" s="24">
        <v>12.2160569</v>
      </c>
      <c r="U21">
        <f t="shared" si="0"/>
        <v>19</v>
      </c>
      <c r="AF21" s="30"/>
      <c r="AG21" s="30"/>
      <c r="AH21" s="30"/>
      <c r="AI21" s="30"/>
      <c r="AJ21" s="30"/>
      <c r="AK21" s="30"/>
      <c r="AO21" s="30"/>
      <c r="AP21" s="30"/>
      <c r="AQ21" s="30"/>
      <c r="AR21" s="30"/>
      <c r="AS21" s="30"/>
      <c r="AT21" s="31"/>
      <c r="AU21" s="32"/>
      <c r="AW21" s="30"/>
      <c r="AX21" s="30"/>
      <c r="AY21" s="30"/>
      <c r="AZ21" s="30"/>
      <c r="BA21" s="30"/>
      <c r="BB21" s="30"/>
      <c r="BE21" s="30"/>
      <c r="BF21" s="30"/>
      <c r="BG21" s="30"/>
      <c r="BH21" s="30"/>
      <c r="BI21" s="30"/>
      <c r="BJ21" s="30"/>
      <c r="BM21" s="30"/>
      <c r="BN21" s="30"/>
      <c r="BO21" s="30"/>
      <c r="BP21" s="30"/>
      <c r="BQ21" s="30"/>
      <c r="BR21" s="30"/>
      <c r="BU21" s="30"/>
      <c r="BV21" s="30"/>
      <c r="BW21" s="30"/>
      <c r="BX21" s="30"/>
      <c r="BY21" s="30"/>
      <c r="BZ21" s="30"/>
    </row>
    <row r="22" spans="1:79" x14ac:dyDescent="0.2">
      <c r="A22" s="21" t="s">
        <v>6</v>
      </c>
      <c r="B22" t="s">
        <v>50</v>
      </c>
      <c r="C22" s="3">
        <v>60</v>
      </c>
      <c r="D22" s="3">
        <v>7</v>
      </c>
      <c r="E22" s="11">
        <v>0</v>
      </c>
      <c r="F22" s="6">
        <v>9.0415986200000003</v>
      </c>
      <c r="G22" s="6">
        <v>0</v>
      </c>
      <c r="H22" s="6">
        <v>0.28129030999999999</v>
      </c>
      <c r="I22" s="6">
        <v>1.5196739100000001</v>
      </c>
      <c r="J22" s="6">
        <v>0.98796289999999998</v>
      </c>
      <c r="K22" s="7">
        <v>59.406481749999998</v>
      </c>
      <c r="L22" s="6">
        <v>0.13007621999999999</v>
      </c>
      <c r="M22" s="6">
        <v>0.61451697999999999</v>
      </c>
      <c r="Q22" s="24"/>
      <c r="T22" s="23"/>
      <c r="U22">
        <f>SUM(U3:U21)</f>
        <v>190</v>
      </c>
      <c r="AF22" s="30"/>
      <c r="AG22" s="30"/>
      <c r="AH22" s="30"/>
      <c r="AI22" s="30"/>
      <c r="AJ22" s="30" t="s">
        <v>160</v>
      </c>
      <c r="AK22" s="30">
        <f>(AH18-AK18)/AK20</f>
        <v>-1.091089451179962</v>
      </c>
      <c r="AO22" s="30"/>
      <c r="AP22" s="30"/>
      <c r="AQ22" s="30"/>
      <c r="AR22" s="30"/>
      <c r="AS22" s="30" t="s">
        <v>160</v>
      </c>
      <c r="AT22" s="31">
        <f>(AQ18-AT18)/AT20</f>
        <v>-1.091089451179962</v>
      </c>
      <c r="AU22" s="32"/>
      <c r="AW22" s="30"/>
      <c r="AX22" s="30"/>
      <c r="AY22" s="30"/>
      <c r="AZ22" s="30"/>
      <c r="BA22" s="30" t="s">
        <v>160</v>
      </c>
      <c r="BB22" s="30">
        <f>(AY18-BB18)/BB20</f>
        <v>-1.091089451179962</v>
      </c>
      <c r="BE22" s="30"/>
      <c r="BF22" s="30"/>
      <c r="BG22" s="30"/>
      <c r="BH22" s="30"/>
      <c r="BI22" s="30" t="s">
        <v>160</v>
      </c>
      <c r="BJ22" s="30">
        <f>(BG18-BJ18)/BJ20</f>
        <v>-1.091089451179962</v>
      </c>
      <c r="BM22" s="30"/>
      <c r="BN22" s="30"/>
      <c r="BO22" s="30"/>
      <c r="BP22" s="30"/>
      <c r="BQ22" s="30" t="s">
        <v>160</v>
      </c>
      <c r="BR22" s="30">
        <f>(BO18-BR18)/BR20</f>
        <v>-1.091089451179962</v>
      </c>
      <c r="BU22" s="30"/>
      <c r="BV22" s="30"/>
      <c r="BW22" s="30"/>
      <c r="BX22" s="30"/>
      <c r="BY22" s="30" t="s">
        <v>160</v>
      </c>
      <c r="BZ22" s="30">
        <f>(BW18-BZ18)/BZ20</f>
        <v>-1.091089451179962</v>
      </c>
    </row>
    <row r="23" spans="1:79" x14ac:dyDescent="0.2">
      <c r="A23" s="21" t="s">
        <v>9</v>
      </c>
      <c r="B23" t="s">
        <v>50</v>
      </c>
      <c r="C23" s="3">
        <v>90</v>
      </c>
      <c r="D23" s="3">
        <v>7</v>
      </c>
      <c r="E23" s="11">
        <v>5.3453166099999997E-5</v>
      </c>
      <c r="F23" s="5">
        <v>2.9362840499999998</v>
      </c>
      <c r="G23" s="5">
        <v>77.323747999999995</v>
      </c>
      <c r="H23" s="5">
        <v>0.16259305099999999</v>
      </c>
      <c r="I23" s="4">
        <v>1.59950218</v>
      </c>
      <c r="J23" s="5">
        <v>3.9338282600000003E-2</v>
      </c>
      <c r="K23" s="5">
        <v>136.00861599999999</v>
      </c>
      <c r="L23" s="5">
        <v>9.0620648200000001E-2</v>
      </c>
      <c r="M23" s="4">
        <v>0.310251206</v>
      </c>
      <c r="Q23" s="23"/>
      <c r="T23" s="23"/>
      <c r="AF23" s="30"/>
      <c r="AG23" s="30"/>
      <c r="AH23" s="30"/>
      <c r="AI23" s="30"/>
      <c r="AJ23" s="30" t="s">
        <v>161</v>
      </c>
      <c r="AK23" s="30">
        <v>0.27527299999999999</v>
      </c>
      <c r="AL23" s="30" t="s">
        <v>175</v>
      </c>
      <c r="AO23" s="30"/>
      <c r="AP23" s="30"/>
      <c r="AQ23" s="30"/>
      <c r="AR23" s="30"/>
      <c r="AS23" s="30" t="s">
        <v>161</v>
      </c>
      <c r="AT23" s="30">
        <v>4.9646000000000003E-2</v>
      </c>
      <c r="AU23" s="30" t="s">
        <v>162</v>
      </c>
      <c r="AW23" s="30"/>
      <c r="AX23" s="30"/>
      <c r="AY23" s="30"/>
      <c r="AZ23" s="30"/>
      <c r="BA23" s="30" t="s">
        <v>161</v>
      </c>
      <c r="BB23" s="30">
        <v>4.9646000000000003E-2</v>
      </c>
      <c r="BC23" t="s">
        <v>162</v>
      </c>
      <c r="BE23" s="30"/>
      <c r="BF23" s="30"/>
      <c r="BG23" s="30"/>
      <c r="BH23" s="30"/>
      <c r="BI23" s="30" t="s">
        <v>161</v>
      </c>
      <c r="BJ23" s="30">
        <v>4.9646000000000003E-2</v>
      </c>
      <c r="BK23" t="s">
        <v>162</v>
      </c>
      <c r="BM23" s="30"/>
      <c r="BN23" s="30"/>
      <c r="BO23" s="30"/>
      <c r="BP23" s="30"/>
      <c r="BQ23" s="30" t="s">
        <v>161</v>
      </c>
      <c r="BR23" s="30">
        <v>4.9646000000000003E-2</v>
      </c>
      <c r="BS23" t="s">
        <v>162</v>
      </c>
      <c r="BU23" s="30"/>
      <c r="BV23" s="30"/>
      <c r="BW23" s="30"/>
      <c r="BX23" s="30"/>
      <c r="BY23" s="30" t="s">
        <v>161</v>
      </c>
      <c r="BZ23" s="30">
        <v>4.9646000000000003E-2</v>
      </c>
      <c r="CA23" t="s">
        <v>162</v>
      </c>
    </row>
    <row r="24" spans="1:79" x14ac:dyDescent="0.2">
      <c r="A24" s="22" t="s">
        <v>26</v>
      </c>
      <c r="B24" t="s">
        <v>50</v>
      </c>
      <c r="C24" s="3">
        <v>30</v>
      </c>
      <c r="D24" s="3">
        <v>3</v>
      </c>
      <c r="E24" s="2">
        <v>1.0495125100000001E-4</v>
      </c>
      <c r="F24" s="1">
        <v>1.2811934300000001</v>
      </c>
      <c r="G24" s="1">
        <v>127.27198</v>
      </c>
      <c r="H24" s="1">
        <v>0.205350967</v>
      </c>
      <c r="I24" s="2">
        <v>1.58270066</v>
      </c>
      <c r="J24" s="1">
        <v>0.20895741900000001</v>
      </c>
      <c r="K24" s="1">
        <v>209.28931700000001</v>
      </c>
      <c r="L24" s="1">
        <v>9.55208949E-2</v>
      </c>
      <c r="M24" s="2">
        <v>0.61080824</v>
      </c>
      <c r="Q24" s="24"/>
      <c r="T24" s="23"/>
    </row>
    <row r="25" spans="1:79" x14ac:dyDescent="0.2">
      <c r="A25" s="22" t="s">
        <v>28</v>
      </c>
      <c r="B25" t="s">
        <v>50</v>
      </c>
      <c r="C25" s="3">
        <v>60</v>
      </c>
      <c r="D25" s="3">
        <v>3</v>
      </c>
      <c r="E25" s="2">
        <v>0.01</v>
      </c>
      <c r="F25" s="1">
        <v>0</v>
      </c>
      <c r="G25" s="1">
        <v>2.1513110200000001</v>
      </c>
      <c r="H25" s="1">
        <v>0.21329190200000001</v>
      </c>
      <c r="I25" s="2">
        <v>0.98792799799999997</v>
      </c>
      <c r="J25" s="1">
        <v>2.4546479200000002</v>
      </c>
      <c r="K25" s="1">
        <v>276.64735999999999</v>
      </c>
      <c r="L25" s="1">
        <v>0.154259959</v>
      </c>
      <c r="M25" s="2">
        <v>0.93676341200000002</v>
      </c>
      <c r="Q25" s="23"/>
      <c r="T25" s="25"/>
      <c r="AG25" t="s">
        <v>122</v>
      </c>
      <c r="AH25" t="s">
        <v>163</v>
      </c>
      <c r="AJ25" t="s">
        <v>133</v>
      </c>
      <c r="AK25" t="s">
        <v>134</v>
      </c>
      <c r="AL25" t="s">
        <v>155</v>
      </c>
      <c r="AP25" t="s">
        <v>122</v>
      </c>
      <c r="AQ25" t="s">
        <v>163</v>
      </c>
      <c r="AS25" t="s">
        <v>133</v>
      </c>
      <c r="AT25" t="s">
        <v>134</v>
      </c>
      <c r="AU25" t="s">
        <v>155</v>
      </c>
      <c r="AX25" t="s">
        <v>122</v>
      </c>
      <c r="AY25" t="s">
        <v>163</v>
      </c>
      <c r="BA25" t="s">
        <v>133</v>
      </c>
      <c r="BB25" t="s">
        <v>134</v>
      </c>
      <c r="BC25" t="s">
        <v>155</v>
      </c>
      <c r="BF25" t="s">
        <v>122</v>
      </c>
      <c r="BG25" t="s">
        <v>163</v>
      </c>
      <c r="BI25" t="s">
        <v>133</v>
      </c>
      <c r="BJ25" t="s">
        <v>134</v>
      </c>
      <c r="BK25" t="s">
        <v>155</v>
      </c>
      <c r="BN25" t="s">
        <v>122</v>
      </c>
      <c r="BO25" t="s">
        <v>163</v>
      </c>
      <c r="BQ25" t="s">
        <v>133</v>
      </c>
      <c r="BR25" t="s">
        <v>134</v>
      </c>
      <c r="BS25" t="s">
        <v>155</v>
      </c>
      <c r="BV25" t="s">
        <v>122</v>
      </c>
      <c r="BW25" t="s">
        <v>163</v>
      </c>
      <c r="BY25" t="s">
        <v>133</v>
      </c>
      <c r="BZ25" t="s">
        <v>134</v>
      </c>
      <c r="CA25" t="s">
        <v>155</v>
      </c>
    </row>
    <row r="26" spans="1:79" x14ac:dyDescent="0.2">
      <c r="A26" s="22" t="s">
        <v>31</v>
      </c>
      <c r="B26" t="s">
        <v>50</v>
      </c>
      <c r="C26" s="3">
        <v>30</v>
      </c>
      <c r="D26" s="3">
        <v>3</v>
      </c>
      <c r="E26" s="2">
        <v>0</v>
      </c>
      <c r="F26" s="1">
        <v>1.2054020400000001</v>
      </c>
      <c r="G26" s="1">
        <v>298.48058200000003</v>
      </c>
      <c r="H26" s="1">
        <v>0.202685376</v>
      </c>
      <c r="I26" s="2">
        <v>1.0907225399999999E-3</v>
      </c>
      <c r="J26" s="1">
        <v>0.93243055500000005</v>
      </c>
      <c r="K26" s="1">
        <v>396.73460999999998</v>
      </c>
      <c r="L26" s="1">
        <v>0.12502047699999999</v>
      </c>
      <c r="M26" s="2">
        <v>1.1607288200000001</v>
      </c>
      <c r="Q26" s="26"/>
      <c r="T26" s="25"/>
      <c r="AG26" s="1">
        <v>8.8349592699999993E-2</v>
      </c>
      <c r="AH26" s="1">
        <v>1.5469702000000001</v>
      </c>
      <c r="AJ26" t="s">
        <v>163</v>
      </c>
      <c r="AK26" s="1">
        <v>0</v>
      </c>
      <c r="AL26">
        <v>1</v>
      </c>
      <c r="AP26" s="1">
        <v>670.75370599999997</v>
      </c>
      <c r="AQ26" s="1">
        <v>1.5469702000000001</v>
      </c>
      <c r="AS26" t="s">
        <v>163</v>
      </c>
      <c r="AT26" s="1">
        <v>0</v>
      </c>
      <c r="AU26">
        <v>1</v>
      </c>
      <c r="AX26">
        <v>0.22755189424686598</v>
      </c>
      <c r="AY26">
        <v>0.70065220240588411</v>
      </c>
      <c r="BA26" t="s">
        <v>163</v>
      </c>
      <c r="BB26" s="1">
        <v>0</v>
      </c>
      <c r="BC26">
        <v>1</v>
      </c>
      <c r="BF26">
        <v>11.039912437664208</v>
      </c>
      <c r="BG26">
        <v>12.347785994456631</v>
      </c>
      <c r="BI26" t="s">
        <v>163</v>
      </c>
      <c r="BJ26" s="1">
        <v>0</v>
      </c>
      <c r="BK26">
        <v>1</v>
      </c>
      <c r="BN26">
        <v>1.0186979516298658</v>
      </c>
      <c r="BO26">
        <v>1.0143243351754272</v>
      </c>
      <c r="BQ26" t="s">
        <v>163</v>
      </c>
      <c r="BR26" s="1">
        <v>0</v>
      </c>
      <c r="BS26">
        <v>1</v>
      </c>
      <c r="BV26">
        <v>4.4533401146942932E-3</v>
      </c>
      <c r="BW26">
        <v>1.0050445264562656E-2</v>
      </c>
      <c r="BY26" t="s">
        <v>163</v>
      </c>
      <c r="BZ26" s="1">
        <v>0</v>
      </c>
      <c r="CA26">
        <v>1</v>
      </c>
    </row>
    <row r="27" spans="1:79" x14ac:dyDescent="0.2">
      <c r="A27" s="22" t="s">
        <v>33</v>
      </c>
      <c r="B27" t="s">
        <v>50</v>
      </c>
      <c r="C27" s="3">
        <v>60</v>
      </c>
      <c r="D27" s="3">
        <v>3</v>
      </c>
      <c r="E27" s="2">
        <v>8.8797088099999994E-3</v>
      </c>
      <c r="F27" s="1">
        <v>0</v>
      </c>
      <c r="G27" s="1">
        <v>47.934020199999999</v>
      </c>
      <c r="H27" s="1">
        <v>0.22422071800000001</v>
      </c>
      <c r="I27" s="2">
        <v>1.0342574600000001</v>
      </c>
      <c r="J27" s="1">
        <v>1.2259943900000001</v>
      </c>
      <c r="K27" s="1">
        <v>504.44237199999998</v>
      </c>
      <c r="L27" s="1">
        <v>0.15074347900000001</v>
      </c>
      <c r="M27" s="2">
        <v>0.95295796399999999</v>
      </c>
      <c r="Q27" s="25"/>
      <c r="T27" s="23"/>
      <c r="AG27" s="1">
        <v>0.332111184</v>
      </c>
      <c r="AH27" s="1">
        <v>0</v>
      </c>
      <c r="AJ27" s="1" t="s">
        <v>122</v>
      </c>
      <c r="AK27" s="1">
        <v>8.8349592699999993E-2</v>
      </c>
      <c r="AL27">
        <v>2</v>
      </c>
      <c r="AP27" s="1">
        <v>657.62122899999997</v>
      </c>
      <c r="AQ27" s="1">
        <v>0</v>
      </c>
      <c r="AS27" s="1" t="s">
        <v>122</v>
      </c>
      <c r="AT27" s="1">
        <v>8.8349592699999993E-2</v>
      </c>
      <c r="AU27">
        <v>2</v>
      </c>
      <c r="AX27">
        <v>1.34314281063765</v>
      </c>
      <c r="AY27">
        <v>6.8596861001046339</v>
      </c>
      <c r="BA27" s="1" t="s">
        <v>122</v>
      </c>
      <c r="BB27" s="1">
        <v>8.8349592699999993E-2</v>
      </c>
      <c r="BC27">
        <v>2</v>
      </c>
      <c r="BF27">
        <v>34.831400928320122</v>
      </c>
      <c r="BG27">
        <v>51.473792570232455</v>
      </c>
      <c r="BI27" s="1" t="s">
        <v>122</v>
      </c>
      <c r="BJ27" s="1">
        <v>8.8349592699999993E-2</v>
      </c>
      <c r="BK27">
        <v>2</v>
      </c>
      <c r="BN27">
        <v>1.0183259037353771</v>
      </c>
      <c r="BO27">
        <v>1.0018860744588218</v>
      </c>
      <c r="BQ27" s="1" t="s">
        <v>122</v>
      </c>
      <c r="BR27" s="1">
        <v>8.8349592699999993E-2</v>
      </c>
      <c r="BS27">
        <v>2</v>
      </c>
      <c r="BV27">
        <v>2.5436044554954133E-2</v>
      </c>
      <c r="BW27">
        <v>1.3255848441112052E-2</v>
      </c>
      <c r="BY27" s="1" t="s">
        <v>122</v>
      </c>
      <c r="BZ27" s="1">
        <v>8.8349592699999993E-2</v>
      </c>
      <c r="CA27">
        <v>2</v>
      </c>
    </row>
    <row r="28" spans="1:79" x14ac:dyDescent="0.2">
      <c r="A28" s="22" t="s">
        <v>36</v>
      </c>
      <c r="B28" t="s">
        <v>50</v>
      </c>
      <c r="C28" s="3">
        <v>30</v>
      </c>
      <c r="D28" s="3">
        <v>3</v>
      </c>
      <c r="E28" s="2">
        <v>9.7527788499999997E-5</v>
      </c>
      <c r="F28" s="1">
        <v>9.4765872900000006E-2</v>
      </c>
      <c r="G28" s="1">
        <v>336.32519500000001</v>
      </c>
      <c r="H28" s="1">
        <v>0.16652515400000001</v>
      </c>
      <c r="I28" s="2">
        <v>1.4145982100000001</v>
      </c>
      <c r="J28" s="1">
        <v>0.257828691</v>
      </c>
      <c r="K28" s="1">
        <v>216.69210200000001</v>
      </c>
      <c r="L28" s="1">
        <v>7.6099663499999998E-2</v>
      </c>
      <c r="M28" s="2">
        <v>0.72156271900000002</v>
      </c>
      <c r="Q28" s="26"/>
      <c r="T28" s="25"/>
      <c r="AG28" s="1">
        <v>0.55247207700000001</v>
      </c>
      <c r="AH28" s="1">
        <v>12.866392100000001</v>
      </c>
      <c r="AJ28" t="s">
        <v>163</v>
      </c>
      <c r="AK28" s="1">
        <v>0.158137745</v>
      </c>
      <c r="AL28">
        <v>3</v>
      </c>
      <c r="AP28" s="1">
        <v>185.993506</v>
      </c>
      <c r="AQ28" s="1">
        <v>12.866392100000001</v>
      </c>
      <c r="AS28" t="s">
        <v>163</v>
      </c>
      <c r="AT28" s="1">
        <v>0.158137745</v>
      </c>
      <c r="AU28">
        <v>3</v>
      </c>
      <c r="AX28">
        <v>0.42083332558481035</v>
      </c>
      <c r="AY28">
        <v>1.168359575842812</v>
      </c>
      <c r="BA28" t="s">
        <v>163</v>
      </c>
      <c r="BB28" s="1">
        <v>0.158137745</v>
      </c>
      <c r="BC28">
        <v>3</v>
      </c>
      <c r="BF28">
        <v>17.719347900691599</v>
      </c>
      <c r="BG28">
        <v>13.051592338725385</v>
      </c>
      <c r="BI28" t="s">
        <v>163</v>
      </c>
      <c r="BJ28" s="1">
        <v>0.158137745</v>
      </c>
      <c r="BK28">
        <v>3</v>
      </c>
      <c r="BN28">
        <v>1.031994591480869</v>
      </c>
      <c r="BO28">
        <v>1.0138705780367008</v>
      </c>
      <c r="BQ28" t="s">
        <v>163</v>
      </c>
      <c r="BR28" s="1">
        <v>0.158137745</v>
      </c>
      <c r="BS28">
        <v>3</v>
      </c>
      <c r="BV28">
        <v>1.4030465470488755E-2</v>
      </c>
      <c r="BW28">
        <v>1.6857304558367443E-2</v>
      </c>
      <c r="BY28" t="s">
        <v>163</v>
      </c>
      <c r="BZ28" s="1">
        <v>0.158137745</v>
      </c>
      <c r="CA28">
        <v>3</v>
      </c>
    </row>
    <row r="29" spans="1:79" x14ac:dyDescent="0.2">
      <c r="A29" s="22" t="s">
        <v>38</v>
      </c>
      <c r="B29" t="s">
        <v>50</v>
      </c>
      <c r="C29" s="3">
        <v>60</v>
      </c>
      <c r="D29" s="3">
        <v>3</v>
      </c>
      <c r="E29" s="2">
        <v>0</v>
      </c>
      <c r="F29" s="1">
        <v>0.39492650200000001</v>
      </c>
      <c r="G29" s="1">
        <v>226.478567</v>
      </c>
      <c r="H29" s="1">
        <v>0.19011355599999999</v>
      </c>
      <c r="I29" s="2">
        <v>1.02003614</v>
      </c>
      <c r="J29" s="1">
        <v>0.25752373200000001</v>
      </c>
      <c r="K29" s="1">
        <v>172.171561</v>
      </c>
      <c r="L29" s="1">
        <v>0.133516154</v>
      </c>
      <c r="M29" s="2">
        <v>0.460027362</v>
      </c>
      <c r="Q29" s="25"/>
      <c r="T29" s="23"/>
      <c r="AH29" s="1">
        <v>0.158137745</v>
      </c>
      <c r="AJ29" s="1" t="s">
        <v>122</v>
      </c>
      <c r="AK29" s="1">
        <v>0.332111184</v>
      </c>
      <c r="AL29">
        <v>4</v>
      </c>
      <c r="AQ29" s="1">
        <v>0.158137745</v>
      </c>
      <c r="AS29" s="1" t="s">
        <v>122</v>
      </c>
      <c r="AT29" s="1">
        <v>0.332111184</v>
      </c>
      <c r="AU29">
        <v>4</v>
      </c>
      <c r="AY29">
        <v>1.0200720214625205</v>
      </c>
      <c r="BA29" s="1" t="s">
        <v>122</v>
      </c>
      <c r="BB29" s="1">
        <v>0.332111184</v>
      </c>
      <c r="BC29">
        <v>4</v>
      </c>
      <c r="BG29">
        <v>20.085920534674845</v>
      </c>
      <c r="BI29" s="1" t="s">
        <v>122</v>
      </c>
      <c r="BJ29" s="1">
        <v>0.332111184</v>
      </c>
      <c r="BK29">
        <v>4</v>
      </c>
      <c r="BO29">
        <v>1.0214389720873094</v>
      </c>
      <c r="BQ29" s="1" t="s">
        <v>122</v>
      </c>
      <c r="BR29" s="1">
        <v>0.332111184</v>
      </c>
      <c r="BS29">
        <v>4</v>
      </c>
      <c r="BW29">
        <v>2.2334179583322802E-2</v>
      </c>
      <c r="BY29" s="1" t="s">
        <v>122</v>
      </c>
      <c r="BZ29" s="1">
        <v>0.332111184</v>
      </c>
      <c r="CA29">
        <v>4</v>
      </c>
    </row>
    <row r="30" spans="1:79" x14ac:dyDescent="0.2">
      <c r="A30" s="22" t="s">
        <v>41</v>
      </c>
      <c r="B30" t="s">
        <v>50</v>
      </c>
      <c r="C30" s="3">
        <v>30</v>
      </c>
      <c r="D30" s="3">
        <v>3</v>
      </c>
      <c r="E30" s="2">
        <v>0</v>
      </c>
      <c r="F30" s="1">
        <v>0.51013756499999996</v>
      </c>
      <c r="G30" s="1">
        <v>383.23388499999999</v>
      </c>
      <c r="H30" s="1">
        <v>0.177475361</v>
      </c>
      <c r="I30" s="2">
        <v>1.91038321</v>
      </c>
      <c r="J30" s="1">
        <v>0.18508060400000001</v>
      </c>
      <c r="K30" s="1">
        <v>181.78591900000001</v>
      </c>
      <c r="L30" s="1">
        <v>0.12697473400000001</v>
      </c>
      <c r="M30" s="2">
        <v>0.71879542500000004</v>
      </c>
      <c r="T30" s="23"/>
      <c r="AH30" s="1">
        <v>1.0467030500000001</v>
      </c>
      <c r="AJ30" t="s">
        <v>122</v>
      </c>
      <c r="AK30" s="1">
        <v>0.55247207700000001</v>
      </c>
      <c r="AL30">
        <v>5</v>
      </c>
      <c r="AQ30" s="1">
        <v>1.0467030500000001</v>
      </c>
      <c r="AS30" t="s">
        <v>122</v>
      </c>
      <c r="AT30" s="1">
        <v>0.55247207700000001</v>
      </c>
      <c r="AU30">
        <v>5</v>
      </c>
      <c r="AY30">
        <v>2.9830088652432458</v>
      </c>
      <c r="BA30" t="s">
        <v>122</v>
      </c>
      <c r="BB30" s="1">
        <v>0.55247207700000001</v>
      </c>
      <c r="BC30">
        <v>5</v>
      </c>
      <c r="BG30">
        <v>32.348381732238245</v>
      </c>
      <c r="BI30" t="s">
        <v>122</v>
      </c>
      <c r="BJ30" s="1">
        <v>0.55247207700000001</v>
      </c>
      <c r="BK30">
        <v>5</v>
      </c>
      <c r="BO30">
        <v>1.0140425000952529</v>
      </c>
      <c r="BQ30" t="s">
        <v>122</v>
      </c>
      <c r="BR30" s="1">
        <v>0.55247207700000001</v>
      </c>
      <c r="BS30">
        <v>5</v>
      </c>
      <c r="BW30">
        <v>4.2758086738078155E-2</v>
      </c>
      <c r="BY30" t="s">
        <v>122</v>
      </c>
      <c r="BZ30" s="1">
        <v>0.55247207700000001</v>
      </c>
      <c r="CA30">
        <v>5</v>
      </c>
    </row>
    <row r="31" spans="1:79" x14ac:dyDescent="0.2">
      <c r="A31" s="22" t="s">
        <v>43</v>
      </c>
      <c r="B31" t="s">
        <v>50</v>
      </c>
      <c r="C31" s="3">
        <v>60</v>
      </c>
      <c r="D31" s="3">
        <v>3</v>
      </c>
      <c r="E31" s="2">
        <v>5.5274771199999999E-5</v>
      </c>
      <c r="F31" s="1">
        <v>1.40103573</v>
      </c>
      <c r="G31" s="1">
        <v>147.89307600000001</v>
      </c>
      <c r="H31" s="1">
        <v>0.16374208100000001</v>
      </c>
      <c r="I31" s="2">
        <v>1.5383313000000001</v>
      </c>
      <c r="J31" s="1">
        <v>2.2072216200000001E-2</v>
      </c>
      <c r="K31" s="1">
        <v>183.13334499999999</v>
      </c>
      <c r="L31" s="1">
        <v>9.2381939400000002E-2</v>
      </c>
      <c r="M31" s="2">
        <v>-3.4712697700000003E-2</v>
      </c>
      <c r="T31" s="25"/>
      <c r="AI31" t="s">
        <v>172</v>
      </c>
      <c r="AJ31" t="s">
        <v>163</v>
      </c>
      <c r="AK31" s="1">
        <v>1.0467030500000001</v>
      </c>
      <c r="AL31">
        <v>6</v>
      </c>
      <c r="AR31" t="s">
        <v>172</v>
      </c>
      <c r="AS31" t="s">
        <v>163</v>
      </c>
      <c r="AT31" s="1">
        <v>1.0467030500000001</v>
      </c>
      <c r="AU31">
        <v>6</v>
      </c>
      <c r="AZ31" t="s">
        <v>172</v>
      </c>
      <c r="BA31" t="s">
        <v>163</v>
      </c>
      <c r="BB31" s="1">
        <v>1.0467030500000001</v>
      </c>
      <c r="BC31">
        <v>6</v>
      </c>
      <c r="BH31" t="s">
        <v>172</v>
      </c>
      <c r="BI31" t="s">
        <v>163</v>
      </c>
      <c r="BJ31" s="1">
        <v>1.0467030500000001</v>
      </c>
      <c r="BK31">
        <v>6</v>
      </c>
      <c r="BP31" t="s">
        <v>172</v>
      </c>
      <c r="BQ31" t="s">
        <v>163</v>
      </c>
      <c r="BR31" s="1">
        <v>1.0467030500000001</v>
      </c>
      <c r="BS31">
        <v>6</v>
      </c>
      <c r="BX31" t="s">
        <v>172</v>
      </c>
      <c r="BY31" t="s">
        <v>163</v>
      </c>
      <c r="BZ31" s="1">
        <v>1.0467030500000001</v>
      </c>
      <c r="CA31">
        <v>6</v>
      </c>
    </row>
    <row r="32" spans="1:79" x14ac:dyDescent="0.2">
      <c r="A32" s="21" t="s">
        <v>1</v>
      </c>
      <c r="B32" t="s">
        <v>51</v>
      </c>
      <c r="C32" s="3">
        <v>60</v>
      </c>
      <c r="D32" s="3">
        <v>7</v>
      </c>
      <c r="E32" s="11">
        <v>0</v>
      </c>
      <c r="F32" s="5">
        <v>0.49496117699999997</v>
      </c>
      <c r="G32" s="5">
        <v>971.03378899999996</v>
      </c>
      <c r="H32" s="5">
        <v>0.18657512600000001</v>
      </c>
      <c r="I32" s="4">
        <v>1.1837073300000001</v>
      </c>
      <c r="J32" s="5">
        <v>0.43255909399999998</v>
      </c>
      <c r="K32" s="5">
        <v>165.022064</v>
      </c>
      <c r="L32" s="5">
        <v>9.8920436E-2</v>
      </c>
      <c r="M32" s="4">
        <v>0.64429451000000004</v>
      </c>
      <c r="T32" s="23"/>
      <c r="AF32" t="s">
        <v>168</v>
      </c>
      <c r="AG32" s="1">
        <f>COUNT(AG26:AG28)</f>
        <v>3</v>
      </c>
      <c r="AH32" s="1">
        <f>COUNT(AH26:AH30)</f>
        <v>5</v>
      </c>
      <c r="AI32" s="1">
        <f>+AG32+AH32-2</f>
        <v>6</v>
      </c>
      <c r="AJ32" t="s">
        <v>163</v>
      </c>
      <c r="AK32" s="1">
        <v>1.5469702000000001</v>
      </c>
      <c r="AL32">
        <v>7</v>
      </c>
      <c r="AO32" t="s">
        <v>168</v>
      </c>
      <c r="AP32" s="1">
        <f>COUNT(AP26:AP28)</f>
        <v>3</v>
      </c>
      <c r="AQ32" s="1">
        <f>COUNT(AQ26:AQ30)</f>
        <v>5</v>
      </c>
      <c r="AR32" s="1">
        <f>+AP32+AQ32-2</f>
        <v>6</v>
      </c>
      <c r="AS32" t="s">
        <v>163</v>
      </c>
      <c r="AT32" s="1">
        <v>1.5469702000000001</v>
      </c>
      <c r="AU32">
        <v>7</v>
      </c>
      <c r="AW32" t="s">
        <v>168</v>
      </c>
      <c r="AX32" s="1">
        <f>COUNT(AX26:AX28)</f>
        <v>3</v>
      </c>
      <c r="AY32" s="1">
        <f>COUNT(AY26:AY30)</f>
        <v>5</v>
      </c>
      <c r="AZ32" s="1">
        <f>+AX32+AY32-2</f>
        <v>6</v>
      </c>
      <c r="BA32" t="s">
        <v>163</v>
      </c>
      <c r="BB32" s="1">
        <v>1.5469702000000001</v>
      </c>
      <c r="BC32">
        <v>7</v>
      </c>
      <c r="BE32" t="s">
        <v>168</v>
      </c>
      <c r="BF32" s="1">
        <f>COUNT(BF26:BF28)</f>
        <v>3</v>
      </c>
      <c r="BG32" s="1">
        <f>COUNT(BG26:BG30)</f>
        <v>5</v>
      </c>
      <c r="BH32" s="1">
        <f>+BF32+BG32-2</f>
        <v>6</v>
      </c>
      <c r="BI32" t="s">
        <v>163</v>
      </c>
      <c r="BJ32" s="1">
        <v>1.5469702000000001</v>
      </c>
      <c r="BK32">
        <v>7</v>
      </c>
      <c r="BM32" t="s">
        <v>168</v>
      </c>
      <c r="BN32" s="1">
        <f>COUNT(BN26:BN28)</f>
        <v>3</v>
      </c>
      <c r="BO32" s="1">
        <f>COUNT(BO26:BO30)</f>
        <v>5</v>
      </c>
      <c r="BP32" s="1">
        <f>+BN32+BO32-2</f>
        <v>6</v>
      </c>
      <c r="BQ32" t="s">
        <v>163</v>
      </c>
      <c r="BR32" s="1">
        <v>1.5469702000000001</v>
      </c>
      <c r="BS32">
        <v>7</v>
      </c>
      <c r="BU32" t="s">
        <v>168</v>
      </c>
      <c r="BV32" s="1">
        <f>COUNT(BV26:BV28)</f>
        <v>3</v>
      </c>
      <c r="BW32" s="1">
        <f>COUNT(BW26:BW30)</f>
        <v>5</v>
      </c>
      <c r="BX32" s="1">
        <f>+BV32+BW32-2</f>
        <v>6</v>
      </c>
      <c r="BY32" t="s">
        <v>163</v>
      </c>
      <c r="BZ32" s="1">
        <v>1.5469702000000001</v>
      </c>
      <c r="CA32">
        <v>7</v>
      </c>
    </row>
    <row r="33" spans="1:79" x14ac:dyDescent="0.2">
      <c r="A33" s="21" t="s">
        <v>4</v>
      </c>
      <c r="B33" t="s">
        <v>51</v>
      </c>
      <c r="C33" s="3">
        <v>90</v>
      </c>
      <c r="D33" s="3">
        <v>7</v>
      </c>
      <c r="E33" s="11">
        <v>0</v>
      </c>
      <c r="F33" s="5">
        <v>0.18191673</v>
      </c>
      <c r="G33" s="5">
        <v>209.676793</v>
      </c>
      <c r="H33" s="5">
        <v>0.16879316699999999</v>
      </c>
      <c r="I33" s="4">
        <v>0.914117242</v>
      </c>
      <c r="J33" s="5">
        <v>0</v>
      </c>
      <c r="K33" s="5">
        <v>3.6688907500000001</v>
      </c>
      <c r="L33" s="5">
        <v>0.10840583099999999</v>
      </c>
      <c r="M33" s="4">
        <v>1.0500891400000001</v>
      </c>
      <c r="T33" s="25"/>
      <c r="AF33" t="s">
        <v>123</v>
      </c>
      <c r="AG33" s="1">
        <f>AVERAGE(AG26:AG28)</f>
        <v>0.32431095123333331</v>
      </c>
      <c r="AH33" s="1">
        <f>AVERAGE(AH26:AH30)</f>
        <v>3.1236406190000001</v>
      </c>
      <c r="AI33" s="1">
        <f>AH33-AG33</f>
        <v>2.799329667766667</v>
      </c>
      <c r="AJ33" t="s">
        <v>163</v>
      </c>
      <c r="AK33" s="1">
        <v>12.866392100000001</v>
      </c>
      <c r="AL33">
        <v>8</v>
      </c>
      <c r="AO33" t="s">
        <v>123</v>
      </c>
      <c r="AP33" s="1">
        <f>AVERAGE(AP26:AP28)</f>
        <v>504.7894803333333</v>
      </c>
      <c r="AQ33" s="1">
        <f>AVERAGE(AQ26:AQ30)</f>
        <v>3.1236406190000001</v>
      </c>
      <c r="AR33" s="1">
        <f>AQ33-AP33</f>
        <v>-501.66583971433329</v>
      </c>
      <c r="AS33" t="s">
        <v>163</v>
      </c>
      <c r="AT33" s="1">
        <v>12.866392100000001</v>
      </c>
      <c r="AU33">
        <v>8</v>
      </c>
      <c r="AW33" t="s">
        <v>123</v>
      </c>
      <c r="AX33" s="1">
        <f>AVERAGE(AX26:AX28)</f>
        <v>0.66384267682310882</v>
      </c>
      <c r="AY33" s="1">
        <f>AVERAGE(AY26:AY30)</f>
        <v>2.5463557530118193</v>
      </c>
      <c r="AZ33" s="1">
        <f>AY33-AX33</f>
        <v>1.8825130761887103</v>
      </c>
      <c r="BA33" t="s">
        <v>163</v>
      </c>
      <c r="BB33" s="1">
        <v>12.866392100000001</v>
      </c>
      <c r="BC33">
        <v>8</v>
      </c>
      <c r="BE33" t="s">
        <v>123</v>
      </c>
      <c r="BF33" s="1">
        <f>AVERAGE(BF26:BF28)</f>
        <v>21.196887088891973</v>
      </c>
      <c r="BG33" s="1">
        <f>AVERAGE(BG26:BG30)</f>
        <v>25.861494634065508</v>
      </c>
      <c r="BH33" s="1">
        <f>BG33-BF33</f>
        <v>4.6646075451735349</v>
      </c>
      <c r="BI33" t="s">
        <v>163</v>
      </c>
      <c r="BJ33" s="1">
        <v>12.866392100000001</v>
      </c>
      <c r="BK33">
        <v>8</v>
      </c>
      <c r="BM33" t="s">
        <v>123</v>
      </c>
      <c r="BN33" s="1">
        <f>AVERAGE(BN26:BN28)</f>
        <v>1.0230061489487039</v>
      </c>
      <c r="BO33" s="1">
        <f>AVERAGE(BO26:BO30)</f>
        <v>1.0131124919707024</v>
      </c>
      <c r="BP33" s="1">
        <f>ABS(BO33-BN33)</f>
        <v>9.893656978001486E-3</v>
      </c>
      <c r="BQ33" t="s">
        <v>163</v>
      </c>
      <c r="BR33" s="1">
        <v>12.866392100000001</v>
      </c>
      <c r="BS33">
        <v>8</v>
      </c>
      <c r="BU33" t="s">
        <v>123</v>
      </c>
      <c r="BV33" s="1">
        <f>AVERAGE(BV26:BV28)</f>
        <v>1.4639950046712391E-2</v>
      </c>
      <c r="BW33" s="1">
        <f>AVERAGE(BW26:BW30)</f>
        <v>2.1051172917088624E-2</v>
      </c>
      <c r="BX33" s="1">
        <f>ABS(BW33-BV33)</f>
        <v>6.4112228703762323E-3</v>
      </c>
      <c r="BY33" t="s">
        <v>163</v>
      </c>
      <c r="BZ33" s="1">
        <v>12.866392100000001</v>
      </c>
      <c r="CA33">
        <v>8</v>
      </c>
    </row>
    <row r="34" spans="1:79" x14ac:dyDescent="0.2">
      <c r="A34" s="21" t="s">
        <v>7</v>
      </c>
      <c r="B34" t="s">
        <v>51</v>
      </c>
      <c r="C34" s="3">
        <v>60</v>
      </c>
      <c r="D34" s="3">
        <v>7</v>
      </c>
      <c r="E34" s="11">
        <v>1.12534132E-4</v>
      </c>
      <c r="F34" s="5">
        <v>0.72701081099999998</v>
      </c>
      <c r="G34" s="5">
        <v>479.30631599999998</v>
      </c>
      <c r="H34" s="5">
        <v>0.187990135</v>
      </c>
      <c r="I34" s="4">
        <v>1.9446508</v>
      </c>
      <c r="J34" s="5">
        <v>0.127421434</v>
      </c>
      <c r="K34" s="5">
        <v>36.624213699999999</v>
      </c>
      <c r="L34" s="5">
        <v>0.100900551</v>
      </c>
      <c r="M34" s="4">
        <v>0.120058052</v>
      </c>
      <c r="T34" s="23"/>
      <c r="AF34" t="s">
        <v>165</v>
      </c>
      <c r="AG34">
        <f>_xlfn.STDEV.P(AG26:AG28)</f>
        <v>0.18955747207924675</v>
      </c>
      <c r="AH34">
        <f>_xlfn.STDEV.P(AH26:AH30)</f>
        <v>4.9045306341905945</v>
      </c>
      <c r="AO34" t="s">
        <v>165</v>
      </c>
      <c r="AP34">
        <f>_xlfn.STDEV.P(AP26:AP28)</f>
        <v>225.48654124861261</v>
      </c>
      <c r="AQ34">
        <f>_xlfn.STDEV.P(AQ26:AQ30)</f>
        <v>4.9045306341905945</v>
      </c>
      <c r="AW34" t="s">
        <v>165</v>
      </c>
      <c r="AX34">
        <f>_xlfn.STDEV.P(AX26:AX28)</f>
        <v>0.4867757401345793</v>
      </c>
      <c r="AY34">
        <f>_xlfn.STDEV.P(AY26:AY30)</f>
        <v>2.2991529620178386</v>
      </c>
      <c r="BE34" t="s">
        <v>165</v>
      </c>
      <c r="BF34">
        <f>_xlfn.STDEV.P(BF26:BF28)</f>
        <v>10.019271106368144</v>
      </c>
      <c r="BG34">
        <f>_xlfn.STDEV.P(BG26:BG30)</f>
        <v>14.684281963959792</v>
      </c>
      <c r="BM34" t="s">
        <v>165</v>
      </c>
      <c r="BN34">
        <f>_xlfn.STDEV.P(BN26:BN28)</f>
        <v>6.357603283967614E-3</v>
      </c>
      <c r="BO34">
        <f>_xlfn.STDEV.P(BO26:BO30)</f>
        <v>6.2971564190726376E-3</v>
      </c>
      <c r="BU34" t="s">
        <v>165</v>
      </c>
      <c r="BV34">
        <f>_xlfn.STDEV.P(BV26:BV28)</f>
        <v>8.5769876216659317E-3</v>
      </c>
      <c r="BW34">
        <f>_xlfn.STDEV.P(BW26:BW30)</f>
        <v>1.1594894032448582E-2</v>
      </c>
    </row>
    <row r="35" spans="1:79" x14ac:dyDescent="0.2">
      <c r="A35" s="21" t="s">
        <v>10</v>
      </c>
      <c r="B35" t="s">
        <v>51</v>
      </c>
      <c r="C35" s="3">
        <v>90</v>
      </c>
      <c r="D35" s="3">
        <v>7</v>
      </c>
      <c r="E35" s="11">
        <v>7.5058414299999999E-5</v>
      </c>
      <c r="F35" s="5">
        <v>0.17626807799999999</v>
      </c>
      <c r="G35" s="5">
        <v>652.55077900000003</v>
      </c>
      <c r="H35" s="5">
        <v>0.14280860000000001</v>
      </c>
      <c r="I35" s="4">
        <v>2.0798484699999999</v>
      </c>
      <c r="J35" s="5">
        <v>0.98507623799999999</v>
      </c>
      <c r="K35" s="5">
        <v>289.26363700000002</v>
      </c>
      <c r="L35" s="5">
        <v>0.107430952</v>
      </c>
      <c r="M35" s="4">
        <v>0.65375787100000005</v>
      </c>
      <c r="T35" s="25"/>
      <c r="AF35" t="s">
        <v>166</v>
      </c>
      <c r="AG35">
        <f>SQRT((AG34*AG34*2+2*AH34*AH34)/(AI32))</f>
        <v>2.83374621169781</v>
      </c>
      <c r="AO35" t="s">
        <v>166</v>
      </c>
      <c r="AP35">
        <f>SQRT((AP34*AP34*2+2*AQ34*AQ34)/(AR32))</f>
        <v>130.21550689146562</v>
      </c>
      <c r="AW35" t="s">
        <v>166</v>
      </c>
      <c r="AX35">
        <f>SQRT((AX34*AX34*2+2*AY34*AY34)/(AZ32))</f>
        <v>1.3568413029212332</v>
      </c>
      <c r="BE35" t="s">
        <v>166</v>
      </c>
      <c r="BF35">
        <f>SQRT((BF34*BF34*2+2*BG34*BG34)/(BH32))</f>
        <v>10.263429093955853</v>
      </c>
      <c r="BM35" t="s">
        <v>166</v>
      </c>
      <c r="BN35">
        <f>SQRT((BN34*BN34*2+2*BO34*BO34)/(BP32))</f>
        <v>5.1663429516626653E-3</v>
      </c>
      <c r="BU35" t="s">
        <v>166</v>
      </c>
      <c r="BV35">
        <f>SQRT((BV34*BV34*2+2*BW34*BW34)/(BX32))</f>
        <v>8.3267897833022939E-3</v>
      </c>
    </row>
    <row r="36" spans="1:79" x14ac:dyDescent="0.2">
      <c r="AF36" t="s">
        <v>167</v>
      </c>
      <c r="AG36" s="1">
        <f>AG35*SQRT((1/AG32)+(1/AH32))</f>
        <v>2.0694756298556003</v>
      </c>
      <c r="AH36" s="3"/>
      <c r="AO36" t="s">
        <v>167</v>
      </c>
      <c r="AP36" s="1">
        <f>AP35*SQRT((1/AP32)+(1/AQ32))</f>
        <v>95.095960615233508</v>
      </c>
      <c r="AW36" t="s">
        <v>167</v>
      </c>
      <c r="AX36" s="1">
        <f>AX35*SQRT((1/AX32)+(1/AY32))</f>
        <v>0.99089678475287946</v>
      </c>
      <c r="BE36" t="s">
        <v>167</v>
      </c>
      <c r="BF36" s="1">
        <f>BF35*SQRT((1/BF32)+(1/BG32))</f>
        <v>7.4953488428192392</v>
      </c>
      <c r="BM36" t="s">
        <v>167</v>
      </c>
      <c r="BN36" s="1">
        <f>BN35*SQRT((1/BN32)+(1/BO32))</f>
        <v>3.7729634325779516E-3</v>
      </c>
      <c r="BU36" t="s">
        <v>167</v>
      </c>
      <c r="BV36" s="1">
        <f>BV35*SQRT((1/BV32)+(1/BW32))</f>
        <v>6.0810274612242933E-3</v>
      </c>
    </row>
    <row r="37" spans="1:79" x14ac:dyDescent="0.2">
      <c r="AF37" t="s">
        <v>169</v>
      </c>
      <c r="AG37" s="1">
        <f>AI33/AG36</f>
        <v>1.3526758312017393</v>
      </c>
      <c r="AH37" s="3" t="s">
        <v>170</v>
      </c>
      <c r="AI37">
        <v>2.4470000000000001</v>
      </c>
      <c r="AO37" t="s">
        <v>169</v>
      </c>
      <c r="AP37" s="1">
        <f>AR33/AP36</f>
        <v>-5.2753643421734466</v>
      </c>
      <c r="AQ37" s="3" t="s">
        <v>170</v>
      </c>
      <c r="AR37">
        <v>2.4470000000000001</v>
      </c>
      <c r="AW37" t="s">
        <v>169</v>
      </c>
      <c r="AX37" s="1">
        <f>AZ33/AX36</f>
        <v>1.8998074321718501</v>
      </c>
      <c r="AY37" s="3" t="s">
        <v>170</v>
      </c>
      <c r="AZ37">
        <v>2.4470000000000001</v>
      </c>
      <c r="BE37" t="s">
        <v>169</v>
      </c>
      <c r="BF37" s="1">
        <f>BH33/BF36</f>
        <v>0.62233361555177835</v>
      </c>
      <c r="BG37" s="3" t="s">
        <v>170</v>
      </c>
      <c r="BH37">
        <v>2.4470000000000001</v>
      </c>
      <c r="BM37" t="s">
        <v>169</v>
      </c>
      <c r="BN37" s="1">
        <f>BP33/BN36</f>
        <v>2.6222509586427267</v>
      </c>
      <c r="BO37" s="3" t="s">
        <v>170</v>
      </c>
      <c r="BP37">
        <v>2.4470000000000001</v>
      </c>
      <c r="BU37" t="s">
        <v>169</v>
      </c>
      <c r="BV37" s="1">
        <f>BX33/BV36</f>
        <v>1.0542992793993173</v>
      </c>
      <c r="BW37" s="3" t="s">
        <v>170</v>
      </c>
      <c r="BX37">
        <v>2.4470000000000001</v>
      </c>
    </row>
    <row r="38" spans="1:79" x14ac:dyDescent="0.2">
      <c r="AF38" t="s">
        <v>164</v>
      </c>
      <c r="AG38">
        <f>TTEST(AG26:AG28,AH26:AH30,2,3)</f>
        <v>0.31762826815551054</v>
      </c>
      <c r="AH38" s="3" t="s">
        <v>171</v>
      </c>
      <c r="AI38">
        <v>0.05</v>
      </c>
      <c r="AO38" t="s">
        <v>173</v>
      </c>
      <c r="AP38">
        <f>TTEST(AP26:AP28,AQ26:AQ30,2,3)</f>
        <v>8.7864709762839471E-2</v>
      </c>
      <c r="AQ38" s="3" t="s">
        <v>171</v>
      </c>
      <c r="AR38">
        <v>0.05</v>
      </c>
      <c r="AW38" t="s">
        <v>173</v>
      </c>
      <c r="AX38">
        <f>TTEST(AX26:AX28,AY26:AY30,2,3)</f>
        <v>0.18151721413520908</v>
      </c>
      <c r="AY38" s="3" t="s">
        <v>171</v>
      </c>
      <c r="AZ38">
        <v>0.05</v>
      </c>
      <c r="BE38" t="s">
        <v>173</v>
      </c>
      <c r="BF38">
        <f>TTEST(BF26:BF28,BG26:BG30,2,3)</f>
        <v>0.66517204332030433</v>
      </c>
      <c r="BG38" s="3" t="s">
        <v>171</v>
      </c>
      <c r="BH38">
        <v>0.05</v>
      </c>
      <c r="BM38" t="s">
        <v>173</v>
      </c>
      <c r="BN38">
        <f>TTEST(BN26:BN28,BO26:BO30,2,3)</f>
        <v>0.14640147572301093</v>
      </c>
      <c r="BO38" s="3" t="s">
        <v>171</v>
      </c>
      <c r="BP38">
        <v>0.05</v>
      </c>
      <c r="BU38" t="s">
        <v>173</v>
      </c>
      <c r="BV38">
        <f>TTEST(BV26:BV28,BW26:BW30,2,3)</f>
        <v>0.47820173812408867</v>
      </c>
      <c r="BW38" s="3" t="s">
        <v>171</v>
      </c>
      <c r="BX38">
        <v>0.05</v>
      </c>
    </row>
    <row r="40" spans="1:79" x14ac:dyDescent="0.2">
      <c r="AF40" s="30" t="s">
        <v>122</v>
      </c>
      <c r="AG40" s="30">
        <v>3</v>
      </c>
      <c r="AH40" s="30" t="s">
        <v>156</v>
      </c>
      <c r="AI40" s="30">
        <f>SUMIF($AJ$3:$AJ$8,AF40,AL$26:$AL33)</f>
        <v>8</v>
      </c>
      <c r="AJ40" s="30" t="s">
        <v>158</v>
      </c>
      <c r="AK40" s="30">
        <f>$AG$40*$AG$41+(0.5*(AG40*(AG40+1)))-AI40</f>
        <v>13</v>
      </c>
      <c r="AW40" s="30" t="s">
        <v>122</v>
      </c>
      <c r="AX40" s="30">
        <v>3</v>
      </c>
      <c r="AY40" s="30" t="s">
        <v>156</v>
      </c>
      <c r="AZ40" s="30">
        <f>SUMIF($AJ$3:$AJ$8,AW40,$AL$26:BC33)</f>
        <v>8</v>
      </c>
      <c r="BA40" s="30" t="s">
        <v>158</v>
      </c>
      <c r="BB40" s="30">
        <f>$AG$40*$AG$41+(0.5*(AX40*(AX40+1)))-AZ40</f>
        <v>13</v>
      </c>
      <c r="BE40" s="30" t="s">
        <v>122</v>
      </c>
      <c r="BF40" s="30">
        <v>3</v>
      </c>
      <c r="BG40" s="30" t="s">
        <v>156</v>
      </c>
      <c r="BH40" s="30">
        <f>SUMIF($AJ$3:$AJ$8,BE40,$AL$26:BK33)</f>
        <v>8</v>
      </c>
      <c r="BI40" s="30" t="s">
        <v>158</v>
      </c>
      <c r="BJ40" s="30">
        <f>$AG$40*$AG$41+(0.5*(BF40*(BF40+1)))-BH40</f>
        <v>13</v>
      </c>
      <c r="BM40" s="30" t="s">
        <v>122</v>
      </c>
      <c r="BN40" s="30">
        <v>3</v>
      </c>
      <c r="BO40" s="30" t="s">
        <v>156</v>
      </c>
      <c r="BP40" s="30">
        <f>SUMIF($AJ$3:$AJ$8,BM40,$AL$26:BS33)</f>
        <v>8</v>
      </c>
      <c r="BQ40" s="30" t="s">
        <v>158</v>
      </c>
      <c r="BR40" s="30">
        <f>$AG$40*$AG$41+(0.5*(BN40*(BN40+1)))-BP40</f>
        <v>13</v>
      </c>
      <c r="BU40" s="30" t="s">
        <v>122</v>
      </c>
      <c r="BV40" s="30">
        <v>3</v>
      </c>
      <c r="BW40" s="30" t="s">
        <v>156</v>
      </c>
      <c r="BX40" s="30">
        <f>SUMIF($AJ$3:$AJ$8,BU40,$AL$26:CA33)</f>
        <v>8</v>
      </c>
      <c r="BY40" s="30" t="s">
        <v>158</v>
      </c>
      <c r="BZ40" s="30">
        <f>$AG$40*$AG$41+(0.5*(BV40*(BV40+1)))-BX40</f>
        <v>13</v>
      </c>
    </row>
    <row r="41" spans="1:79" x14ac:dyDescent="0.2">
      <c r="AF41" s="30" t="s">
        <v>163</v>
      </c>
      <c r="AG41" s="30">
        <v>5</v>
      </c>
      <c r="AH41" s="30" t="s">
        <v>157</v>
      </c>
      <c r="AI41" s="30">
        <f>SUMIF($AJ$26:$AJ$33,AF41,AL$26:$AL33)</f>
        <v>25</v>
      </c>
      <c r="AJ41" s="30" t="s">
        <v>159</v>
      </c>
      <c r="AK41" s="30">
        <f>$AG$40*$AG$41+(0.5*(AG41*(AG41+1)))-AI41</f>
        <v>5</v>
      </c>
      <c r="AO41" s="30" t="s">
        <v>122</v>
      </c>
      <c r="AP41" s="30">
        <v>3</v>
      </c>
      <c r="AQ41" s="30" t="s">
        <v>156</v>
      </c>
      <c r="AR41" s="30">
        <f>SUMIF($AJ$3:$AJ$8,AO41,$AL$26:AU33)</f>
        <v>8</v>
      </c>
      <c r="AS41" s="30" t="s">
        <v>158</v>
      </c>
      <c r="AT41" s="30">
        <f>$AG$40*$AG$41+(0.5*(AP41*(AP41+1)))-AR41</f>
        <v>13</v>
      </c>
      <c r="AW41" s="30" t="s">
        <v>163</v>
      </c>
      <c r="AX41" s="30">
        <v>5</v>
      </c>
      <c r="AY41" s="30" t="s">
        <v>157</v>
      </c>
      <c r="AZ41" s="30">
        <f>SUMIF($AJ$26:$AJ$33,AW41,$AL$26:BC33)</f>
        <v>25</v>
      </c>
      <c r="BA41" s="30" t="s">
        <v>159</v>
      </c>
      <c r="BB41" s="30">
        <f>$AG$40*$AG$41+(0.5*(AX41*(AX41+1)))-AZ41</f>
        <v>5</v>
      </c>
      <c r="BE41" s="30" t="s">
        <v>163</v>
      </c>
      <c r="BF41" s="30">
        <v>5</v>
      </c>
      <c r="BG41" s="30" t="s">
        <v>157</v>
      </c>
      <c r="BH41" s="30">
        <f>SUMIF($AJ$26:$AJ$33,BE41,$AL$26:BK33)</f>
        <v>25</v>
      </c>
      <c r="BI41" s="30" t="s">
        <v>159</v>
      </c>
      <c r="BJ41" s="30">
        <f>$AG$40*$AG$41+(0.5*(BF41*(BF41+1)))-BH41</f>
        <v>5</v>
      </c>
      <c r="BM41" s="30" t="s">
        <v>163</v>
      </c>
      <c r="BN41" s="30">
        <v>5</v>
      </c>
      <c r="BO41" s="30" t="s">
        <v>157</v>
      </c>
      <c r="BP41" s="30">
        <f>SUMIF($AJ$26:$AJ$33,BM41,$AL$26:BS33)</f>
        <v>25</v>
      </c>
      <c r="BQ41" s="30" t="s">
        <v>159</v>
      </c>
      <c r="BR41" s="30">
        <f>$AG$40*$AG$41+(0.5*(BN41*(BN41+1)))-BP41</f>
        <v>5</v>
      </c>
      <c r="BU41" s="30" t="s">
        <v>163</v>
      </c>
      <c r="BV41" s="30">
        <v>5</v>
      </c>
      <c r="BW41" s="30" t="s">
        <v>157</v>
      </c>
      <c r="BX41" s="30">
        <f>SUMIF($AJ$26:$AJ$33,BU41,$AL$26:CA33)</f>
        <v>25</v>
      </c>
      <c r="BY41" s="30" t="s">
        <v>159</v>
      </c>
      <c r="BZ41" s="30">
        <f>$AG$40*$AG$41+(0.5*(BV41*(BV41+1)))-BX41</f>
        <v>5</v>
      </c>
    </row>
    <row r="42" spans="1:79" x14ac:dyDescent="0.2">
      <c r="AF42" s="30"/>
      <c r="AG42" s="30"/>
      <c r="AH42" s="30"/>
      <c r="AI42" s="30"/>
      <c r="AJ42" s="30"/>
      <c r="AK42" s="30"/>
      <c r="AO42" s="30" t="s">
        <v>163</v>
      </c>
      <c r="AP42" s="30">
        <v>5</v>
      </c>
      <c r="AQ42" s="30" t="s">
        <v>157</v>
      </c>
      <c r="AR42" s="30">
        <f>SUMIF($AJ$26:$AJ$33,AO42,$AL$26:AU33)</f>
        <v>25</v>
      </c>
      <c r="AS42" s="30" t="s">
        <v>159</v>
      </c>
      <c r="AT42" s="30">
        <f>$AG$40*$AG$41+(0.5*(AP42*(AP42+1)))-AR42</f>
        <v>5</v>
      </c>
      <c r="AW42" s="30"/>
      <c r="AX42" s="30"/>
      <c r="AY42" s="30"/>
      <c r="AZ42" s="30"/>
      <c r="BA42" s="30"/>
      <c r="BB42" s="30"/>
      <c r="BE42" s="30"/>
      <c r="BF42" s="30"/>
      <c r="BG42" s="30"/>
      <c r="BH42" s="30"/>
      <c r="BI42" s="30"/>
      <c r="BJ42" s="30"/>
      <c r="BM42" s="30"/>
      <c r="BN42" s="30"/>
      <c r="BO42" s="30"/>
      <c r="BP42" s="30"/>
      <c r="BQ42" s="30"/>
      <c r="BR42" s="30"/>
      <c r="BU42" s="30"/>
      <c r="BV42" s="30"/>
      <c r="BW42" s="30"/>
      <c r="BX42" s="30"/>
      <c r="BY42" s="30"/>
      <c r="BZ42" s="30"/>
    </row>
    <row r="43" spans="1:79" x14ac:dyDescent="0.2">
      <c r="AF43" s="30"/>
      <c r="AG43" s="30" t="s">
        <v>136</v>
      </c>
      <c r="AH43" s="30">
        <f>MIN(AK40:AK41)</f>
        <v>5</v>
      </c>
      <c r="AI43" s="30"/>
      <c r="AJ43" s="30" t="s">
        <v>141</v>
      </c>
      <c r="AK43" s="30">
        <f>0.5*AG40*AG41</f>
        <v>7.5</v>
      </c>
      <c r="AO43" s="30"/>
      <c r="AP43" s="30"/>
      <c r="AQ43" s="30"/>
      <c r="AR43" s="30"/>
      <c r="AS43" s="30"/>
      <c r="AT43" s="30"/>
      <c r="AW43" s="30"/>
      <c r="AX43" s="30" t="s">
        <v>136</v>
      </c>
      <c r="AY43" s="30">
        <f>MIN(BB40:BB41)</f>
        <v>5</v>
      </c>
      <c r="AZ43" s="30"/>
      <c r="BA43" s="30" t="s">
        <v>141</v>
      </c>
      <c r="BB43" s="30">
        <f>0.5*AX40*AX41</f>
        <v>7.5</v>
      </c>
      <c r="BE43" s="30"/>
      <c r="BF43" s="30" t="s">
        <v>136</v>
      </c>
      <c r="BG43" s="30">
        <f>MIN(BJ40:BJ41)</f>
        <v>5</v>
      </c>
      <c r="BH43" s="30"/>
      <c r="BI43" s="30" t="s">
        <v>141</v>
      </c>
      <c r="BJ43" s="30">
        <f>0.5*BF40*BF41</f>
        <v>7.5</v>
      </c>
      <c r="BM43" s="30"/>
      <c r="BN43" s="30" t="s">
        <v>136</v>
      </c>
      <c r="BO43" s="30">
        <f>MIN(BR40:BR41)</f>
        <v>5</v>
      </c>
      <c r="BP43" s="30"/>
      <c r="BQ43" s="30" t="s">
        <v>141</v>
      </c>
      <c r="BR43" s="30">
        <f>0.5*BN40*BN41</f>
        <v>7.5</v>
      </c>
      <c r="BU43" s="30"/>
      <c r="BV43" s="30" t="s">
        <v>136</v>
      </c>
      <c r="BW43" s="30">
        <f>MIN(BZ40:BZ41)</f>
        <v>5</v>
      </c>
      <c r="BX43" s="30"/>
      <c r="BY43" s="30" t="s">
        <v>141</v>
      </c>
      <c r="BZ43" s="30">
        <f>0.5*BV40*BV41</f>
        <v>7.5</v>
      </c>
    </row>
    <row r="44" spans="1:79" x14ac:dyDescent="0.2">
      <c r="AF44" s="30"/>
      <c r="AG44" s="30"/>
      <c r="AH44" s="30"/>
      <c r="AI44" s="30"/>
      <c r="AJ44" s="30"/>
      <c r="AK44" s="30"/>
      <c r="AO44" s="30"/>
      <c r="AP44" s="30" t="s">
        <v>136</v>
      </c>
      <c r="AQ44" s="30">
        <f>MIN(AT41:AT42)</f>
        <v>5</v>
      </c>
      <c r="AR44" s="30"/>
      <c r="AS44" s="30" t="s">
        <v>141</v>
      </c>
      <c r="AT44" s="30">
        <f>0.5*AP41*AP42</f>
        <v>7.5</v>
      </c>
      <c r="AW44" s="30"/>
      <c r="AX44" s="30"/>
      <c r="AY44" s="30"/>
      <c r="AZ44" s="30"/>
      <c r="BA44" s="30"/>
      <c r="BB44" s="30"/>
      <c r="BE44" s="30"/>
      <c r="BF44" s="30"/>
      <c r="BG44" s="30"/>
      <c r="BH44" s="30"/>
      <c r="BI44" s="30"/>
      <c r="BJ44" s="30"/>
      <c r="BM44" s="30"/>
      <c r="BN44" s="30"/>
      <c r="BO44" s="30"/>
      <c r="BP44" s="30"/>
      <c r="BQ44" s="30"/>
      <c r="BR44" s="30"/>
      <c r="BU44" s="30"/>
      <c r="BV44" s="30"/>
      <c r="BW44" s="30"/>
      <c r="BX44" s="30"/>
      <c r="BY44" s="30"/>
      <c r="BZ44" s="30"/>
    </row>
    <row r="45" spans="1:79" x14ac:dyDescent="0.2">
      <c r="AF45" s="30"/>
      <c r="AG45" s="30"/>
      <c r="AH45" s="30"/>
      <c r="AI45" s="30"/>
      <c r="AJ45" s="30" t="s">
        <v>142</v>
      </c>
      <c r="AK45" s="30">
        <f>SQRT((AG40*AG41*(AG40+AG41+1))/12)</f>
        <v>3.3541019662496847</v>
      </c>
      <c r="AO45" s="30"/>
      <c r="AP45" s="30"/>
      <c r="AQ45" s="30"/>
      <c r="AR45" s="30"/>
      <c r="AS45" s="30"/>
      <c r="AT45" s="30"/>
      <c r="AW45" s="30"/>
      <c r="AX45" s="30"/>
      <c r="AY45" s="30"/>
      <c r="AZ45" s="30"/>
      <c r="BA45" s="30" t="s">
        <v>142</v>
      </c>
      <c r="BB45" s="30">
        <f>SQRT((AX40*AX41*(AX40+AX41+1))/12)</f>
        <v>3.3541019662496847</v>
      </c>
      <c r="BE45" s="30"/>
      <c r="BF45" s="30"/>
      <c r="BG45" s="30"/>
      <c r="BH45" s="30"/>
      <c r="BI45" s="30" t="s">
        <v>142</v>
      </c>
      <c r="BJ45" s="30">
        <f>SQRT((BF40*BF41*(BF40+BF41+1))/12)</f>
        <v>3.3541019662496847</v>
      </c>
      <c r="BM45" s="30"/>
      <c r="BN45" s="30"/>
      <c r="BO45" s="30"/>
      <c r="BP45" s="30"/>
      <c r="BQ45" s="30" t="s">
        <v>142</v>
      </c>
      <c r="BR45" s="30">
        <f>SQRT((BN40*BN41*(BN40+BN41+1))/12)</f>
        <v>3.3541019662496847</v>
      </c>
      <c r="BU45" s="30"/>
      <c r="BV45" s="30"/>
      <c r="BW45" s="30"/>
      <c r="BX45" s="30"/>
      <c r="BY45" s="30" t="s">
        <v>142</v>
      </c>
      <c r="BZ45" s="30">
        <f>SQRT((BV40*BV41*(BV40+BV41+1))/12)</f>
        <v>3.3541019662496847</v>
      </c>
    </row>
    <row r="46" spans="1:79" x14ac:dyDescent="0.2">
      <c r="AF46" s="30"/>
      <c r="AG46" s="30"/>
      <c r="AH46" s="30"/>
      <c r="AI46" s="30"/>
      <c r="AJ46" s="30"/>
      <c r="AK46" s="30"/>
      <c r="AO46" s="30"/>
      <c r="AP46" s="30"/>
      <c r="AQ46" s="30"/>
      <c r="AR46" s="30"/>
      <c r="AS46" s="30" t="s">
        <v>142</v>
      </c>
      <c r="AT46" s="30">
        <f>SQRT((AP41*AP42*(AP41+AP42+1))/12)</f>
        <v>3.3541019662496847</v>
      </c>
      <c r="AW46" s="30"/>
      <c r="AX46" s="30"/>
      <c r="AY46" s="30"/>
      <c r="AZ46" s="30"/>
      <c r="BA46" s="30"/>
      <c r="BB46" s="30"/>
      <c r="BE46" s="30"/>
      <c r="BF46" s="30"/>
      <c r="BG46" s="30"/>
      <c r="BH46" s="30"/>
      <c r="BI46" s="30"/>
      <c r="BJ46" s="30"/>
      <c r="BM46" s="30"/>
      <c r="BN46" s="30"/>
      <c r="BO46" s="30"/>
      <c r="BP46" s="30"/>
      <c r="BQ46" s="30"/>
      <c r="BR46" s="30"/>
      <c r="BU46" s="30"/>
      <c r="BV46" s="30"/>
      <c r="BW46" s="30"/>
      <c r="BX46" s="30"/>
      <c r="BY46" s="30"/>
      <c r="BZ46" s="30"/>
    </row>
    <row r="47" spans="1:79" x14ac:dyDescent="0.2">
      <c r="AF47" s="30"/>
      <c r="AG47" s="30"/>
      <c r="AH47" s="30"/>
      <c r="AI47" s="30"/>
      <c r="AJ47" s="30" t="s">
        <v>160</v>
      </c>
      <c r="AK47" s="30">
        <f>(AH43-AK43)/AK45</f>
        <v>-0.7453559924999299</v>
      </c>
      <c r="AO47" s="30"/>
      <c r="AP47" s="30"/>
      <c r="AQ47" s="30"/>
      <c r="AR47" s="30"/>
      <c r="AS47" s="30"/>
      <c r="AT47" s="30"/>
      <c r="AW47" s="30"/>
      <c r="AX47" s="30"/>
      <c r="AY47" s="30"/>
      <c r="AZ47" s="30"/>
      <c r="BA47" s="30" t="s">
        <v>160</v>
      </c>
      <c r="BB47" s="30">
        <f>(AY43-BB43)/BB45</f>
        <v>-0.7453559924999299</v>
      </c>
      <c r="BE47" s="30"/>
      <c r="BF47" s="30"/>
      <c r="BG47" s="30"/>
      <c r="BH47" s="30"/>
      <c r="BI47" s="30" t="s">
        <v>160</v>
      </c>
      <c r="BJ47" s="30">
        <f>(BG43-BJ43)/BJ45</f>
        <v>-0.7453559924999299</v>
      </c>
      <c r="BM47" s="30"/>
      <c r="BN47" s="30"/>
      <c r="BO47" s="30"/>
      <c r="BP47" s="30"/>
      <c r="BQ47" s="30" t="s">
        <v>160</v>
      </c>
      <c r="BR47" s="30">
        <f>(BO43-BR43)/BR45</f>
        <v>-0.7453559924999299</v>
      </c>
      <c r="BU47" s="30"/>
      <c r="BV47" s="30"/>
      <c r="BW47" s="30"/>
      <c r="BX47" s="30"/>
      <c r="BY47" s="30" t="s">
        <v>160</v>
      </c>
      <c r="BZ47" s="30">
        <f>(BW43-BZ43)/BZ45</f>
        <v>-0.7453559924999299</v>
      </c>
    </row>
    <row r="48" spans="1:79" x14ac:dyDescent="0.2">
      <c r="AF48" s="30"/>
      <c r="AG48" s="30"/>
      <c r="AH48" s="30"/>
      <c r="AI48" s="30"/>
      <c r="AJ48" s="30" t="s">
        <v>161</v>
      </c>
      <c r="AK48" s="30">
        <v>0.45627200000000001</v>
      </c>
      <c r="AL48" s="30" t="s">
        <v>176</v>
      </c>
      <c r="AO48" s="30"/>
      <c r="AP48" s="30"/>
      <c r="AQ48" s="30"/>
      <c r="AR48" s="30"/>
      <c r="AS48" s="30" t="s">
        <v>160</v>
      </c>
      <c r="AT48" s="30">
        <f>(AQ44-AT44)/AT46</f>
        <v>-0.7453559924999299</v>
      </c>
      <c r="AW48" s="30"/>
      <c r="AX48" s="30"/>
      <c r="AY48" s="30"/>
      <c r="AZ48" s="30"/>
      <c r="BA48" s="30" t="s">
        <v>161</v>
      </c>
      <c r="BB48" s="30">
        <v>4.9646000000000003E-2</v>
      </c>
      <c r="BE48" s="30"/>
      <c r="BF48" s="30"/>
      <c r="BG48" s="30"/>
      <c r="BH48" s="30"/>
      <c r="BI48" s="30" t="s">
        <v>161</v>
      </c>
      <c r="BJ48" s="30">
        <v>4.9646000000000003E-2</v>
      </c>
      <c r="BM48" s="30"/>
      <c r="BN48" s="30"/>
      <c r="BO48" s="30"/>
      <c r="BP48" s="30"/>
      <c r="BQ48" s="30" t="s">
        <v>161</v>
      </c>
      <c r="BR48" s="30">
        <v>4.9646000000000003E-2</v>
      </c>
      <c r="BU48" s="30"/>
      <c r="BV48" s="30"/>
      <c r="BW48" s="30"/>
      <c r="BX48" s="30"/>
      <c r="BY48" s="30" t="s">
        <v>161</v>
      </c>
      <c r="BZ48" s="30">
        <v>4.9646000000000003E-2</v>
      </c>
    </row>
    <row r="49" spans="41:46" x14ac:dyDescent="0.2">
      <c r="AO49" s="30"/>
      <c r="AP49" s="30"/>
      <c r="AQ49" s="30"/>
      <c r="AR49" s="30"/>
      <c r="AS49" s="30" t="s">
        <v>161</v>
      </c>
      <c r="AT49" s="30">
        <v>4.9646000000000003E-2</v>
      </c>
    </row>
  </sheetData>
  <autoFilter ref="S2:U35" xr:uid="{67FE1995-2538-4932-AE62-52ABA2EF65D7}">
    <sortState xmlns:xlrd2="http://schemas.microsoft.com/office/spreadsheetml/2017/richdata2" ref="S3:U35">
      <sortCondition ref="T2:T35"/>
    </sortState>
  </autoFilter>
  <pageMargins left="0.7" right="0.7" top="0.75" bottom="0.75" header="0.3" footer="0.3"/>
  <pageSetup orientation="portrait" r:id="rId1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6B72-A2C0-A44B-8F72-59BD800C575B}">
  <dimension ref="A1:J29"/>
  <sheetViews>
    <sheetView workbookViewId="0">
      <selection activeCell="F35" sqref="F35"/>
    </sheetView>
  </sheetViews>
  <sheetFormatPr baseColWidth="10" defaultRowHeight="15" x14ac:dyDescent="0.2"/>
  <sheetData>
    <row r="1" spans="1:10" x14ac:dyDescent="0.2">
      <c r="A1" s="33" t="s">
        <v>199</v>
      </c>
      <c r="B1" s="33" t="s">
        <v>152</v>
      </c>
      <c r="C1" t="s">
        <v>114</v>
      </c>
      <c r="D1" t="s">
        <v>115</v>
      </c>
      <c r="E1" t="s">
        <v>110</v>
      </c>
      <c r="F1" t="s">
        <v>111</v>
      </c>
      <c r="G1" t="s">
        <v>116</v>
      </c>
      <c r="H1" t="s">
        <v>117</v>
      </c>
      <c r="I1" t="s">
        <v>112</v>
      </c>
      <c r="J1" t="s">
        <v>113</v>
      </c>
    </row>
    <row r="2" spans="1:10" x14ac:dyDescent="0.2">
      <c r="A2" s="37" t="s">
        <v>195</v>
      </c>
      <c r="B2" s="33" t="s">
        <v>94</v>
      </c>
      <c r="C2">
        <v>1.03294478955683</v>
      </c>
      <c r="D2">
        <v>3.9154480085730201E-3</v>
      </c>
      <c r="E2">
        <v>0.12792649441000914</v>
      </c>
      <c r="F2">
        <v>8.6821061436993361</v>
      </c>
      <c r="G2">
        <v>1.0140187492228101</v>
      </c>
      <c r="H2">
        <v>4.4480463735522696E-3</v>
      </c>
      <c r="I2">
        <v>0.33839759180910756</v>
      </c>
      <c r="J2">
        <v>-8.8904910758626148</v>
      </c>
    </row>
    <row r="3" spans="1:10" x14ac:dyDescent="0.2">
      <c r="A3" s="37" t="s">
        <v>195</v>
      </c>
      <c r="B3" s="33" t="s">
        <v>66</v>
      </c>
      <c r="C3">
        <v>1.0618315460773999</v>
      </c>
      <c r="D3">
        <v>4.9910360991659002E-3</v>
      </c>
      <c r="E3">
        <v>8.8149561753143521E-2</v>
      </c>
      <c r="F3">
        <v>8.4831586752305395</v>
      </c>
      <c r="G3">
        <v>1.03272621582733</v>
      </c>
      <c r="H3">
        <v>5.8569215425383599E-3</v>
      </c>
      <c r="I3">
        <v>0.1354741293837444</v>
      </c>
      <c r="J3">
        <v>31.916970830301427</v>
      </c>
    </row>
    <row r="4" spans="1:10" x14ac:dyDescent="0.2">
      <c r="A4" s="37" t="s">
        <v>195</v>
      </c>
      <c r="B4" s="33" t="s">
        <v>193</v>
      </c>
      <c r="C4">
        <v>1.02825355969916</v>
      </c>
      <c r="D4">
        <v>4.4719206332381302E-3</v>
      </c>
      <c r="E4">
        <v>0.10970603637387213</v>
      </c>
      <c r="F4">
        <v>7.0591025602109392</v>
      </c>
      <c r="G4">
        <v>1.0061535031908</v>
      </c>
      <c r="H4">
        <v>9.6256294319405905E-5</v>
      </c>
      <c r="I4">
        <v>4.3849072184782456E-2</v>
      </c>
      <c r="J4">
        <v>4.0752408708341505</v>
      </c>
    </row>
    <row r="5" spans="1:10" x14ac:dyDescent="0.2">
      <c r="A5" s="37" t="s">
        <v>195</v>
      </c>
      <c r="B5" s="33" t="s">
        <v>187</v>
      </c>
      <c r="C5">
        <v>1.05436462520094</v>
      </c>
      <c r="D5">
        <v>3.08908350496339E-3</v>
      </c>
      <c r="E5">
        <v>2.8292991497588016E-2</v>
      </c>
      <c r="F5">
        <v>16.378070531112954</v>
      </c>
      <c r="G5">
        <v>1.0233153812725799</v>
      </c>
      <c r="H5">
        <v>3.4480247275513799E-3</v>
      </c>
      <c r="I5">
        <v>0.14345145718848806</v>
      </c>
      <c r="J5">
        <v>-12.22044159918299</v>
      </c>
    </row>
    <row r="6" spans="1:10" x14ac:dyDescent="0.2">
      <c r="A6" s="37" t="s">
        <v>196</v>
      </c>
      <c r="B6" s="33" t="s">
        <v>75</v>
      </c>
      <c r="C6">
        <v>1.0462893777823801</v>
      </c>
      <c r="D6">
        <v>3.4201168995956301E-3</v>
      </c>
      <c r="E6">
        <v>8.1766106505229419E-2</v>
      </c>
      <c r="F6">
        <v>8.8101986465454161</v>
      </c>
      <c r="G6">
        <v>1.0246643412276799</v>
      </c>
      <c r="H6">
        <v>9.2293448866540093E-3</v>
      </c>
      <c r="I6">
        <v>0.29425646975948394</v>
      </c>
      <c r="J6">
        <v>68.942763510122205</v>
      </c>
    </row>
    <row r="7" spans="1:10" x14ac:dyDescent="0.2">
      <c r="A7" s="37" t="s">
        <v>196</v>
      </c>
      <c r="B7" s="33" t="s">
        <v>76</v>
      </c>
      <c r="C7">
        <v>1.0226507715595301</v>
      </c>
      <c r="D7">
        <v>1.4410509296219501E-3</v>
      </c>
      <c r="E7">
        <v>0.1608950611661096</v>
      </c>
      <c r="F7">
        <v>7.6508025459847406</v>
      </c>
      <c r="G7">
        <v>1.01007028827183</v>
      </c>
      <c r="H7">
        <v>2.9054418662022899E-3</v>
      </c>
      <c r="I7">
        <v>0.14411854490265869</v>
      </c>
      <c r="J7">
        <v>-54.184441396958007</v>
      </c>
    </row>
    <row r="8" spans="1:10" x14ac:dyDescent="0.2">
      <c r="A8" s="37" t="s">
        <v>196</v>
      </c>
      <c r="B8" s="33" t="s">
        <v>93</v>
      </c>
      <c r="C8">
        <v>1.02829269088679</v>
      </c>
      <c r="D8">
        <v>4.1826777772980403E-3</v>
      </c>
      <c r="E8">
        <v>0.16894031323317182</v>
      </c>
      <c r="F8">
        <v>15.20418858222053</v>
      </c>
      <c r="G8">
        <v>1.0094144064985799</v>
      </c>
      <c r="H8">
        <v>5.2224915301900196E-3</v>
      </c>
      <c r="I8">
        <v>0.44141430568883022</v>
      </c>
      <c r="J8">
        <v>-14.511379989150171</v>
      </c>
    </row>
    <row r="9" spans="1:10" x14ac:dyDescent="0.2">
      <c r="A9" s="37" t="s">
        <v>196</v>
      </c>
      <c r="B9" s="33" t="s">
        <v>194</v>
      </c>
      <c r="C9">
        <v>1.0361572015045799</v>
      </c>
      <c r="D9">
        <v>2.9011960850367398E-3</v>
      </c>
      <c r="E9">
        <v>0.11331050212564356</v>
      </c>
      <c r="F9">
        <v>18.12375966511734</v>
      </c>
      <c r="G9">
        <v>1.0127476516025999</v>
      </c>
      <c r="H9">
        <v>3.1165099025735302E-3</v>
      </c>
      <c r="I9">
        <v>0.27374480661935369</v>
      </c>
      <c r="J9">
        <v>19.179771820656065</v>
      </c>
    </row>
    <row r="10" spans="1:10" x14ac:dyDescent="0.2">
      <c r="A10" s="37" t="s">
        <v>197</v>
      </c>
      <c r="B10" s="33" t="s">
        <v>89</v>
      </c>
      <c r="C10">
        <v>1.0332344101536499</v>
      </c>
      <c r="D10">
        <v>3.7599356299020201E-3</v>
      </c>
      <c r="E10">
        <v>0.12148331819426088</v>
      </c>
      <c r="F10">
        <v>5.5011065198581077</v>
      </c>
      <c r="G10">
        <v>1.01160964948409</v>
      </c>
      <c r="H10">
        <v>2.9287493849626299E-3</v>
      </c>
      <c r="I10">
        <v>0.27945877657060758</v>
      </c>
      <c r="J10">
        <v>10.883068088732834</v>
      </c>
    </row>
    <row r="11" spans="1:10" x14ac:dyDescent="0.2">
      <c r="A11" s="37" t="s">
        <v>197</v>
      </c>
      <c r="B11" s="33" t="s">
        <v>181</v>
      </c>
      <c r="C11">
        <v>1.05172498866416</v>
      </c>
      <c r="D11">
        <v>1.79985252285328E-3</v>
      </c>
      <c r="E11">
        <v>4.5220519192104458E-2</v>
      </c>
      <c r="F11">
        <v>3.1704164559418846</v>
      </c>
      <c r="G11">
        <v>1.0213621079231701</v>
      </c>
      <c r="H11">
        <v>3.47824970194076E-3</v>
      </c>
      <c r="I11">
        <v>0.13662520467968409</v>
      </c>
      <c r="J11">
        <v>-7.7803867616343769</v>
      </c>
    </row>
    <row r="12" spans="1:10" x14ac:dyDescent="0.2">
      <c r="A12" s="37" t="s">
        <v>197</v>
      </c>
      <c r="B12" s="33" t="s">
        <v>183</v>
      </c>
      <c r="C12">
        <v>1.0296228685252999</v>
      </c>
      <c r="D12">
        <v>0</v>
      </c>
      <c r="E12">
        <v>5.864428968817665E-2</v>
      </c>
      <c r="F12">
        <v>4.2710122290277264</v>
      </c>
      <c r="G12">
        <v>1.01285589755135</v>
      </c>
      <c r="H12">
        <v>4.0116581758187896E-3</v>
      </c>
      <c r="I12">
        <v>0.22700323116305157</v>
      </c>
      <c r="J12">
        <v>-28.178517485362072</v>
      </c>
    </row>
    <row r="13" spans="1:10" x14ac:dyDescent="0.2">
      <c r="A13" s="37" t="s">
        <v>197</v>
      </c>
      <c r="B13" s="33" t="s">
        <v>90</v>
      </c>
      <c r="C13">
        <v>1.0122389837760299</v>
      </c>
      <c r="D13">
        <v>4.0654515524758301E-3</v>
      </c>
      <c r="E13">
        <v>0.29924606946082116</v>
      </c>
      <c r="F13">
        <v>20.880054324701931</v>
      </c>
      <c r="G13">
        <v>1.0038089325595301</v>
      </c>
      <c r="H13">
        <v>4.4656254019062903E-3</v>
      </c>
      <c r="I13">
        <v>1.5897336761085015</v>
      </c>
      <c r="J13">
        <v>25.967779562511662</v>
      </c>
    </row>
    <row r="14" spans="1:10" x14ac:dyDescent="0.2">
      <c r="A14" s="37" t="s">
        <v>198</v>
      </c>
      <c r="B14" s="33" t="s">
        <v>87</v>
      </c>
      <c r="C14">
        <v>1.0241462441440301</v>
      </c>
      <c r="D14">
        <v>4.7237250666045203E-3</v>
      </c>
      <c r="E14">
        <v>8.4382541557263532E-2</v>
      </c>
      <c r="F14">
        <v>9.4446592095703359</v>
      </c>
      <c r="G14">
        <v>1.0125116304534201</v>
      </c>
      <c r="H14">
        <v>4.8629004857639003E-3</v>
      </c>
      <c r="I14">
        <v>0.33090701931429306</v>
      </c>
      <c r="J14">
        <v>-24.433710249650495</v>
      </c>
    </row>
    <row r="15" spans="1:10" x14ac:dyDescent="0.2">
      <c r="A15" s="37" t="s">
        <v>198</v>
      </c>
      <c r="B15" s="33" t="s">
        <v>62</v>
      </c>
      <c r="C15">
        <v>1.0282245037386</v>
      </c>
      <c r="D15">
        <v>4.73667685578488E-3</v>
      </c>
      <c r="E15">
        <v>0.18780852124149333</v>
      </c>
      <c r="F15">
        <v>12.098697598135182</v>
      </c>
      <c r="G15">
        <v>1.0110651813932801</v>
      </c>
      <c r="H15">
        <v>4.49025954319506E-3</v>
      </c>
      <c r="I15">
        <v>0.28285100122474588</v>
      </c>
      <c r="J15">
        <v>37.116421362519205</v>
      </c>
    </row>
    <row r="16" spans="1:10" x14ac:dyDescent="0.2">
      <c r="A16" s="37" t="s">
        <v>198</v>
      </c>
      <c r="B16" s="33" t="s">
        <v>184</v>
      </c>
      <c r="C16">
        <v>1.0245403423667001</v>
      </c>
      <c r="D16">
        <v>2.8028866462421901E-3</v>
      </c>
      <c r="E16">
        <v>0.15203036823067659</v>
      </c>
      <c r="F16">
        <v>11.356504994502844</v>
      </c>
      <c r="G16">
        <v>1.0098889693198601</v>
      </c>
      <c r="H16">
        <v>7.5742580256837997E-4</v>
      </c>
      <c r="I16">
        <v>5.2898657305679393E-2</v>
      </c>
      <c r="J16">
        <v>30.499524540800397</v>
      </c>
    </row>
    <row r="17" spans="1:10" x14ac:dyDescent="0.2">
      <c r="A17" s="37" t="s">
        <v>198</v>
      </c>
      <c r="B17" s="33" t="s">
        <v>185</v>
      </c>
      <c r="C17">
        <v>1.02478760479332</v>
      </c>
      <c r="D17">
        <v>2.57343858452055E-3</v>
      </c>
      <c r="E17">
        <v>9.0798196012504495E-2</v>
      </c>
      <c r="F17">
        <v>1.2366015930286953</v>
      </c>
      <c r="G17">
        <v>1.0155443578777399</v>
      </c>
      <c r="H17">
        <v>-3.2868001317875402E-4</v>
      </c>
      <c r="I17">
        <v>1.3828295242892389E-2</v>
      </c>
      <c r="J17">
        <v>1.964694101202251</v>
      </c>
    </row>
    <row r="18" spans="1:10" x14ac:dyDescent="0.2">
      <c r="A18" s="37" t="s">
        <v>198</v>
      </c>
      <c r="B18" s="33" t="s">
        <v>186</v>
      </c>
      <c r="C18">
        <v>1.0328999241022401</v>
      </c>
      <c r="D18">
        <v>0</v>
      </c>
      <c r="E18">
        <v>0</v>
      </c>
      <c r="F18">
        <v>7.2581677837225032</v>
      </c>
      <c r="G18">
        <v>1.0223860621426699</v>
      </c>
      <c r="H18">
        <v>2.4606783598102298E-3</v>
      </c>
      <c r="I18">
        <v>6.9598657741859554E-2</v>
      </c>
      <c r="J18">
        <v>30.167237427150734</v>
      </c>
    </row>
    <row r="19" spans="1:10" x14ac:dyDescent="0.2">
      <c r="A19" s="37"/>
      <c r="B19" s="33"/>
    </row>
    <row r="22" spans="1:10" x14ac:dyDescent="0.2">
      <c r="A22" s="33" t="s">
        <v>195</v>
      </c>
      <c r="B22" s="33" t="s">
        <v>104</v>
      </c>
      <c r="C22" s="33">
        <f>AVERAGE(C2:C5)</f>
        <v>1.0443486301335825</v>
      </c>
      <c r="D22" s="33">
        <f>AVERAGE(D2:D5)</f>
        <v>4.1168720614851101E-3</v>
      </c>
      <c r="E22" s="33">
        <f>AVERAGE(E2:E5)</f>
        <v>8.8518771008653213E-2</v>
      </c>
      <c r="F22" s="33">
        <f>AVERAGE(F2:F5)</f>
        <v>10.150609477563442</v>
      </c>
      <c r="G22" s="33">
        <f>AVERAGE(G2:G5)</f>
        <v>1.01905346237838</v>
      </c>
      <c r="H22" s="33">
        <f>AVERAGE(H2:H5)</f>
        <v>3.4623122344903533E-3</v>
      </c>
      <c r="I22" s="33">
        <f>AVERAGE(I2:I5)</f>
        <v>0.16529306264153062</v>
      </c>
      <c r="J22" s="33">
        <f>AVERAGE(J2:J5)</f>
        <v>3.7203197565224926</v>
      </c>
    </row>
    <row r="23" spans="1:10" x14ac:dyDescent="0.2">
      <c r="A23" s="33"/>
      <c r="B23" s="33" t="s">
        <v>109</v>
      </c>
      <c r="C23" s="34">
        <f>_xlfn.STDEV.S(C2:C5)/SQRT(COUNT(C2:C5))</f>
        <v>8.1397756893588271E-3</v>
      </c>
      <c r="D23" s="34">
        <f>_xlfn.STDEV.S(D2:D5)/SQRT(COUNT(D2:D5))</f>
        <v>4.0693398513423677E-4</v>
      </c>
      <c r="E23" s="34">
        <f>_xlfn.STDEV.S(E2:E5)/SQRT(COUNT(E2:E5))</f>
        <v>2.1658619743887508E-2</v>
      </c>
      <c r="F23" s="34">
        <f>_xlfn.STDEV.S(F2:F5)/SQRT(COUNT(F2:F5))</f>
        <v>2.107043355298388</v>
      </c>
      <c r="G23" s="34">
        <f>_xlfn.STDEV.S(G2:G5)/SQRT(COUNT(G2:G5))</f>
        <v>5.7508363387178451E-3</v>
      </c>
      <c r="H23" s="34">
        <f>_xlfn.STDEV.S(H2:H5)/SQRT(COUNT(H2:H5))</f>
        <v>1.225981316344753E-3</v>
      </c>
      <c r="I23" s="34">
        <f>_xlfn.STDEV.S(I2:I5)/SQRT(COUNT(I2:I5))</f>
        <v>6.1967764029497559E-2</v>
      </c>
      <c r="J23" s="34">
        <f>_xlfn.STDEV.S(J2:J5)/SQRT(COUNT(J2:J5))</f>
        <v>10.034596500871281</v>
      </c>
    </row>
    <row r="24" spans="1:10" x14ac:dyDescent="0.2">
      <c r="A24" s="33" t="s">
        <v>196</v>
      </c>
      <c r="B24" s="33" t="s">
        <v>104</v>
      </c>
      <c r="C24" s="33">
        <f>AVERAGE(C6:C9)</f>
        <v>1.0333475104333201</v>
      </c>
      <c r="D24" s="33">
        <f>AVERAGE(D6:D9)</f>
        <v>2.9862604228880901E-3</v>
      </c>
      <c r="E24" s="33">
        <f>AVERAGE(E6:E9)</f>
        <v>0.1312279957575386</v>
      </c>
      <c r="F24" s="33">
        <f>AVERAGE(F6:F9)</f>
        <v>12.447237359967007</v>
      </c>
      <c r="G24" s="33">
        <f>AVERAGE(G6:G9)</f>
        <v>1.0142241719001723</v>
      </c>
      <c r="H24" s="33">
        <f>AVERAGE(H6:H9)</f>
        <v>5.1184470464049623E-3</v>
      </c>
      <c r="I24" s="33">
        <f>AVERAGE(I6:I9)</f>
        <v>0.28838353174258163</v>
      </c>
      <c r="J24" s="33">
        <f>AVERAGE(J6:J9)</f>
        <v>4.8566784861675227</v>
      </c>
    </row>
    <row r="25" spans="1:10" x14ac:dyDescent="0.2">
      <c r="A25" s="33"/>
      <c r="B25" s="33" t="s">
        <v>109</v>
      </c>
      <c r="C25" s="33">
        <f>_xlfn.STDEV.S(C6:C9)/SQRT(COUNT(C6:C9))</f>
        <v>5.1263836959613051E-3</v>
      </c>
      <c r="D25" s="33">
        <f>_xlfn.STDEV.S(D6:D9)/SQRT(COUNT(D6:D9))</f>
        <v>5.7839967784455886E-4</v>
      </c>
      <c r="E25" s="33">
        <f>_xlfn.STDEV.S(E6:E9)/SQRT(COUNT(E6:E9))</f>
        <v>2.0554538683293447E-2</v>
      </c>
      <c r="F25" s="33">
        <f>_xlfn.STDEV.S(F6:F9)/SQRT(COUNT(F6:F9))</f>
        <v>2.5175636875503091</v>
      </c>
      <c r="G25" s="33">
        <f>_xlfn.STDEV.S(G6:G9)/SQRT(COUNT(G6:G9))</f>
        <v>3.5539396003160945E-3</v>
      </c>
      <c r="H25" s="33">
        <f>_xlfn.STDEV.S(H6:H9)/SQRT(COUNT(H6:H9))</f>
        <v>1.4667268140041787E-3</v>
      </c>
      <c r="I25" s="33">
        <f>_xlfn.STDEV.S(I6:I9)/SQRT(COUNT(I6:I9))</f>
        <v>6.0882118253703169E-2</v>
      </c>
      <c r="J25" s="33">
        <f>_xlfn.STDEV.S(J6:J9)/SQRT(COUNT(J6:J9))</f>
        <v>26.097817313782752</v>
      </c>
    </row>
    <row r="26" spans="1:10" x14ac:dyDescent="0.2">
      <c r="A26" s="33" t="s">
        <v>197</v>
      </c>
      <c r="B26" s="33" t="s">
        <v>104</v>
      </c>
      <c r="C26" s="33">
        <f>AVERAGE(C10:C13)</f>
        <v>1.0317053127797848</v>
      </c>
      <c r="D26" s="33">
        <f>AVERAGE(D10:D13)</f>
        <v>2.4063099263077828E-3</v>
      </c>
      <c r="E26" s="33">
        <f>AVERAGE(E10:E13)</f>
        <v>0.13114854913384077</v>
      </c>
      <c r="F26" s="33">
        <f>AVERAGE(F10:F13)</f>
        <v>8.4556473823824128</v>
      </c>
      <c r="G26" s="33">
        <f>AVERAGE(G10:G13)</f>
        <v>1.0124091468795351</v>
      </c>
      <c r="H26" s="33">
        <f>AVERAGE(H10:H13)</f>
        <v>3.7210706661571172E-3</v>
      </c>
      <c r="I26" s="33">
        <f>AVERAGE(I10:I13)</f>
        <v>0.5582052221304612</v>
      </c>
      <c r="J26" s="33">
        <f>AVERAGE(J10:J13)</f>
        <v>0.22298585106201241</v>
      </c>
    </row>
    <row r="27" spans="1:10" x14ac:dyDescent="0.2">
      <c r="A27" s="33"/>
      <c r="B27" s="33" t="s">
        <v>109</v>
      </c>
      <c r="C27" s="33">
        <f>_xlfn.STDEV.S(C10:C13)/SQRT(COUNT(C10:C13))</f>
        <v>8.0952666223832025E-3</v>
      </c>
      <c r="D27" s="33">
        <f>_xlfn.STDEV.S(D10:D13)/SQRT(COUNT(D10:D13))</f>
        <v>9.4618406968758337E-4</v>
      </c>
      <c r="E27" s="33">
        <f>_xlfn.STDEV.S(E10:E13)/SQRT(COUNT(E10:E13))</f>
        <v>5.8445620734596193E-2</v>
      </c>
      <c r="F27" s="33">
        <f>_xlfn.STDEV.S(F10:F13)/SQRT(COUNT(F10:F13))</f>
        <v>4.1687331897629933</v>
      </c>
      <c r="G27" s="33">
        <f>_xlfn.STDEV.S(G10:G13)/SQRT(COUNT(G10:G13))</f>
        <v>3.593489251954558E-3</v>
      </c>
      <c r="H27" s="33">
        <f>_xlfn.STDEV.S(H10:H13)/SQRT(COUNT(H10:H13))</f>
        <v>3.323574742896731E-4</v>
      </c>
      <c r="I27" s="33">
        <f>_xlfn.STDEV.S(I10:I13)/SQRT(COUNT(I10:I13))</f>
        <v>0.34510566041590213</v>
      </c>
      <c r="J27" s="33">
        <f>_xlfn.STDEV.S(J10:J13)/SQRT(COUNT(J10:J13))</f>
        <v>11.715840848702699</v>
      </c>
    </row>
    <row r="28" spans="1:10" x14ac:dyDescent="0.2">
      <c r="A28" s="33" t="s">
        <v>198</v>
      </c>
      <c r="B28" s="33" t="s">
        <v>104</v>
      </c>
      <c r="C28" s="33">
        <f>AVERAGE(C14:C18)</f>
        <v>1.026919723828978</v>
      </c>
      <c r="D28" s="33">
        <f t="shared" ref="D28:J28" si="0">AVERAGE(D14:D18)</f>
        <v>2.9673454306304282E-3</v>
      </c>
      <c r="E28" s="33">
        <f t="shared" si="0"/>
        <v>0.10300392540838758</v>
      </c>
      <c r="F28" s="33">
        <f t="shared" si="0"/>
        <v>8.2789262357919124</v>
      </c>
      <c r="G28" s="33">
        <f t="shared" si="0"/>
        <v>1.0142792402373941</v>
      </c>
      <c r="H28" s="33">
        <f t="shared" si="0"/>
        <v>2.448516835631763E-3</v>
      </c>
      <c r="I28" s="33">
        <f t="shared" si="0"/>
        <v>0.15001672616589407</v>
      </c>
      <c r="J28" s="33">
        <f t="shared" si="0"/>
        <v>15.062833436404418</v>
      </c>
    </row>
    <row r="29" spans="1:10" x14ac:dyDescent="0.2">
      <c r="A29" s="33"/>
      <c r="B29" s="33" t="s">
        <v>109</v>
      </c>
      <c r="C29" s="33">
        <f>_xlfn.STDEV.S(C14:C18)/SQRT(COUNT(C14:C18))</f>
        <v>1.6638032216723005E-3</v>
      </c>
      <c r="D29" s="33">
        <f>_xlfn.STDEV.S(D14:D18)/SQRT(COUNT(D14:D18))</f>
        <v>8.7185868458029164E-4</v>
      </c>
      <c r="E29" s="33">
        <f>_xlfn.STDEV.S(E14:E18)/SQRT(COUNT(E14:E18))</f>
        <v>3.2172158760624597E-2</v>
      </c>
      <c r="F29" s="33">
        <f>_xlfn.STDEV.S(F14:F18)/SQRT(COUNT(F14:F18))</f>
        <v>1.9500943802075579</v>
      </c>
      <c r="G29" s="33">
        <f>_xlfn.STDEV.S(G14:G18)/SQRT(COUNT(G14:G18))</f>
        <v>2.2366289520050881E-3</v>
      </c>
      <c r="H29" s="33">
        <f>_xlfn.STDEV.S(H14:H18)/SQRT(COUNT(H14:H18))</f>
        <v>1.0141676591110091E-3</v>
      </c>
      <c r="I29" s="33">
        <f>_xlfn.STDEV.S(I14:I18)/SQRT(COUNT(I14:I18))</f>
        <v>6.5120087734578364E-2</v>
      </c>
      <c r="J29" s="33">
        <f>_xlfn.STDEV.S(J14:J18)/SQRT(COUNT(J14:J18))</f>
        <v>11.585191862398959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290A-3A43-9B43-8EA7-B6D8C0A83DF6}">
  <dimension ref="A1:K48"/>
  <sheetViews>
    <sheetView workbookViewId="0">
      <selection activeCell="D31" sqref="D31:J31"/>
    </sheetView>
  </sheetViews>
  <sheetFormatPr baseColWidth="10" defaultRowHeight="15" x14ac:dyDescent="0.2"/>
  <sheetData>
    <row r="1" spans="1:10" x14ac:dyDescent="0.2">
      <c r="A1" s="33" t="s">
        <v>199</v>
      </c>
      <c r="B1" s="33" t="s">
        <v>152</v>
      </c>
      <c r="C1" s="33" t="s">
        <v>114</v>
      </c>
      <c r="D1" s="33" t="s">
        <v>115</v>
      </c>
      <c r="E1" s="33" t="s">
        <v>110</v>
      </c>
      <c r="F1" s="33" t="s">
        <v>111</v>
      </c>
      <c r="G1" s="33" t="s">
        <v>116</v>
      </c>
      <c r="H1" s="33" t="s">
        <v>117</v>
      </c>
      <c r="I1" s="33" t="s">
        <v>112</v>
      </c>
      <c r="J1" s="33" t="s">
        <v>113</v>
      </c>
    </row>
    <row r="2" spans="1:10" x14ac:dyDescent="0.2">
      <c r="A2" s="33" t="s">
        <v>195</v>
      </c>
      <c r="B2" s="33" t="s">
        <v>94</v>
      </c>
      <c r="C2" s="33">
        <v>1.0224822200000001</v>
      </c>
      <c r="D2" s="33">
        <v>7.2700000000000004E-3</v>
      </c>
      <c r="E2" s="33">
        <v>0.30808678</v>
      </c>
      <c r="F2" s="33">
        <v>-7.9997021999999998</v>
      </c>
      <c r="G2" s="33">
        <v>1.01915062</v>
      </c>
      <c r="H2" s="33">
        <v>5.0063E-3</v>
      </c>
      <c r="I2" s="33">
        <v>0.24874658999999999</v>
      </c>
      <c r="J2" s="33">
        <v>12.231362900000001</v>
      </c>
    </row>
    <row r="3" spans="1:10" x14ac:dyDescent="0.2">
      <c r="A3" s="33" t="s">
        <v>195</v>
      </c>
      <c r="B3" s="33" t="s">
        <v>66</v>
      </c>
      <c r="C3" s="33">
        <v>1.02391041</v>
      </c>
      <c r="D3" s="33">
        <v>6.3E-3</v>
      </c>
      <c r="E3" s="33">
        <v>0.24852953</v>
      </c>
      <c r="F3" s="33">
        <v>48.182654900000003</v>
      </c>
      <c r="G3" s="33">
        <v>1.0422105699999999</v>
      </c>
      <c r="H3" s="33">
        <v>1.6407769999999999E-2</v>
      </c>
      <c r="I3" s="33">
        <v>0.36814723999999999</v>
      </c>
      <c r="J3" s="33">
        <v>9.5589600499999996</v>
      </c>
    </row>
    <row r="4" spans="1:10" x14ac:dyDescent="0.2">
      <c r="A4" s="33" t="s">
        <v>195</v>
      </c>
      <c r="B4" s="33" t="s">
        <v>187</v>
      </c>
      <c r="C4" s="33">
        <v>1.0284068099999999</v>
      </c>
      <c r="D4" s="33">
        <v>2.2300000000000002E-3</v>
      </c>
      <c r="E4" s="33">
        <v>3.643644E-2</v>
      </c>
      <c r="F4" s="33">
        <v>10.335553900000001</v>
      </c>
      <c r="G4" s="33">
        <v>1.0603251899999999</v>
      </c>
      <c r="H4" s="33">
        <v>4.4229500000000001E-3</v>
      </c>
      <c r="I4" s="33">
        <v>7.0803350000000001E-2</v>
      </c>
      <c r="J4" s="33">
        <v>5.4826144899999996</v>
      </c>
    </row>
    <row r="5" spans="1:10" x14ac:dyDescent="0.2">
      <c r="A5" s="33" t="s">
        <v>195</v>
      </c>
      <c r="B5" s="33" t="s">
        <v>188</v>
      </c>
      <c r="C5" s="33">
        <v>1.02179694</v>
      </c>
      <c r="D5" s="33">
        <v>2.7100000000000002E-3</v>
      </c>
      <c r="E5" s="33">
        <v>2.3915530000000001E-2</v>
      </c>
      <c r="F5" s="33">
        <v>4.4973258500000002</v>
      </c>
      <c r="G5" s="33">
        <v>1.03159435</v>
      </c>
      <c r="H5" s="33">
        <v>3.7779799999999998E-3</v>
      </c>
      <c r="I5" s="33">
        <v>0.11652142</v>
      </c>
      <c r="J5" s="33">
        <v>11.5843217</v>
      </c>
    </row>
    <row r="6" spans="1:10" x14ac:dyDescent="0.2">
      <c r="A6" s="33" t="s">
        <v>196</v>
      </c>
      <c r="B6" s="33" t="s">
        <v>75</v>
      </c>
      <c r="C6" s="33">
        <v>1.0164770999999999</v>
      </c>
      <c r="D6" s="33">
        <v>5.2700000000000004E-3</v>
      </c>
      <c r="E6" s="33">
        <v>0.29578177</v>
      </c>
      <c r="F6" s="33">
        <v>-89.473360999999997</v>
      </c>
      <c r="G6" s="33">
        <v>1.0225230000000001</v>
      </c>
      <c r="H6" s="33">
        <v>1.1958649999999999E-2</v>
      </c>
      <c r="I6" s="33">
        <v>0.48637469999999999</v>
      </c>
      <c r="J6" s="33">
        <v>23.140630600000001</v>
      </c>
    </row>
    <row r="7" spans="1:10" x14ac:dyDescent="0.2">
      <c r="A7" s="33" t="s">
        <v>196</v>
      </c>
      <c r="B7" s="33" t="s">
        <v>76</v>
      </c>
      <c r="C7" s="33">
        <v>1.0083487200000001</v>
      </c>
      <c r="D7" s="33">
        <v>5.4599999999999996E-3</v>
      </c>
      <c r="E7" s="33">
        <v>0.62577989000000001</v>
      </c>
      <c r="F7" s="33">
        <v>-34.918956999999999</v>
      </c>
      <c r="G7" s="33">
        <v>1.0218054000000001</v>
      </c>
      <c r="H7" s="33">
        <v>8.9841999999999995E-3</v>
      </c>
      <c r="I7" s="33">
        <v>0.39601508000000002</v>
      </c>
      <c r="J7" s="33">
        <v>19.037204200000001</v>
      </c>
    </row>
    <row r="8" spans="1:10" x14ac:dyDescent="0.2">
      <c r="A8" s="33" t="s">
        <v>196</v>
      </c>
      <c r="B8" s="33" t="s">
        <v>93</v>
      </c>
      <c r="C8" s="33">
        <v>1.0146815300000001</v>
      </c>
      <c r="D8" s="33">
        <v>9.6200000000000001E-3</v>
      </c>
      <c r="E8" s="33">
        <v>0.62082219999999999</v>
      </c>
      <c r="F8" s="33">
        <v>22.504230100000001</v>
      </c>
      <c r="G8" s="33">
        <v>1.0180022900000001</v>
      </c>
      <c r="H8" s="33">
        <v>1.6484539999999999E-2</v>
      </c>
      <c r="I8" s="33">
        <v>0.84643740000000001</v>
      </c>
      <c r="J8" s="33">
        <v>25.734068099999998</v>
      </c>
    </row>
    <row r="9" spans="1:10" x14ac:dyDescent="0.2">
      <c r="A9" s="33" t="s">
        <v>196</v>
      </c>
      <c r="B9" s="33" t="s">
        <v>194</v>
      </c>
      <c r="C9" s="33">
        <v>1.0173488399999999</v>
      </c>
      <c r="D9" s="33">
        <v>2.3400000000000001E-3</v>
      </c>
      <c r="E9" s="33">
        <v>0.19094120000000001</v>
      </c>
      <c r="F9" s="33">
        <v>19.771406299999999</v>
      </c>
      <c r="G9" s="33">
        <v>1.01841899</v>
      </c>
      <c r="H9" s="33">
        <v>4.2100200000000001E-3</v>
      </c>
      <c r="I9" s="33">
        <v>0.23810878999999999</v>
      </c>
      <c r="J9" s="33">
        <v>13.5028939</v>
      </c>
    </row>
    <row r="10" spans="1:10" x14ac:dyDescent="0.2">
      <c r="A10" s="33" t="s">
        <v>197</v>
      </c>
      <c r="B10" s="33" t="s">
        <v>89</v>
      </c>
      <c r="C10" s="33">
        <v>1.0167305499999999</v>
      </c>
      <c r="D10" s="33">
        <v>3.0000000000000001E-3</v>
      </c>
      <c r="E10" s="33">
        <v>0.17276463</v>
      </c>
      <c r="F10" s="33">
        <v>-7.3722671999999996</v>
      </c>
      <c r="G10" s="33">
        <v>1.0235969300000001</v>
      </c>
      <c r="H10" s="33">
        <v>4.5204800000000003E-3</v>
      </c>
      <c r="I10" s="33">
        <v>0.20966539000000001</v>
      </c>
      <c r="J10" s="33">
        <v>34.646104000000001</v>
      </c>
    </row>
    <row r="11" spans="1:10" x14ac:dyDescent="0.2">
      <c r="A11" s="33" t="s">
        <v>197</v>
      </c>
      <c r="B11" s="33" t="s">
        <v>181</v>
      </c>
      <c r="C11" s="33">
        <v>1.02433566</v>
      </c>
      <c r="D11" s="33">
        <v>2.5300000000000001E-3</v>
      </c>
      <c r="E11" s="33">
        <v>8.4440189999999998E-2</v>
      </c>
      <c r="F11" s="33">
        <v>46.294057100000003</v>
      </c>
      <c r="G11" s="33">
        <v>1.04616551</v>
      </c>
      <c r="H11" s="33">
        <v>4.9468699999999999E-3</v>
      </c>
      <c r="I11" s="33">
        <v>0.13003602</v>
      </c>
      <c r="J11" s="33">
        <v>14.265694699999999</v>
      </c>
    </row>
    <row r="12" spans="1:10" x14ac:dyDescent="0.2">
      <c r="A12" s="33" t="s">
        <v>197</v>
      </c>
      <c r="B12" s="33" t="s">
        <v>183</v>
      </c>
      <c r="C12" s="33">
        <v>1.0234407299999999</v>
      </c>
      <c r="D12" s="33">
        <v>0</v>
      </c>
      <c r="E12" s="33">
        <v>-5.8053999999999996E-3</v>
      </c>
      <c r="F12" s="33">
        <v>2.30087039</v>
      </c>
      <c r="G12" s="33">
        <v>1.0265249400000001</v>
      </c>
      <c r="H12" s="33">
        <v>4.0926699999999996E-3</v>
      </c>
      <c r="I12" s="33">
        <v>4.1823869999999999E-2</v>
      </c>
      <c r="J12" s="33">
        <v>16.464885500000001</v>
      </c>
    </row>
    <row r="13" spans="1:10" x14ac:dyDescent="0.2">
      <c r="A13" s="33" t="s">
        <v>197</v>
      </c>
      <c r="B13" s="33" t="s">
        <v>90</v>
      </c>
      <c r="C13" s="33">
        <v>1.0066974799999999</v>
      </c>
      <c r="D13" s="33">
        <v>4.96E-3</v>
      </c>
      <c r="E13" s="33">
        <v>0.56684983</v>
      </c>
      <c r="F13" s="33">
        <v>-22.264175000000002</v>
      </c>
      <c r="G13" s="33">
        <v>1.0081736100000001</v>
      </c>
      <c r="H13" s="33">
        <v>6.2347499999999998E-3</v>
      </c>
      <c r="I13" s="33">
        <v>0.65554979999999996</v>
      </c>
      <c r="J13" s="33">
        <v>14.597190599999999</v>
      </c>
    </row>
    <row r="14" spans="1:10" x14ac:dyDescent="0.2">
      <c r="A14" s="33" t="s">
        <v>198</v>
      </c>
      <c r="B14" s="33" t="s">
        <v>87</v>
      </c>
      <c r="C14" s="33">
        <v>1.0048938999999999</v>
      </c>
      <c r="D14" s="33">
        <v>2.1700000000000001E-3</v>
      </c>
      <c r="E14" s="33">
        <v>0.38470283999999999</v>
      </c>
      <c r="F14" s="33">
        <v>9.7764014199999991</v>
      </c>
      <c r="G14" s="33">
        <v>1.01790789</v>
      </c>
      <c r="H14" s="33">
        <v>1.1454890000000001E-2</v>
      </c>
      <c r="I14" s="33">
        <v>0.62342365</v>
      </c>
      <c r="J14" s="33">
        <v>6.3397862299999996</v>
      </c>
    </row>
    <row r="15" spans="1:10" x14ac:dyDescent="0.2">
      <c r="A15" s="33" t="s">
        <v>198</v>
      </c>
      <c r="B15" s="33" t="s">
        <v>88</v>
      </c>
      <c r="C15" s="33">
        <v>1.01033408</v>
      </c>
      <c r="D15" s="33">
        <v>6.2399999999999999E-3</v>
      </c>
      <c r="E15" s="33">
        <v>0.63558236000000001</v>
      </c>
      <c r="F15" s="33">
        <v>17.616921600000001</v>
      </c>
      <c r="G15" s="33">
        <v>1.00629407</v>
      </c>
      <c r="H15" s="33">
        <v>2.5738980000000002E-2</v>
      </c>
      <c r="I15" s="33">
        <v>3.9239282200000001</v>
      </c>
      <c r="J15" s="33">
        <v>46.103782299999999</v>
      </c>
    </row>
    <row r="16" spans="1:10" x14ac:dyDescent="0.2">
      <c r="A16" s="33" t="s">
        <v>198</v>
      </c>
      <c r="B16" s="33" t="s">
        <v>62</v>
      </c>
      <c r="C16" s="33">
        <v>1.01073287</v>
      </c>
      <c r="D16" s="33">
        <v>8.3800000000000003E-3</v>
      </c>
      <c r="E16" s="33">
        <v>0.73810851</v>
      </c>
      <c r="F16" s="33">
        <v>1.30652284</v>
      </c>
      <c r="G16" s="33">
        <v>1.0139265099999999</v>
      </c>
      <c r="H16" s="33">
        <v>4.0057420000000003E-2</v>
      </c>
      <c r="I16" s="33">
        <v>2.8341292899999999</v>
      </c>
      <c r="J16" s="33">
        <v>23.834890999999999</v>
      </c>
    </row>
    <row r="17" spans="1:10" x14ac:dyDescent="0.2">
      <c r="A17" s="33" t="s">
        <v>198</v>
      </c>
      <c r="B17" s="33" t="s">
        <v>184</v>
      </c>
      <c r="C17" s="33">
        <v>1.0150887900000001</v>
      </c>
      <c r="D17" s="33">
        <v>1.64E-3</v>
      </c>
      <c r="E17" s="33">
        <v>0.11127506</v>
      </c>
      <c r="F17" s="33">
        <v>-31.826215999999999</v>
      </c>
      <c r="G17" s="33">
        <v>1.0184580400000001</v>
      </c>
      <c r="H17" s="33">
        <v>3.28218E-3</v>
      </c>
      <c r="I17" s="33">
        <v>0.16818501</v>
      </c>
      <c r="J17" s="33">
        <v>19.0073151</v>
      </c>
    </row>
    <row r="18" spans="1:10" x14ac:dyDescent="0.2">
      <c r="A18" s="33" t="s">
        <v>198</v>
      </c>
      <c r="B18" s="33" t="s">
        <v>185</v>
      </c>
      <c r="C18" s="33">
        <v>1.00480788</v>
      </c>
      <c r="D18" s="33">
        <v>1.9599999999999999E-3</v>
      </c>
      <c r="E18" s="33">
        <v>0.42726047</v>
      </c>
      <c r="F18" s="33">
        <v>1.4352924300000001</v>
      </c>
      <c r="G18" s="33">
        <v>1.0196479000000001</v>
      </c>
      <c r="H18" s="33">
        <v>3.2867999999999998E-4</v>
      </c>
      <c r="I18" s="33">
        <v>8.7116999999999993E-3</v>
      </c>
      <c r="J18" s="33">
        <v>5.8574467099999996</v>
      </c>
    </row>
    <row r="19" spans="1:10" x14ac:dyDescent="0.2">
      <c r="A19" s="33" t="s">
        <v>198</v>
      </c>
      <c r="B19" s="33" t="s">
        <v>186</v>
      </c>
      <c r="C19" s="33">
        <v>1.01839652</v>
      </c>
      <c r="D19" s="33">
        <v>8.3000000000000001E-4</v>
      </c>
      <c r="E19" s="33">
        <v>1.381344E-2</v>
      </c>
      <c r="F19" s="33">
        <v>-63.549523999999998</v>
      </c>
      <c r="G19" s="33">
        <v>1.0318780400000001</v>
      </c>
      <c r="H19" s="33">
        <v>3.2787900000000002E-3</v>
      </c>
      <c r="I19" s="33">
        <v>5.0795569999999998E-2</v>
      </c>
      <c r="J19" s="33">
        <v>18.364863199999998</v>
      </c>
    </row>
    <row r="20" spans="1:10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</row>
    <row r="21" spans="1:10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">
      <c r="A22" s="33" t="s">
        <v>195</v>
      </c>
      <c r="B22" s="33" t="s">
        <v>104</v>
      </c>
      <c r="C22" s="33">
        <v>1.0241491</v>
      </c>
      <c r="D22" s="33">
        <v>4.6299999999999996E-3</v>
      </c>
      <c r="E22" s="33">
        <v>0.15424207000000001</v>
      </c>
      <c r="F22" s="33">
        <v>13.7539581</v>
      </c>
      <c r="G22" s="33">
        <v>1.0383201799999999</v>
      </c>
      <c r="H22" s="33">
        <v>7.4037499999999997E-3</v>
      </c>
      <c r="I22" s="33">
        <v>0.20105465</v>
      </c>
      <c r="J22" s="33">
        <v>9.7143147699999997</v>
      </c>
    </row>
    <row r="23" spans="1:10" x14ac:dyDescent="0.2">
      <c r="A23" s="33"/>
      <c r="B23" s="33" t="s">
        <v>109</v>
      </c>
      <c r="C23" s="34">
        <v>1.49E-3</v>
      </c>
      <c r="D23" s="34">
        <v>1.2700000000000001E-3</v>
      </c>
      <c r="E23" s="34">
        <v>7.2700000000000001E-2</v>
      </c>
      <c r="F23" s="34">
        <v>12.1</v>
      </c>
      <c r="G23" s="34">
        <v>8.7200000000000003E-3</v>
      </c>
      <c r="H23" s="34">
        <v>3.0100000000000001E-3</v>
      </c>
      <c r="I23" s="34">
        <v>6.7299999999999999E-2</v>
      </c>
      <c r="J23" s="34">
        <v>1.52</v>
      </c>
    </row>
    <row r="24" spans="1:10" x14ac:dyDescent="0.2">
      <c r="A24" s="33" t="s">
        <v>196</v>
      </c>
      <c r="B24" s="33" t="s">
        <v>104</v>
      </c>
      <c r="C24" s="33">
        <v>1.0142140500000001</v>
      </c>
      <c r="D24" s="33">
        <v>5.6699999999999997E-3</v>
      </c>
      <c r="E24" s="33">
        <v>0.43333126</v>
      </c>
      <c r="F24" s="33">
        <v>20.529171000000002</v>
      </c>
      <c r="G24" s="33">
        <v>1.0201874200000001</v>
      </c>
      <c r="H24" s="33">
        <v>1.040935E-2</v>
      </c>
      <c r="I24" s="33">
        <v>0.49173399000000001</v>
      </c>
      <c r="J24" s="33">
        <v>20.353699200000001</v>
      </c>
    </row>
    <row r="25" spans="1:10" x14ac:dyDescent="0.2">
      <c r="A25" s="33"/>
      <c r="B25" s="33" t="s">
        <v>109</v>
      </c>
      <c r="C25" s="33">
        <v>1.7601299999999999E-3</v>
      </c>
      <c r="D25" s="33">
        <v>1.2999999999999999E-3</v>
      </c>
      <c r="E25" s="33">
        <v>9.6780080000000004E-2</v>
      </c>
      <c r="F25" s="33">
        <v>22.9624387</v>
      </c>
      <c r="G25" s="33">
        <v>9.992200000000001E-4</v>
      </c>
      <c r="H25" s="33">
        <v>2.2328700000000001E-3</v>
      </c>
      <c r="I25" s="33">
        <v>0.11161627</v>
      </c>
      <c r="J25" s="33">
        <v>2.3100601900000002</v>
      </c>
    </row>
    <row r="26" spans="1:10" x14ac:dyDescent="0.2">
      <c r="A26" s="33" t="s">
        <v>197</v>
      </c>
      <c r="B26" s="33" t="s">
        <v>104</v>
      </c>
      <c r="C26" s="33">
        <v>1.01780111</v>
      </c>
      <c r="D26" s="33">
        <v>2.6199999999999999E-3</v>
      </c>
      <c r="E26" s="33">
        <v>0.20456231</v>
      </c>
      <c r="F26" s="33">
        <v>4.7396212999999996</v>
      </c>
      <c r="G26" s="33">
        <v>1.0261152499999999</v>
      </c>
      <c r="H26" s="33">
        <v>4.9486900000000004E-3</v>
      </c>
      <c r="I26" s="33">
        <v>0.25926876999999998</v>
      </c>
      <c r="J26" s="33">
        <v>19.993468700000001</v>
      </c>
    </row>
    <row r="27" spans="1:10" x14ac:dyDescent="0.2">
      <c r="A27" s="33"/>
      <c r="B27" s="33" t="s">
        <v>109</v>
      </c>
      <c r="C27" s="33">
        <v>3.5261699999999999E-3</v>
      </c>
      <c r="D27" s="33">
        <v>8.8000000000000003E-4</v>
      </c>
      <c r="E27" s="33">
        <v>0.10924378</v>
      </c>
      <c r="F27" s="33">
        <v>12.7686665</v>
      </c>
      <c r="G27" s="33">
        <v>6.7565899999999998E-3</v>
      </c>
      <c r="H27" s="33">
        <v>4.0078999999999999E-4</v>
      </c>
      <c r="I27" s="33">
        <v>0.11818484999999999</v>
      </c>
      <c r="J27" s="33">
        <v>4.2505722600000002</v>
      </c>
    </row>
    <row r="28" spans="1:10" x14ac:dyDescent="0.2">
      <c r="A28" s="33" t="s">
        <v>198</v>
      </c>
      <c r="B28" s="33" t="s">
        <v>104</v>
      </c>
      <c r="C28" s="33">
        <v>1.01070901</v>
      </c>
      <c r="D28" s="33">
        <v>3.5400000000000002E-3</v>
      </c>
      <c r="E28" s="33">
        <v>0.38512378000000003</v>
      </c>
      <c r="F28" s="33">
        <v>10.873434</v>
      </c>
      <c r="G28" s="33">
        <v>1.01801874</v>
      </c>
      <c r="H28" s="33">
        <v>1.402349E-2</v>
      </c>
      <c r="I28" s="33">
        <v>1.26819557</v>
      </c>
      <c r="J28" s="33">
        <v>19.918014100000001</v>
      </c>
    </row>
    <row r="29" spans="1:10" x14ac:dyDescent="0.2">
      <c r="A29" s="33"/>
      <c r="B29" s="33" t="s">
        <v>109</v>
      </c>
      <c r="C29" s="33">
        <v>2.0211399999999998E-3</v>
      </c>
      <c r="D29" s="33">
        <v>1.1299999999999999E-3</v>
      </c>
      <c r="E29" s="33">
        <v>0.10566823</v>
      </c>
      <c r="F29" s="33">
        <v>11.488837200000001</v>
      </c>
      <c r="G29" s="33">
        <v>3.1142800000000001E-3</v>
      </c>
      <c r="H29" s="33">
        <v>5.8689099999999998E-3</v>
      </c>
      <c r="I29" s="33">
        <v>0.62803001000000003</v>
      </c>
      <c r="J29" s="33">
        <v>5.4932935299999999</v>
      </c>
    </row>
    <row r="31" spans="1:10" x14ac:dyDescent="0.2">
      <c r="D31">
        <f>AVERAGE(D14:D19)</f>
        <v>3.5366666666666667E-3</v>
      </c>
      <c r="E31">
        <f t="shared" ref="E31:J31" si="0">AVERAGE(E14:E19)</f>
        <v>0.38512377999999997</v>
      </c>
      <c r="F31">
        <f t="shared" si="0"/>
        <v>-10.873433618333332</v>
      </c>
      <c r="G31">
        <f t="shared" si="0"/>
        <v>1.0180187416666666</v>
      </c>
      <c r="H31">
        <f t="shared" si="0"/>
        <v>1.402349E-2</v>
      </c>
      <c r="I31">
        <f t="shared" si="0"/>
        <v>1.2681955733333334</v>
      </c>
      <c r="J31">
        <f t="shared" si="0"/>
        <v>19.91801409</v>
      </c>
    </row>
    <row r="34" spans="1:11" x14ac:dyDescent="0.2">
      <c r="A34" t="s">
        <v>152</v>
      </c>
      <c r="B34" t="s">
        <v>203</v>
      </c>
      <c r="C34" t="s">
        <v>11</v>
      </c>
      <c r="D34" t="s">
        <v>16</v>
      </c>
      <c r="E34" t="s">
        <v>17</v>
      </c>
      <c r="F34" t="s">
        <v>14</v>
      </c>
      <c r="G34" t="s">
        <v>15</v>
      </c>
      <c r="H34" t="s">
        <v>17</v>
      </c>
      <c r="I34" t="s">
        <v>21</v>
      </c>
      <c r="J34" t="s">
        <v>22</v>
      </c>
      <c r="K34" t="s">
        <v>23</v>
      </c>
    </row>
    <row r="35" spans="1:11" x14ac:dyDescent="0.2">
      <c r="A35" t="s">
        <v>94</v>
      </c>
      <c r="B35" t="s">
        <v>95</v>
      </c>
      <c r="C35">
        <v>1.7905969172716099E-2</v>
      </c>
      <c r="D35">
        <v>20.0127754211425</v>
      </c>
      <c r="E35">
        <v>1811.5078125</v>
      </c>
      <c r="F35">
        <v>0.34623563289642301</v>
      </c>
      <c r="G35">
        <v>1.85081839561462</v>
      </c>
      <c r="H35">
        <v>0.36868315935134799</v>
      </c>
      <c r="I35">
        <v>22679.33984375</v>
      </c>
      <c r="J35">
        <v>0.41964840888977001</v>
      </c>
      <c r="K35">
        <v>0.10702355206012699</v>
      </c>
    </row>
    <row r="36" spans="1:11" x14ac:dyDescent="0.2">
      <c r="A36" t="s">
        <v>193</v>
      </c>
      <c r="B36" t="s">
        <v>95</v>
      </c>
      <c r="C36">
        <v>2.0819127559661799E-2</v>
      </c>
      <c r="D36">
        <v>8.9957974851131405E-3</v>
      </c>
      <c r="E36">
        <v>100.392807006835</v>
      </c>
      <c r="F36">
        <v>6.4103929325938199E-3</v>
      </c>
      <c r="G36">
        <v>4.2793817520141602</v>
      </c>
      <c r="H36">
        <v>31.0315437316894</v>
      </c>
      <c r="I36">
        <v>133.59860229492099</v>
      </c>
      <c r="J36">
        <v>0.35204845666885298</v>
      </c>
      <c r="K36">
        <v>1.53266513347625</v>
      </c>
    </row>
    <row r="37" spans="1:11" x14ac:dyDescent="0.2">
      <c r="A37" t="s">
        <v>187</v>
      </c>
      <c r="B37" t="s">
        <v>95</v>
      </c>
      <c r="C37">
        <v>4.1707651689648602E-3</v>
      </c>
      <c r="D37">
        <v>20.9033107757568</v>
      </c>
      <c r="E37">
        <v>1721.34289550781</v>
      </c>
      <c r="F37">
        <v>0.35841003060340798</v>
      </c>
      <c r="G37">
        <v>-1.21785056591033</v>
      </c>
      <c r="H37">
        <v>0.23019377887248901</v>
      </c>
      <c r="I37">
        <v>21891.71484375</v>
      </c>
      <c r="J37">
        <v>0.41006723046302701</v>
      </c>
      <c r="K37">
        <v>9.8773784637451101</v>
      </c>
    </row>
    <row r="38" spans="1:11" x14ac:dyDescent="0.2">
      <c r="A38" t="s">
        <v>188</v>
      </c>
      <c r="B38" t="s">
        <v>95</v>
      </c>
      <c r="C38">
        <v>7.2698816657066302E-3</v>
      </c>
      <c r="D38">
        <v>33.463935852050703</v>
      </c>
      <c r="E38">
        <v>13757.0791015625</v>
      </c>
      <c r="F38">
        <v>0.35844725370407099</v>
      </c>
      <c r="G38">
        <v>-8.8125508045777603E-4</v>
      </c>
      <c r="H38">
        <v>5.1854081451892797E-2</v>
      </c>
      <c r="I38">
        <v>87912.4375</v>
      </c>
      <c r="J38">
        <v>0.39621892571449202</v>
      </c>
      <c r="K38">
        <v>8.2015946507453905E-2</v>
      </c>
    </row>
    <row r="39" spans="1:11" x14ac:dyDescent="0.2">
      <c r="A39" t="s">
        <v>75</v>
      </c>
      <c r="B39" t="s">
        <v>98</v>
      </c>
      <c r="C39">
        <v>2.1267434931360101E-4</v>
      </c>
      <c r="D39">
        <v>1.9765584147535199E-4</v>
      </c>
      <c r="E39">
        <v>1.0713823139667501E-2</v>
      </c>
      <c r="F39" s="1">
        <v>7.0794281782582402E-5</v>
      </c>
      <c r="G39">
        <v>-1.5557045117020599E-4</v>
      </c>
      <c r="H39">
        <v>1.8266207189299101E-4</v>
      </c>
      <c r="I39">
        <v>6.1074872501194399E-3</v>
      </c>
      <c r="J39" s="1">
        <v>7.3918403359129998E-5</v>
      </c>
      <c r="K39">
        <v>0.110267333686351</v>
      </c>
    </row>
    <row r="40" spans="1:11" x14ac:dyDescent="0.2">
      <c r="A40" t="s">
        <v>76</v>
      </c>
      <c r="B40" t="s">
        <v>98</v>
      </c>
      <c r="C40">
        <v>5.6863878853619099E-4</v>
      </c>
      <c r="D40">
        <v>5.9787009377032497E-4</v>
      </c>
      <c r="E40">
        <v>2.0677093416452401E-2</v>
      </c>
      <c r="F40">
        <v>2.7216342277824797E-4</v>
      </c>
      <c r="G40">
        <v>3.1376050319522602E-3</v>
      </c>
      <c r="H40">
        <v>6.3832802698016102E-4</v>
      </c>
      <c r="I40">
        <v>1.9918531179428101E-2</v>
      </c>
      <c r="J40">
        <v>2.4883999140001801E-4</v>
      </c>
      <c r="K40">
        <v>1.0029441118240301</v>
      </c>
    </row>
    <row r="41" spans="1:11" x14ac:dyDescent="0.2">
      <c r="A41" t="s">
        <v>93</v>
      </c>
      <c r="B41" t="s">
        <v>98</v>
      </c>
      <c r="C41">
        <v>3.6261830246075901E-4</v>
      </c>
      <c r="D41">
        <v>3.25615052133798E-4</v>
      </c>
      <c r="E41">
        <v>8.9242625981569203E-3</v>
      </c>
      <c r="F41">
        <v>1.45200130646117E-4</v>
      </c>
      <c r="G41">
        <v>0.96380770206451405</v>
      </c>
      <c r="H41">
        <v>3.7418672582134599E-4</v>
      </c>
      <c r="I41">
        <v>1.21884271502494E-2</v>
      </c>
      <c r="J41">
        <v>1.15870076115243E-4</v>
      </c>
      <c r="K41">
        <v>0.99367481470107999</v>
      </c>
    </row>
    <row r="42" spans="1:11" x14ac:dyDescent="0.2">
      <c r="A42" t="s">
        <v>201</v>
      </c>
      <c r="B42" t="s">
        <v>98</v>
      </c>
      <c r="C42">
        <v>2.62723478954285E-4</v>
      </c>
      <c r="D42">
        <v>2.5846241624094502E-4</v>
      </c>
      <c r="E42">
        <v>7.4513377621769896E-3</v>
      </c>
      <c r="F42" s="1">
        <v>8.2114565884694403E-5</v>
      </c>
      <c r="G42">
        <v>5.17741777002811E-3</v>
      </c>
      <c r="H42">
        <v>2.4719425709918098E-4</v>
      </c>
      <c r="I42">
        <v>6.9778645411133697E-3</v>
      </c>
      <c r="J42" s="1">
        <v>7.8843193477950895E-5</v>
      </c>
      <c r="K42">
        <v>2.8831152915954501</v>
      </c>
    </row>
    <row r="43" spans="1:11" x14ac:dyDescent="0.2">
      <c r="A43" t="s">
        <v>181</v>
      </c>
      <c r="B43" t="s">
        <v>84</v>
      </c>
      <c r="C43">
        <v>8.6670797318220104E-3</v>
      </c>
      <c r="D43">
        <v>6.6011687740683504E-3</v>
      </c>
      <c r="E43">
        <v>1854.52783203125</v>
      </c>
      <c r="F43">
        <v>0.52450978755950906</v>
      </c>
      <c r="G43">
        <v>-0.86635553836822499</v>
      </c>
      <c r="H43">
        <v>2.58728619664907E-2</v>
      </c>
      <c r="I43">
        <v>2.5627911090850799</v>
      </c>
      <c r="J43">
        <v>0.32011359930038402</v>
      </c>
      <c r="K43">
        <v>1.4656623601913401</v>
      </c>
    </row>
    <row r="44" spans="1:11" x14ac:dyDescent="0.2">
      <c r="A44" t="s">
        <v>183</v>
      </c>
      <c r="B44" t="s">
        <v>84</v>
      </c>
      <c r="C44">
        <v>5.7971460046246604E-4</v>
      </c>
      <c r="D44">
        <v>1.94906182587146E-2</v>
      </c>
      <c r="E44">
        <v>292.12902832031199</v>
      </c>
      <c r="F44">
        <v>1.1248530820012001E-2</v>
      </c>
      <c r="G44">
        <v>-1.0792076587677</v>
      </c>
      <c r="H44">
        <v>41.748916625976499</v>
      </c>
      <c r="I44">
        <v>1.42859458923339</v>
      </c>
      <c r="J44">
        <v>0.356332957744598</v>
      </c>
      <c r="K44">
        <v>13.299644470214799</v>
      </c>
    </row>
    <row r="45" spans="1:11" x14ac:dyDescent="0.2">
      <c r="A45" t="s">
        <v>90</v>
      </c>
      <c r="B45" t="s">
        <v>84</v>
      </c>
      <c r="C45">
        <v>0.12969234585761999</v>
      </c>
      <c r="D45">
        <v>396.80108642578102</v>
      </c>
      <c r="E45">
        <v>69784.3671875</v>
      </c>
      <c r="F45">
        <v>0.34163275361061002</v>
      </c>
      <c r="G45">
        <v>3.1474809646606401</v>
      </c>
      <c r="H45">
        <v>2.4462803266942501E-3</v>
      </c>
      <c r="I45">
        <v>2254.41064453125</v>
      </c>
      <c r="J45">
        <v>0.61482262611389105</v>
      </c>
      <c r="K45">
        <v>1.01262378692626</v>
      </c>
    </row>
    <row r="46" spans="1:11" x14ac:dyDescent="0.2">
      <c r="A46" t="s">
        <v>88</v>
      </c>
      <c r="B46" t="s">
        <v>202</v>
      </c>
      <c r="C46" s="1">
        <v>8.7438704213127494E-5</v>
      </c>
      <c r="D46">
        <v>27.206779479980401</v>
      </c>
      <c r="E46">
        <v>1491608.25</v>
      </c>
      <c r="F46">
        <v>0.36198735237121499</v>
      </c>
      <c r="G46">
        <v>0.86023354530334395</v>
      </c>
      <c r="H46">
        <v>200.77484130859301</v>
      </c>
      <c r="I46">
        <v>269868.75</v>
      </c>
      <c r="J46">
        <v>0.32792788743972701</v>
      </c>
      <c r="K46">
        <v>0.219781279563903</v>
      </c>
    </row>
    <row r="47" spans="1:11" x14ac:dyDescent="0.2">
      <c r="A47" t="s">
        <v>62</v>
      </c>
      <c r="B47" t="s">
        <v>202</v>
      </c>
      <c r="C47">
        <v>2.4189797113649501E-4</v>
      </c>
      <c r="D47">
        <v>666.75573730468705</v>
      </c>
      <c r="E47">
        <v>17465.03515625</v>
      </c>
      <c r="F47">
        <v>0.34119719266891402</v>
      </c>
      <c r="G47">
        <v>2.8320527635514701E-3</v>
      </c>
      <c r="H47">
        <v>25.1930751800537</v>
      </c>
      <c r="I47">
        <v>86895.0703125</v>
      </c>
      <c r="J47">
        <v>0.378908932209014</v>
      </c>
      <c r="K47">
        <v>8.7473697662353498</v>
      </c>
    </row>
    <row r="48" spans="1:11" x14ac:dyDescent="0.2">
      <c r="A48" t="s">
        <v>185</v>
      </c>
      <c r="B48" t="s">
        <v>202</v>
      </c>
      <c r="C48">
        <v>2.2289836779236698E-3</v>
      </c>
      <c r="D48">
        <v>4.72015291452407E-2</v>
      </c>
      <c r="E48">
        <v>2806.5458984375</v>
      </c>
      <c r="F48">
        <v>0.49271762371063199</v>
      </c>
      <c r="G48">
        <v>2.1185531616210902</v>
      </c>
      <c r="H48">
        <v>0.300513535737991</v>
      </c>
      <c r="I48">
        <v>35.279937744140597</v>
      </c>
      <c r="J48">
        <v>0.404571533203125</v>
      </c>
      <c r="K48">
        <v>35.1973876953125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F078-6AE0-BA4C-9EBE-07F783615AF1}">
  <dimension ref="A1:L21"/>
  <sheetViews>
    <sheetView workbookViewId="0">
      <selection activeCell="B12" sqref="B12"/>
    </sheetView>
  </sheetViews>
  <sheetFormatPr baseColWidth="10" defaultRowHeight="15" x14ac:dyDescent="0.2"/>
  <cols>
    <col min="14" max="14" width="11.6640625" customWidth="1"/>
    <col min="15" max="15" width="14.6640625" customWidth="1"/>
    <col min="16" max="16" width="13.6640625" customWidth="1"/>
    <col min="17" max="18" width="11.6640625" customWidth="1"/>
    <col min="19" max="19" width="14.6640625" customWidth="1"/>
    <col min="20" max="20" width="12.6640625" customWidth="1"/>
    <col min="21" max="21" width="11.6640625" customWidth="1"/>
  </cols>
  <sheetData>
    <row r="1" spans="1:12" x14ac:dyDescent="0.2">
      <c r="A1" s="33" t="s">
        <v>203</v>
      </c>
      <c r="B1" s="33" t="s">
        <v>204</v>
      </c>
      <c r="C1" s="33" t="s">
        <v>205</v>
      </c>
      <c r="D1" s="33" t="s">
        <v>11</v>
      </c>
      <c r="E1" s="33" t="s">
        <v>16</v>
      </c>
      <c r="F1" s="33" t="s">
        <v>17</v>
      </c>
      <c r="G1" s="33" t="s">
        <v>18</v>
      </c>
      <c r="H1" s="33" t="s">
        <v>19</v>
      </c>
      <c r="I1" s="33" t="s">
        <v>20</v>
      </c>
      <c r="J1" s="33" t="s">
        <v>21</v>
      </c>
      <c r="K1" s="33" t="s">
        <v>22</v>
      </c>
      <c r="L1" s="33" t="s">
        <v>23</v>
      </c>
    </row>
    <row r="2" spans="1:12" x14ac:dyDescent="0.2">
      <c r="A2" s="37" t="s">
        <v>95</v>
      </c>
      <c r="B2" s="33" t="s">
        <v>96</v>
      </c>
      <c r="C2" s="33" t="s">
        <v>94</v>
      </c>
      <c r="D2" s="2">
        <v>1.25E-3</v>
      </c>
      <c r="E2" s="34">
        <v>8.8300000000000003E-2</v>
      </c>
      <c r="F2" s="34">
        <v>671</v>
      </c>
      <c r="G2" s="34">
        <v>0.157</v>
      </c>
      <c r="H2" s="2">
        <v>1.55</v>
      </c>
      <c r="I2" s="34">
        <v>0.316</v>
      </c>
      <c r="J2" s="34">
        <v>446</v>
      </c>
      <c r="K2" s="34">
        <v>0.17399999999999999</v>
      </c>
      <c r="L2" s="2">
        <v>0.55400000000000005</v>
      </c>
    </row>
    <row r="3" spans="1:12" x14ac:dyDescent="0.2">
      <c r="A3" s="37" t="s">
        <v>95</v>
      </c>
      <c r="B3" s="33" t="s">
        <v>103</v>
      </c>
      <c r="C3" s="33" t="s">
        <v>65</v>
      </c>
      <c r="D3" s="2">
        <v>0</v>
      </c>
      <c r="E3" s="34">
        <v>0.33200000000000002</v>
      </c>
      <c r="F3" s="34">
        <v>658</v>
      </c>
      <c r="G3" s="34">
        <v>0.158</v>
      </c>
      <c r="H3" s="2">
        <v>1.1200000000000001</v>
      </c>
      <c r="I3" s="34">
        <v>0.79</v>
      </c>
      <c r="J3" s="34">
        <v>344</v>
      </c>
      <c r="K3" s="34">
        <v>0.19</v>
      </c>
      <c r="L3" s="2">
        <v>0.82899999999999996</v>
      </c>
    </row>
    <row r="4" spans="1:12" x14ac:dyDescent="0.2">
      <c r="A4" s="37" t="s">
        <v>95</v>
      </c>
      <c r="B4" s="33" t="s">
        <v>103</v>
      </c>
      <c r="C4" s="33" t="s">
        <v>66</v>
      </c>
      <c r="D4" s="2">
        <v>0</v>
      </c>
      <c r="E4" s="34">
        <v>0.55200000000000005</v>
      </c>
      <c r="F4" s="34">
        <v>186</v>
      </c>
      <c r="G4" s="34">
        <v>0.20799999999999999</v>
      </c>
      <c r="H4" s="2">
        <v>1.99</v>
      </c>
      <c r="I4" s="34">
        <v>0.123</v>
      </c>
      <c r="J4" s="34">
        <v>189</v>
      </c>
      <c r="K4" s="34">
        <v>0.22</v>
      </c>
      <c r="L4" s="2">
        <v>0.17899999999999999</v>
      </c>
    </row>
    <row r="5" spans="1:12" x14ac:dyDescent="0.2">
      <c r="A5" s="37" t="s">
        <v>95</v>
      </c>
      <c r="B5" s="33" t="s">
        <v>180</v>
      </c>
      <c r="C5" s="33" t="s">
        <v>193</v>
      </c>
      <c r="D5" s="2">
        <v>0</v>
      </c>
      <c r="E5" s="34">
        <v>0</v>
      </c>
      <c r="F5" s="34">
        <v>259</v>
      </c>
      <c r="G5" s="34">
        <v>0.20899999999999999</v>
      </c>
      <c r="H5" s="34">
        <v>0.74399999999999999</v>
      </c>
      <c r="I5" s="34">
        <v>22.6</v>
      </c>
      <c r="J5" s="34">
        <v>1000</v>
      </c>
      <c r="K5" s="34">
        <v>0.33</v>
      </c>
      <c r="L5" s="2">
        <v>-6.8100000000000002E-5</v>
      </c>
    </row>
    <row r="6" spans="1:12" x14ac:dyDescent="0.2">
      <c r="A6" s="37" t="s">
        <v>95</v>
      </c>
      <c r="B6" s="33" t="s">
        <v>182</v>
      </c>
      <c r="C6" s="33" t="s">
        <v>187</v>
      </c>
      <c r="D6" s="35">
        <v>8.4800000000000001E-5</v>
      </c>
      <c r="E6" s="36">
        <v>7.74</v>
      </c>
      <c r="F6" s="36">
        <v>299</v>
      </c>
      <c r="G6" s="36">
        <v>0.33300000000000002</v>
      </c>
      <c r="H6" s="36">
        <v>0.71099999999999997</v>
      </c>
      <c r="I6" s="36">
        <v>9.1899999999999998E-5</v>
      </c>
      <c r="J6" s="36">
        <v>578</v>
      </c>
      <c r="K6" s="36">
        <v>0.11</v>
      </c>
      <c r="L6" s="36">
        <v>0.41499999999999998</v>
      </c>
    </row>
    <row r="7" spans="1:12" x14ac:dyDescent="0.2">
      <c r="A7" s="37" t="s">
        <v>95</v>
      </c>
      <c r="B7" s="33" t="s">
        <v>182</v>
      </c>
      <c r="C7" s="33" t="s">
        <v>188</v>
      </c>
      <c r="D7" s="35">
        <v>0</v>
      </c>
      <c r="E7" s="36">
        <v>8.41</v>
      </c>
      <c r="F7" s="36">
        <v>511</v>
      </c>
      <c r="G7" s="36">
        <v>0.33300000000000002</v>
      </c>
      <c r="H7" s="36">
        <v>0.10299999999999999</v>
      </c>
      <c r="I7" s="36">
        <v>3.9300000000000003E-3</v>
      </c>
      <c r="J7" s="36">
        <v>571</v>
      </c>
      <c r="K7" s="36">
        <v>0.107</v>
      </c>
      <c r="L7" s="36">
        <v>0.86</v>
      </c>
    </row>
    <row r="8" spans="1:12" x14ac:dyDescent="0.2">
      <c r="A8" s="37" t="s">
        <v>98</v>
      </c>
      <c r="B8" s="33" t="s">
        <v>97</v>
      </c>
      <c r="C8" s="33" t="s">
        <v>75</v>
      </c>
      <c r="D8" s="2">
        <v>0</v>
      </c>
      <c r="E8" s="34">
        <v>29.1</v>
      </c>
      <c r="F8" s="34">
        <v>679</v>
      </c>
      <c r="G8" s="34">
        <v>0.33300000000000002</v>
      </c>
      <c r="H8" s="2">
        <v>1.81</v>
      </c>
      <c r="I8" s="34">
        <v>0.215</v>
      </c>
      <c r="J8" s="34">
        <v>528</v>
      </c>
      <c r="K8" s="34">
        <v>0.13200000000000001</v>
      </c>
      <c r="L8" s="2">
        <v>1.1200000000000001</v>
      </c>
    </row>
    <row r="9" spans="1:12" x14ac:dyDescent="0.2">
      <c r="A9" s="37" t="s">
        <v>98</v>
      </c>
      <c r="B9" s="33" t="s">
        <v>97</v>
      </c>
      <c r="C9" s="33" t="s">
        <v>76</v>
      </c>
      <c r="D9" s="2">
        <v>0</v>
      </c>
      <c r="E9" s="34">
        <v>1.05</v>
      </c>
      <c r="F9" s="34">
        <v>1000</v>
      </c>
      <c r="G9" s="34">
        <v>0.245</v>
      </c>
      <c r="H9" s="2">
        <v>1.18</v>
      </c>
      <c r="I9" s="34">
        <v>0.23300000000000001</v>
      </c>
      <c r="J9" s="34">
        <v>394</v>
      </c>
      <c r="K9" s="34">
        <v>0.11799999999999999</v>
      </c>
      <c r="L9" s="2">
        <v>0.61899999999999999</v>
      </c>
    </row>
    <row r="10" spans="1:12" x14ac:dyDescent="0.2">
      <c r="A10" s="37" t="s">
        <v>98</v>
      </c>
      <c r="B10" s="33" t="s">
        <v>96</v>
      </c>
      <c r="C10" s="33" t="s">
        <v>93</v>
      </c>
      <c r="D10" s="2">
        <v>0</v>
      </c>
      <c r="E10" s="34">
        <v>0.22500000000000001</v>
      </c>
      <c r="F10" s="34">
        <v>534</v>
      </c>
      <c r="G10" s="34">
        <v>0.158</v>
      </c>
      <c r="H10" s="2">
        <v>0.17799999999999999</v>
      </c>
      <c r="I10" s="34">
        <v>0.36</v>
      </c>
      <c r="J10" s="34">
        <v>1000</v>
      </c>
      <c r="K10" s="34">
        <v>0.109</v>
      </c>
      <c r="L10" s="2">
        <v>2.06</v>
      </c>
    </row>
    <row r="11" spans="1:12" x14ac:dyDescent="0.2">
      <c r="A11" s="37" t="s">
        <v>98</v>
      </c>
      <c r="B11" s="33" t="s">
        <v>180</v>
      </c>
      <c r="C11" s="33" t="s">
        <v>194</v>
      </c>
      <c r="D11" s="2">
        <v>0</v>
      </c>
      <c r="E11" s="34">
        <v>0.746</v>
      </c>
      <c r="F11" s="34">
        <v>476</v>
      </c>
      <c r="G11" s="34">
        <v>0.193</v>
      </c>
      <c r="H11" s="34">
        <v>1.57</v>
      </c>
      <c r="I11" s="34">
        <v>16.600000000000001</v>
      </c>
      <c r="J11" s="34">
        <v>1000</v>
      </c>
      <c r="K11" s="34">
        <v>0.317</v>
      </c>
      <c r="L11" s="2">
        <v>-3.14</v>
      </c>
    </row>
    <row r="12" spans="1:12" x14ac:dyDescent="0.2">
      <c r="A12" s="37" t="s">
        <v>84</v>
      </c>
      <c r="B12" s="33" t="s">
        <v>96</v>
      </c>
      <c r="C12" s="33" t="s">
        <v>89</v>
      </c>
      <c r="D12" s="2">
        <v>2.7799999999999998E-4</v>
      </c>
      <c r="E12" s="34">
        <v>0.126</v>
      </c>
      <c r="F12" s="34">
        <v>302</v>
      </c>
      <c r="G12" s="34">
        <v>0.157</v>
      </c>
      <c r="H12" s="2">
        <v>2.5</v>
      </c>
      <c r="I12" s="34">
        <v>2.3400000000000001E-3</v>
      </c>
      <c r="J12" s="34">
        <v>459</v>
      </c>
      <c r="K12" s="34">
        <v>2.3199999999999998E-2</v>
      </c>
      <c r="L12" s="2">
        <v>2.0699999999999998</v>
      </c>
    </row>
    <row r="13" spans="1:12" x14ac:dyDescent="0.2">
      <c r="A13" s="37" t="s">
        <v>84</v>
      </c>
      <c r="B13" s="33" t="s">
        <v>182</v>
      </c>
      <c r="C13" s="33" t="s">
        <v>181</v>
      </c>
      <c r="D13" s="35">
        <v>0</v>
      </c>
      <c r="E13" s="36">
        <v>2.89</v>
      </c>
      <c r="F13" s="36">
        <v>1000</v>
      </c>
      <c r="G13" s="36">
        <v>0.308</v>
      </c>
      <c r="H13" s="36">
        <v>1.6</v>
      </c>
      <c r="I13" s="36">
        <v>7.5799999999999999E-5</v>
      </c>
      <c r="J13" s="36">
        <v>578</v>
      </c>
      <c r="K13" s="36">
        <v>0.111</v>
      </c>
      <c r="L13" s="36">
        <v>0.8</v>
      </c>
    </row>
    <row r="14" spans="1:12" x14ac:dyDescent="0.2">
      <c r="A14" s="37" t="s">
        <v>84</v>
      </c>
      <c r="B14" s="33" t="s">
        <v>182</v>
      </c>
      <c r="C14" s="33" t="s">
        <v>183</v>
      </c>
      <c r="D14" s="35">
        <v>0</v>
      </c>
      <c r="E14" s="36">
        <v>26.9</v>
      </c>
      <c r="F14" s="36">
        <v>1000</v>
      </c>
      <c r="G14" s="36">
        <v>0.33300000000000002</v>
      </c>
      <c r="H14" s="36">
        <v>0.89600000000000002</v>
      </c>
      <c r="I14" s="36">
        <v>4.4099999999999999E-3</v>
      </c>
      <c r="J14" s="36">
        <v>614</v>
      </c>
      <c r="K14" s="36">
        <v>8.8400000000000006E-2</v>
      </c>
      <c r="L14" s="36">
        <v>1.57</v>
      </c>
    </row>
    <row r="15" spans="1:12" x14ac:dyDescent="0.2">
      <c r="A15" s="37" t="s">
        <v>84</v>
      </c>
      <c r="B15" s="33" t="s">
        <v>96</v>
      </c>
      <c r="C15" s="33" t="s">
        <v>90</v>
      </c>
      <c r="D15" s="2">
        <v>9.9900000000000006E-3</v>
      </c>
      <c r="E15" s="34">
        <v>0.13400000000000001</v>
      </c>
      <c r="F15" s="34">
        <v>292</v>
      </c>
      <c r="G15" s="34">
        <v>2.7399999999999999E-5</v>
      </c>
      <c r="H15" s="2">
        <v>1.57</v>
      </c>
      <c r="I15" s="34">
        <v>0.17699999999999999</v>
      </c>
      <c r="J15" s="34">
        <v>413</v>
      </c>
      <c r="K15" s="34">
        <v>4.1399999999999996E-3</v>
      </c>
      <c r="L15" s="2">
        <v>0.35699999999999998</v>
      </c>
    </row>
    <row r="16" spans="1:12" x14ac:dyDescent="0.2">
      <c r="A16" s="37" t="s">
        <v>99</v>
      </c>
      <c r="B16" s="33" t="s">
        <v>96</v>
      </c>
      <c r="C16" s="33" t="s">
        <v>87</v>
      </c>
      <c r="D16" s="2">
        <v>1.42E-3</v>
      </c>
      <c r="E16" s="34">
        <v>1.55</v>
      </c>
      <c r="F16" s="34">
        <v>640</v>
      </c>
      <c r="G16" s="34">
        <v>0.224</v>
      </c>
      <c r="H16" s="2">
        <v>1.17</v>
      </c>
      <c r="I16" s="34">
        <v>3.15E-2</v>
      </c>
      <c r="J16" s="34">
        <v>643</v>
      </c>
      <c r="K16" s="34">
        <v>0.11700000000000001</v>
      </c>
      <c r="L16" s="2">
        <v>0.63600000000000001</v>
      </c>
    </row>
    <row r="17" spans="1:12" x14ac:dyDescent="0.2">
      <c r="A17" s="37" t="s">
        <v>99</v>
      </c>
      <c r="B17" s="33" t="s">
        <v>96</v>
      </c>
      <c r="C17" s="33" t="s">
        <v>88</v>
      </c>
      <c r="D17" s="2">
        <v>0</v>
      </c>
      <c r="E17" s="34">
        <v>0</v>
      </c>
      <c r="F17" s="34">
        <v>703</v>
      </c>
      <c r="G17" s="34">
        <v>0.12</v>
      </c>
      <c r="H17" s="2">
        <v>0.91100000000000003</v>
      </c>
      <c r="I17" s="34">
        <v>0.96</v>
      </c>
      <c r="J17" s="34">
        <v>1000</v>
      </c>
      <c r="K17" s="34">
        <v>3.46E-3</v>
      </c>
      <c r="L17" s="2">
        <v>1.1000000000000001</v>
      </c>
    </row>
    <row r="18" spans="1:12" x14ac:dyDescent="0.2">
      <c r="A18" s="37" t="s">
        <v>99</v>
      </c>
      <c r="B18" s="33" t="s">
        <v>97</v>
      </c>
      <c r="C18" s="33" t="s">
        <v>62</v>
      </c>
      <c r="D18" s="2">
        <v>0</v>
      </c>
      <c r="E18" s="34">
        <v>1.05</v>
      </c>
      <c r="F18" s="34">
        <v>304</v>
      </c>
      <c r="G18" s="34">
        <v>0.19900000000000001</v>
      </c>
      <c r="H18" s="2">
        <v>0.441</v>
      </c>
      <c r="I18" s="34">
        <v>0.61</v>
      </c>
      <c r="J18" s="34">
        <v>135</v>
      </c>
      <c r="K18" s="34">
        <v>0</v>
      </c>
      <c r="L18" s="2">
        <v>1.57</v>
      </c>
    </row>
    <row r="19" spans="1:12" x14ac:dyDescent="0.2">
      <c r="A19" s="37" t="s">
        <v>99</v>
      </c>
      <c r="B19" s="33" t="s">
        <v>180</v>
      </c>
      <c r="C19" s="33" t="s">
        <v>184</v>
      </c>
      <c r="D19" s="2">
        <v>0</v>
      </c>
      <c r="E19" s="34">
        <v>0.311</v>
      </c>
      <c r="F19" s="34">
        <v>1000</v>
      </c>
      <c r="G19" s="34">
        <v>0.18</v>
      </c>
      <c r="H19" s="34">
        <v>1.1200000000000001</v>
      </c>
      <c r="I19" s="34">
        <v>9.26</v>
      </c>
      <c r="J19" s="34">
        <v>1000</v>
      </c>
      <c r="K19" s="34">
        <v>0.30599999999999999</v>
      </c>
      <c r="L19" s="2">
        <v>2.0000000000000001E-4</v>
      </c>
    </row>
    <row r="20" spans="1:12" x14ac:dyDescent="0.2">
      <c r="A20" s="37" t="s">
        <v>99</v>
      </c>
      <c r="B20" s="33" t="s">
        <v>180</v>
      </c>
      <c r="C20" s="33" t="s">
        <v>185</v>
      </c>
      <c r="D20" s="2">
        <v>4.6900000000000002E-5</v>
      </c>
      <c r="E20" s="34">
        <v>0.73799999999999999</v>
      </c>
      <c r="F20" s="34">
        <v>704</v>
      </c>
      <c r="G20" s="2">
        <v>0.28799999999999998</v>
      </c>
      <c r="H20" s="34">
        <v>-1.34</v>
      </c>
      <c r="I20" s="34">
        <v>8.6200000000000005E-6</v>
      </c>
      <c r="J20" s="34">
        <v>576</v>
      </c>
      <c r="K20" s="34">
        <v>0.112</v>
      </c>
      <c r="L20" s="2">
        <v>1.58</v>
      </c>
    </row>
    <row r="21" spans="1:12" x14ac:dyDescent="0.2">
      <c r="A21" s="37" t="s">
        <v>99</v>
      </c>
      <c r="B21" s="33" t="s">
        <v>182</v>
      </c>
      <c r="C21" s="33" t="s">
        <v>186</v>
      </c>
      <c r="D21" s="35">
        <v>2.4600000000000002E-4</v>
      </c>
      <c r="E21" s="36">
        <v>5.93</v>
      </c>
      <c r="F21" s="36">
        <v>107</v>
      </c>
      <c r="G21" s="36">
        <v>0.3</v>
      </c>
      <c r="H21" s="36">
        <v>-0.83199999999999996</v>
      </c>
      <c r="I21" s="36">
        <v>1.0200000000000001E-3</v>
      </c>
      <c r="J21" s="36">
        <v>521</v>
      </c>
      <c r="K21" s="36">
        <v>8.6900000000000005E-2</v>
      </c>
      <c r="L21" s="36">
        <v>1.57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FFB8-7ADC-4611-98BE-64B447A82D7F}">
  <dimension ref="A1:V22"/>
  <sheetViews>
    <sheetView topLeftCell="A3" zoomScale="115" zoomScaleNormal="115" workbookViewId="0">
      <pane xSplit="1" topLeftCell="H1" activePane="topRight" state="frozen"/>
      <selection pane="topRight" activeCell="C11" sqref="C11"/>
    </sheetView>
  </sheetViews>
  <sheetFormatPr baseColWidth="10" defaultColWidth="8.83203125" defaultRowHeight="15" x14ac:dyDescent="0.2"/>
  <cols>
    <col min="4" max="4" width="10.33203125" customWidth="1"/>
    <col min="5" max="5" width="10.6640625" customWidth="1"/>
    <col min="9" max="9" width="10.83203125" bestFit="1" customWidth="1"/>
    <col min="21" max="21" width="11.5" customWidth="1"/>
  </cols>
  <sheetData>
    <row r="1" spans="1:22" x14ac:dyDescent="0.2">
      <c r="E1" t="s">
        <v>44</v>
      </c>
      <c r="M1" t="s">
        <v>45</v>
      </c>
    </row>
    <row r="2" spans="1:22" x14ac:dyDescent="0.2">
      <c r="D2" t="s">
        <v>48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2" x14ac:dyDescent="0.2">
      <c r="A3" t="s">
        <v>75</v>
      </c>
      <c r="B3" t="s">
        <v>52</v>
      </c>
      <c r="C3" t="s">
        <v>52</v>
      </c>
      <c r="E3" s="2">
        <v>0.01</v>
      </c>
      <c r="F3" s="1">
        <v>0.93639420799999995</v>
      </c>
      <c r="G3" s="1">
        <v>364.27069</v>
      </c>
      <c r="H3" s="1">
        <v>0.151828352</v>
      </c>
      <c r="I3" s="2">
        <v>1.00521175</v>
      </c>
      <c r="M3" s="2">
        <v>0</v>
      </c>
      <c r="N3" s="1">
        <v>29.1056366</v>
      </c>
      <c r="O3" s="1">
        <v>678.824612</v>
      </c>
      <c r="P3" s="1">
        <v>0.33333333300000001</v>
      </c>
      <c r="Q3" s="2">
        <v>1.8108392600000001</v>
      </c>
      <c r="R3" s="1">
        <v>0.21495415200000001</v>
      </c>
      <c r="S3" s="1">
        <v>528.20192699999996</v>
      </c>
      <c r="T3" s="1">
        <v>0.131934834</v>
      </c>
      <c r="U3" s="2">
        <v>1.1153321599999999</v>
      </c>
      <c r="V3" t="s">
        <v>100</v>
      </c>
    </row>
    <row r="4" spans="1:22" x14ac:dyDescent="0.2">
      <c r="A4" t="s">
        <v>76</v>
      </c>
      <c r="B4" t="s">
        <v>52</v>
      </c>
      <c r="C4" t="s">
        <v>52</v>
      </c>
      <c r="E4" s="2">
        <v>0.01</v>
      </c>
      <c r="F4" s="1">
        <v>1.83527511</v>
      </c>
      <c r="G4" s="1">
        <v>633.02590699999996</v>
      </c>
      <c r="H4" s="1">
        <v>0.21185195000000001</v>
      </c>
      <c r="I4" s="2">
        <v>0.88097297399999996</v>
      </c>
      <c r="M4" s="2">
        <v>0</v>
      </c>
      <c r="N4" s="1">
        <v>1.04531113</v>
      </c>
      <c r="O4" s="1">
        <v>1000</v>
      </c>
      <c r="P4" s="1">
        <v>0.24532683699999999</v>
      </c>
      <c r="Q4" s="2">
        <v>1.1848106</v>
      </c>
      <c r="R4" s="1">
        <v>0.23331360100000001</v>
      </c>
      <c r="S4" s="1">
        <v>393.52626800000002</v>
      </c>
      <c r="T4" s="1">
        <v>0.117878949</v>
      </c>
      <c r="U4" s="2">
        <v>0.61937839699999997</v>
      </c>
      <c r="V4" t="s">
        <v>100</v>
      </c>
    </row>
    <row r="5" spans="1:22" x14ac:dyDescent="0.2">
      <c r="A5" t="s">
        <v>56</v>
      </c>
      <c r="B5" t="s">
        <v>82</v>
      </c>
      <c r="C5" t="s">
        <v>53</v>
      </c>
      <c r="D5" t="s">
        <v>72</v>
      </c>
      <c r="E5" s="12">
        <v>0</v>
      </c>
      <c r="F5" s="1">
        <v>62899019.700000003</v>
      </c>
      <c r="G5" s="1">
        <v>31945849700</v>
      </c>
      <c r="H5" s="1">
        <v>15914732.199999999</v>
      </c>
      <c r="I5" s="13">
        <v>87586489.900000006</v>
      </c>
      <c r="M5" s="2">
        <v>0</v>
      </c>
      <c r="N5" s="1">
        <v>12.866392100000001</v>
      </c>
      <c r="O5" s="1">
        <v>1000</v>
      </c>
      <c r="P5" s="1">
        <v>0.30044261100000003</v>
      </c>
      <c r="Q5" s="2">
        <v>1.5300147399999999</v>
      </c>
      <c r="R5" s="1">
        <v>5.1720322499999999E-3</v>
      </c>
      <c r="S5" s="1">
        <v>530.03460800000005</v>
      </c>
      <c r="T5" s="1">
        <v>0.121055922</v>
      </c>
      <c r="U5" s="2">
        <v>0.80558569400000002</v>
      </c>
      <c r="V5" t="s">
        <v>100</v>
      </c>
    </row>
    <row r="6" spans="1:22" x14ac:dyDescent="0.2">
      <c r="A6" t="s">
        <v>57</v>
      </c>
      <c r="B6" t="s">
        <v>82</v>
      </c>
      <c r="C6" t="s">
        <v>50</v>
      </c>
      <c r="D6" t="s">
        <v>72</v>
      </c>
      <c r="E6" s="13">
        <v>732397.66</v>
      </c>
      <c r="F6" s="1">
        <v>188551378</v>
      </c>
      <c r="G6" s="1">
        <v>18129389000</v>
      </c>
      <c r="H6" s="1">
        <v>17614069.399999999</v>
      </c>
      <c r="I6" s="13">
        <v>86498625.599999994</v>
      </c>
      <c r="M6" s="2">
        <v>8.9777323000000001E-5</v>
      </c>
      <c r="N6" s="1">
        <v>1.8941106400000001</v>
      </c>
      <c r="O6" s="1">
        <v>331.82609600000001</v>
      </c>
      <c r="P6" s="1">
        <v>0.21692346400000001</v>
      </c>
      <c r="Q6" s="2">
        <v>0.99978255699999996</v>
      </c>
      <c r="R6" s="1">
        <v>0.17743932200000001</v>
      </c>
      <c r="S6" s="1">
        <v>131.504278</v>
      </c>
      <c r="T6" s="1">
        <v>0.108334072</v>
      </c>
      <c r="U6" s="2">
        <v>0.26756050799999997</v>
      </c>
      <c r="V6" t="s">
        <v>100</v>
      </c>
    </row>
    <row r="7" spans="1:22" x14ac:dyDescent="0.2">
      <c r="A7" t="s">
        <v>58</v>
      </c>
      <c r="B7" t="s">
        <v>82</v>
      </c>
      <c r="C7" t="s">
        <v>51</v>
      </c>
      <c r="D7" t="s">
        <v>72</v>
      </c>
      <c r="E7" s="13">
        <v>1000000</v>
      </c>
      <c r="F7" s="1">
        <v>173446493</v>
      </c>
      <c r="G7" s="1">
        <v>27931404100</v>
      </c>
      <c r="H7" s="1">
        <v>19626661.800000001</v>
      </c>
      <c r="I7" s="13">
        <v>89230330.799999997</v>
      </c>
      <c r="M7" s="2">
        <v>3.7806014099999997E-4</v>
      </c>
      <c r="N7" s="1">
        <v>1.5180303399999999E-2</v>
      </c>
      <c r="O7" s="1">
        <v>337.29879799999998</v>
      </c>
      <c r="P7" s="1">
        <v>0.119205956</v>
      </c>
      <c r="Q7" s="2">
        <v>1.49232743</v>
      </c>
      <c r="R7" s="1">
        <v>0.49887361699999999</v>
      </c>
      <c r="S7" s="1">
        <v>127.011487</v>
      </c>
      <c r="T7" s="1">
        <v>9.0010860299999995E-2</v>
      </c>
      <c r="U7" s="2">
        <v>0.80408492099999995</v>
      </c>
      <c r="V7" s="1" t="s">
        <v>100</v>
      </c>
    </row>
    <row r="8" spans="1:22" x14ac:dyDescent="0.2">
      <c r="A8" t="s">
        <v>59</v>
      </c>
      <c r="B8" t="s">
        <v>83</v>
      </c>
      <c r="C8" t="s">
        <v>53</v>
      </c>
      <c r="D8" t="s">
        <v>81</v>
      </c>
      <c r="E8" s="13">
        <v>1000000</v>
      </c>
      <c r="F8" s="1">
        <v>708889786</v>
      </c>
      <c r="G8" s="1">
        <v>37621537300</v>
      </c>
      <c r="H8" s="1">
        <v>24890740.699999999</v>
      </c>
      <c r="I8" s="13">
        <v>101101689</v>
      </c>
      <c r="M8" s="2">
        <v>0</v>
      </c>
      <c r="N8" s="1">
        <v>0.158137745</v>
      </c>
      <c r="O8" s="1">
        <v>396.68849299999999</v>
      </c>
      <c r="P8" s="1">
        <v>0.19502309900000001</v>
      </c>
      <c r="Q8" s="2">
        <v>-4.6111312600000003E-2</v>
      </c>
      <c r="R8" s="1">
        <v>1.7872057800000001</v>
      </c>
      <c r="S8" s="1">
        <v>374.69851399999999</v>
      </c>
      <c r="T8" s="1">
        <v>0.20210288900000001</v>
      </c>
      <c r="U8" s="2">
        <v>1.04831261</v>
      </c>
      <c r="V8" t="s">
        <v>101</v>
      </c>
    </row>
    <row r="9" spans="1:22" x14ac:dyDescent="0.2">
      <c r="A9" t="s">
        <v>60</v>
      </c>
      <c r="B9" t="s">
        <v>83</v>
      </c>
      <c r="C9" t="s">
        <v>50</v>
      </c>
      <c r="D9" t="s">
        <v>81</v>
      </c>
      <c r="E9" s="13">
        <v>421243.76699999999</v>
      </c>
      <c r="F9" s="1">
        <v>609796989</v>
      </c>
      <c r="G9" s="1">
        <v>52823922200</v>
      </c>
      <c r="H9" s="1">
        <v>25272610.800000001</v>
      </c>
      <c r="I9" s="13">
        <v>88840467.5</v>
      </c>
      <c r="M9" s="2">
        <v>0</v>
      </c>
      <c r="N9" s="1">
        <v>0.40567640100000002</v>
      </c>
      <c r="O9" s="1">
        <v>368.31400000000002</v>
      </c>
      <c r="P9" s="1">
        <v>0.17088358100000001</v>
      </c>
      <c r="Q9" s="2">
        <v>1.5644123299999999</v>
      </c>
      <c r="R9" s="1">
        <v>0.69112032199999995</v>
      </c>
      <c r="S9" s="1">
        <v>104.437263</v>
      </c>
      <c r="T9" s="1">
        <v>8.8032885500000005E-2</v>
      </c>
      <c r="U9" s="2">
        <v>0.70428883600000003</v>
      </c>
      <c r="V9" s="1" t="s">
        <v>100</v>
      </c>
    </row>
    <row r="10" spans="1:22" x14ac:dyDescent="0.2">
      <c r="A10" t="s">
        <v>61</v>
      </c>
      <c r="B10" t="s">
        <v>83</v>
      </c>
      <c r="C10" t="s">
        <v>51</v>
      </c>
      <c r="D10" t="s">
        <v>81</v>
      </c>
      <c r="E10" s="13">
        <v>1000000</v>
      </c>
      <c r="F10" s="1">
        <v>525011755</v>
      </c>
      <c r="G10" s="1">
        <v>25385879100</v>
      </c>
      <c r="H10" s="1">
        <v>25644328.100000001</v>
      </c>
      <c r="I10" s="13">
        <v>91208693.299999997</v>
      </c>
      <c r="M10" s="2">
        <v>0</v>
      </c>
      <c r="N10" s="1">
        <v>1.05685739</v>
      </c>
      <c r="O10" s="1">
        <v>241.02555699999999</v>
      </c>
      <c r="P10" s="1">
        <v>0.22896451900000001</v>
      </c>
      <c r="Q10" s="2">
        <v>1.5945672</v>
      </c>
      <c r="R10" s="1">
        <v>0.47157292699999998</v>
      </c>
      <c r="S10" s="1">
        <v>83.352322799999996</v>
      </c>
      <c r="T10" s="1">
        <v>9.2924327200000004E-2</v>
      </c>
      <c r="U10" s="2">
        <v>0.616503731</v>
      </c>
      <c r="V10" t="s">
        <v>100</v>
      </c>
    </row>
    <row r="11" spans="1:22" x14ac:dyDescent="0.2">
      <c r="A11" t="s">
        <v>62</v>
      </c>
      <c r="B11" t="s">
        <v>84</v>
      </c>
      <c r="C11" t="s">
        <v>53</v>
      </c>
      <c r="D11" t="s">
        <v>73</v>
      </c>
      <c r="E11" s="13">
        <v>1000000</v>
      </c>
      <c r="F11" s="1">
        <v>1000000000</v>
      </c>
      <c r="G11" s="1">
        <v>48494534200</v>
      </c>
      <c r="H11" s="1">
        <v>23885108.100000001</v>
      </c>
      <c r="I11" s="13">
        <v>125662197</v>
      </c>
      <c r="M11" s="2">
        <v>0</v>
      </c>
      <c r="N11" s="1">
        <v>1.0467030500000001</v>
      </c>
      <c r="O11" s="1">
        <v>303.960218</v>
      </c>
      <c r="P11" s="1">
        <v>0.19856095000000001</v>
      </c>
      <c r="Q11" s="2">
        <v>0.440707931</v>
      </c>
      <c r="R11" s="1">
        <v>0.609732092</v>
      </c>
      <c r="S11" s="1">
        <v>134.77571599999999</v>
      </c>
      <c r="T11" s="1">
        <v>0</v>
      </c>
      <c r="U11" s="2">
        <v>1.57480946</v>
      </c>
      <c r="V11" s="1" t="s">
        <v>101</v>
      </c>
    </row>
    <row r="12" spans="1:22" x14ac:dyDescent="0.2">
      <c r="A12" t="s">
        <v>63</v>
      </c>
      <c r="B12" t="s">
        <v>84</v>
      </c>
      <c r="C12" t="s">
        <v>50</v>
      </c>
      <c r="D12" t="s">
        <v>73</v>
      </c>
      <c r="E12" s="13">
        <v>1000000</v>
      </c>
      <c r="F12" s="1">
        <v>831721899</v>
      </c>
      <c r="G12" s="1">
        <v>42704147300</v>
      </c>
      <c r="H12" s="1">
        <v>26526687.600000001</v>
      </c>
      <c r="I12" s="13">
        <v>104957691</v>
      </c>
      <c r="M12" s="2">
        <v>0</v>
      </c>
      <c r="N12" s="1">
        <v>0.94036903900000002</v>
      </c>
      <c r="O12" s="1">
        <v>206.31414799999999</v>
      </c>
      <c r="P12" s="1">
        <v>0.194476335</v>
      </c>
      <c r="Q12" s="2">
        <v>-0.401619897</v>
      </c>
      <c r="R12" s="1">
        <v>1.4788891900000001</v>
      </c>
      <c r="S12" s="1">
        <v>219.87594799999999</v>
      </c>
      <c r="T12" s="1">
        <v>0.19372041700000001</v>
      </c>
      <c r="U12" s="2">
        <v>1.50738471</v>
      </c>
      <c r="V12" t="s">
        <v>101</v>
      </c>
    </row>
    <row r="13" spans="1:22" x14ac:dyDescent="0.2">
      <c r="A13" t="s">
        <v>64</v>
      </c>
      <c r="B13" t="s">
        <v>84</v>
      </c>
      <c r="C13" t="s">
        <v>51</v>
      </c>
      <c r="D13" t="s">
        <v>73</v>
      </c>
      <c r="E13" s="13">
        <v>1000000</v>
      </c>
      <c r="F13" s="1">
        <v>180403645</v>
      </c>
      <c r="G13" s="1">
        <v>33796520600</v>
      </c>
      <c r="H13" s="1">
        <v>23901669.399999999</v>
      </c>
      <c r="I13" s="13">
        <v>78047468.900000006</v>
      </c>
      <c r="M13" s="2">
        <v>9.9856376599999994E-3</v>
      </c>
      <c r="N13" s="1">
        <v>0.29410703300000002</v>
      </c>
      <c r="O13" s="1">
        <v>75.145098899999994</v>
      </c>
      <c r="P13" s="1">
        <v>6.8026103999999993E-5</v>
      </c>
      <c r="Q13" s="2">
        <v>0.32444144699999999</v>
      </c>
      <c r="R13" s="1">
        <v>6.2911365999999996E-2</v>
      </c>
      <c r="S13" s="1">
        <v>37.659637699999998</v>
      </c>
      <c r="T13" s="1">
        <v>6.55985961E-5</v>
      </c>
      <c r="U13" s="2">
        <v>1.57078272</v>
      </c>
      <c r="V13" t="s">
        <v>101</v>
      </c>
    </row>
    <row r="15" spans="1:22" x14ac:dyDescent="0.2">
      <c r="A15" t="s">
        <v>85</v>
      </c>
      <c r="B15" t="s">
        <v>86</v>
      </c>
    </row>
    <row r="16" spans="1:22" x14ac:dyDescent="0.2">
      <c r="G16" t="s">
        <v>74</v>
      </c>
    </row>
    <row r="20" spans="1:7" x14ac:dyDescent="0.2">
      <c r="A20" t="s">
        <v>77</v>
      </c>
    </row>
    <row r="21" spans="1:7" x14ac:dyDescent="0.2">
      <c r="A21" t="s">
        <v>78</v>
      </c>
    </row>
    <row r="22" spans="1:7" x14ac:dyDescent="0.2">
      <c r="A22" t="s">
        <v>79</v>
      </c>
      <c r="G22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AFD0-1AFE-463A-9CBC-EFBF200C8BD9}">
  <dimension ref="A2:C19"/>
  <sheetViews>
    <sheetView topLeftCell="A4" workbookViewId="0">
      <selection activeCell="C20" sqref="C20"/>
    </sheetView>
  </sheetViews>
  <sheetFormatPr baseColWidth="10" defaultColWidth="8.83203125" defaultRowHeight="15" x14ac:dyDescent="0.2"/>
  <sheetData>
    <row r="2" spans="1:3" x14ac:dyDescent="0.2">
      <c r="B2" t="s">
        <v>67</v>
      </c>
      <c r="C2" t="s">
        <v>68</v>
      </c>
    </row>
    <row r="3" spans="1:3" x14ac:dyDescent="0.2">
      <c r="A3" t="s">
        <v>65</v>
      </c>
      <c r="B3" s="14">
        <v>1.61393421145485E-3</v>
      </c>
      <c r="C3" s="14">
        <v>1.51905934097639E-3</v>
      </c>
    </row>
    <row r="4" spans="1:3" x14ac:dyDescent="0.2">
      <c r="A4" t="s">
        <v>49</v>
      </c>
      <c r="B4" s="15">
        <v>3.9383666506868998E-3</v>
      </c>
      <c r="C4" s="14">
        <v>1.2779043825074301E-3</v>
      </c>
    </row>
    <row r="5" spans="1:3" x14ac:dyDescent="0.2">
      <c r="A5" t="s">
        <v>0</v>
      </c>
      <c r="B5" s="14">
        <v>3.4626342853672199E-3</v>
      </c>
      <c r="C5" s="15">
        <v>1.2460459871820101E-3</v>
      </c>
    </row>
    <row r="6" spans="1:3" x14ac:dyDescent="0.2">
      <c r="A6" t="s">
        <v>1</v>
      </c>
      <c r="B6" s="14">
        <v>3.7410941232159001E-3</v>
      </c>
      <c r="C6" s="15">
        <v>1.47749026844947E-3</v>
      </c>
    </row>
    <row r="7" spans="1:3" x14ac:dyDescent="0.2">
      <c r="A7" t="s">
        <v>2</v>
      </c>
      <c r="B7" s="15">
        <v>1.7981020403862E-3</v>
      </c>
      <c r="C7" s="15">
        <v>1.6149744488989901E-4</v>
      </c>
    </row>
    <row r="8" spans="1:3" x14ac:dyDescent="0.2">
      <c r="A8" t="s">
        <v>3</v>
      </c>
      <c r="B8" s="15">
        <v>3.4105778442272E-3</v>
      </c>
      <c r="C8" s="14">
        <v>7.9038614639183303E-4</v>
      </c>
    </row>
    <row r="9" spans="1:3" x14ac:dyDescent="0.2">
      <c r="A9" t="s">
        <v>4</v>
      </c>
      <c r="B9" s="14">
        <v>2.4723113543294301E-4</v>
      </c>
      <c r="C9" s="14">
        <v>2.4274478202937201E-4</v>
      </c>
    </row>
    <row r="10" spans="1:3" x14ac:dyDescent="0.2">
      <c r="A10" t="s">
        <v>66</v>
      </c>
      <c r="B10" s="14">
        <v>2.2852470011778502E-3</v>
      </c>
      <c r="C10" s="14">
        <v>1.55155833786717E-3</v>
      </c>
    </row>
    <row r="11" spans="1:3" x14ac:dyDescent="0.2">
      <c r="A11" t="s">
        <v>5</v>
      </c>
      <c r="B11" s="14">
        <v>8.6684244904453693E-3</v>
      </c>
      <c r="C11">
        <v>2.4404042828143199E-3</v>
      </c>
    </row>
    <row r="12" spans="1:3" x14ac:dyDescent="0.2">
      <c r="A12" t="s">
        <v>6</v>
      </c>
      <c r="B12" s="14">
        <v>3.53926659537478E-2</v>
      </c>
      <c r="C12" s="14">
        <v>3.3235827799143601E-2</v>
      </c>
    </row>
    <row r="13" spans="1:3" x14ac:dyDescent="0.2">
      <c r="A13" t="s">
        <v>7</v>
      </c>
      <c r="B13" s="15">
        <v>7.8834370423315897E-3</v>
      </c>
      <c r="C13" s="14">
        <v>3.76867344235519E-3</v>
      </c>
    </row>
    <row r="14" spans="1:3" x14ac:dyDescent="0.2">
      <c r="A14" t="s">
        <v>8</v>
      </c>
      <c r="B14" s="14">
        <v>2.54392801451768E-3</v>
      </c>
      <c r="C14" s="14">
        <v>6.6150457736793703E-4</v>
      </c>
    </row>
    <row r="15" spans="1:3" x14ac:dyDescent="0.2">
      <c r="A15" t="s">
        <v>9</v>
      </c>
      <c r="B15" s="14">
        <v>1.4219870526929201E-2</v>
      </c>
      <c r="C15" s="14">
        <v>9.9276284232614892E-3</v>
      </c>
    </row>
    <row r="16" spans="1:3" x14ac:dyDescent="0.2">
      <c r="A16" t="s">
        <v>10</v>
      </c>
      <c r="B16" s="14">
        <v>3.6903943609893101E-3</v>
      </c>
      <c r="C16" s="14">
        <v>7.6571628114732899E-4</v>
      </c>
    </row>
    <row r="18" spans="1:3" x14ac:dyDescent="0.2">
      <c r="A18" t="s">
        <v>69</v>
      </c>
      <c r="B18">
        <f>MEDIAN(B3:B16)</f>
        <v>3.5765143231782648E-3</v>
      </c>
      <c r="C18">
        <f>MEDIAN(C3:C16)</f>
        <v>1.37769732547845E-3</v>
      </c>
    </row>
    <row r="19" spans="1:3" x14ac:dyDescent="0.2">
      <c r="C19">
        <f>C18/B18</f>
        <v>0.38520671273424706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AFC6-E000-444A-8993-278E821E4C7E}">
  <dimension ref="A1:M26"/>
  <sheetViews>
    <sheetView workbookViewId="0">
      <selection activeCell="M22" sqref="M22"/>
    </sheetView>
  </sheetViews>
  <sheetFormatPr baseColWidth="10" defaultColWidth="8.83203125" defaultRowHeight="15" x14ac:dyDescent="0.2"/>
  <sheetData>
    <row r="1" spans="1:3" x14ac:dyDescent="0.2">
      <c r="B1" t="s">
        <v>67</v>
      </c>
      <c r="C1" t="s">
        <v>68</v>
      </c>
    </row>
    <row r="2" spans="1:3" x14ac:dyDescent="0.2">
      <c r="A2" t="s">
        <v>24</v>
      </c>
      <c r="B2" s="14">
        <v>2.02073738749839E-3</v>
      </c>
      <c r="C2" s="14">
        <v>1.8270328519985799E-3</v>
      </c>
    </row>
    <row r="3" spans="1:3" x14ac:dyDescent="0.2">
      <c r="A3" t="s">
        <v>25</v>
      </c>
      <c r="B3" s="14">
        <v>1.1671560082370599E-2</v>
      </c>
      <c r="C3" s="14">
        <v>9.9704440958718193E-3</v>
      </c>
    </row>
    <row r="4" spans="1:3" x14ac:dyDescent="0.2">
      <c r="A4" t="s">
        <v>26</v>
      </c>
      <c r="B4" s="14">
        <v>3.39486459045103E-2</v>
      </c>
      <c r="C4" s="14">
        <v>2.7123761176491699E-2</v>
      </c>
    </row>
    <row r="5" spans="1:3" x14ac:dyDescent="0.2">
      <c r="A5" t="s">
        <v>27</v>
      </c>
      <c r="B5" s="14">
        <v>2.4161254216482599E-2</v>
      </c>
      <c r="C5" s="14">
        <v>5.8311012080724403E-3</v>
      </c>
    </row>
    <row r="6" spans="1:3" x14ac:dyDescent="0.2">
      <c r="A6" t="s">
        <v>28</v>
      </c>
      <c r="B6" s="14">
        <v>1.3442236008418901E-2</v>
      </c>
      <c r="C6" s="15">
        <v>1.3657476534854201E-2</v>
      </c>
    </row>
    <row r="7" spans="1:3" x14ac:dyDescent="0.2">
      <c r="A7" t="s">
        <v>29</v>
      </c>
      <c r="B7" s="14">
        <v>2.3885086872561401E-2</v>
      </c>
      <c r="C7" s="14">
        <v>1.38820149182067E-2</v>
      </c>
    </row>
    <row r="8" spans="1:3" x14ac:dyDescent="0.2">
      <c r="A8" t="s">
        <v>30</v>
      </c>
      <c r="B8" s="14">
        <v>2.2100849999771299E-3</v>
      </c>
      <c r="C8" s="14">
        <v>2.24485160421671E-3</v>
      </c>
    </row>
    <row r="9" spans="1:3" x14ac:dyDescent="0.2">
      <c r="A9" t="s">
        <v>31</v>
      </c>
      <c r="B9" s="14">
        <v>4.4980676591646401E-3</v>
      </c>
      <c r="C9" s="14">
        <v>1.3690552785533001E-3</v>
      </c>
    </row>
    <row r="10" spans="1:3" x14ac:dyDescent="0.2">
      <c r="A10" t="s">
        <v>32</v>
      </c>
    </row>
    <row r="11" spans="1:3" x14ac:dyDescent="0.2">
      <c r="A11" t="s">
        <v>33</v>
      </c>
      <c r="B11" s="14">
        <v>6.0033484168006499E-3</v>
      </c>
      <c r="C11" s="14">
        <v>6.2352478606622699E-3</v>
      </c>
    </row>
    <row r="12" spans="1:3" x14ac:dyDescent="0.2">
      <c r="A12" t="s">
        <v>34</v>
      </c>
      <c r="B12" s="14">
        <v>8.12156431923787E-3</v>
      </c>
      <c r="C12" s="14">
        <v>1.2390153157783501E-3</v>
      </c>
    </row>
    <row r="13" spans="1:3" x14ac:dyDescent="0.2">
      <c r="A13" t="s">
        <v>35</v>
      </c>
      <c r="B13" s="14">
        <v>3.5308249515133699E-3</v>
      </c>
      <c r="C13" s="14">
        <v>1.3454693137556299E-3</v>
      </c>
    </row>
    <row r="14" spans="1:3" x14ac:dyDescent="0.2">
      <c r="A14" t="s">
        <v>36</v>
      </c>
      <c r="B14" s="14">
        <v>3.19104692988741E-3</v>
      </c>
      <c r="C14" s="14">
        <v>2.0045755711522802E-3</v>
      </c>
    </row>
    <row r="15" spans="1:3" x14ac:dyDescent="0.2">
      <c r="A15" t="s">
        <v>37</v>
      </c>
      <c r="B15" s="14">
        <v>1.08361724801164E-2</v>
      </c>
      <c r="C15" s="14">
        <v>2.7464232667757998E-3</v>
      </c>
    </row>
    <row r="16" spans="1:3" x14ac:dyDescent="0.2">
      <c r="A16" t="s">
        <v>38</v>
      </c>
      <c r="B16" s="14">
        <v>2.0371990357921199E-2</v>
      </c>
      <c r="C16" s="14">
        <v>9.0385318389009095E-3</v>
      </c>
    </row>
    <row r="17" spans="1:13" x14ac:dyDescent="0.2">
      <c r="A17" t="s">
        <v>39</v>
      </c>
      <c r="B17" s="14">
        <v>1.6441394102775699E-2</v>
      </c>
      <c r="C17">
        <v>6.4901764328794903E-3</v>
      </c>
    </row>
    <row r="18" spans="1:13" x14ac:dyDescent="0.2">
      <c r="A18" t="s">
        <v>40</v>
      </c>
      <c r="B18">
        <v>1.11867121452586E-2</v>
      </c>
      <c r="C18" s="14">
        <v>9.6040233106421402E-3</v>
      </c>
    </row>
    <row r="19" spans="1:13" x14ac:dyDescent="0.2">
      <c r="A19" t="s">
        <v>41</v>
      </c>
      <c r="B19" s="14">
        <v>1.67395368421401E-2</v>
      </c>
      <c r="C19" s="14">
        <v>5.3384928578611296E-3</v>
      </c>
    </row>
    <row r="20" spans="1:13" x14ac:dyDescent="0.2">
      <c r="A20" t="s">
        <v>42</v>
      </c>
      <c r="B20" s="14">
        <v>7.25288965710122E-3</v>
      </c>
      <c r="C20" s="14">
        <v>7.1586022769175401E-3</v>
      </c>
    </row>
    <row r="21" spans="1:13" x14ac:dyDescent="0.2">
      <c r="A21" t="s">
        <v>43</v>
      </c>
      <c r="B21" s="14">
        <v>2.3231830899596202E-2</v>
      </c>
      <c r="C21" s="14">
        <v>9.4222743526118195E-3</v>
      </c>
    </row>
    <row r="22" spans="1:13" x14ac:dyDescent="0.2">
      <c r="M22" t="s">
        <v>189</v>
      </c>
    </row>
    <row r="23" spans="1:13" x14ac:dyDescent="0.2">
      <c r="A23" t="s">
        <v>70</v>
      </c>
      <c r="B23">
        <f>MEDIAN(B2:B21)</f>
        <v>1.11867121452586E-2</v>
      </c>
      <c r="C23">
        <f>MEDIAN(C2:C21)</f>
        <v>6.2352478606622699E-3</v>
      </c>
    </row>
    <row r="25" spans="1:13" x14ac:dyDescent="0.2">
      <c r="A25" t="s">
        <v>71</v>
      </c>
      <c r="B25">
        <f>0.5*(B23+error12!B18)</f>
        <v>7.3816132342184324E-3</v>
      </c>
      <c r="C25">
        <f>0.5*(C23+error12!C18)</f>
        <v>3.8064725930703602E-3</v>
      </c>
    </row>
    <row r="26" spans="1:13" x14ac:dyDescent="0.2">
      <c r="C26">
        <f>C25/B25</f>
        <v>0.51566947119702222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995-2538-4932-AE62-52ABA2EF65D7}">
  <dimension ref="A1:AD35"/>
  <sheetViews>
    <sheetView zoomScaleNormal="100" workbookViewId="0">
      <pane xSplit="1" topLeftCell="G1" activePane="topRight" state="frozen"/>
      <selection pane="topRight" activeCell="X8" sqref="X8:AC14"/>
    </sheetView>
  </sheetViews>
  <sheetFormatPr baseColWidth="10" defaultColWidth="8.83203125" defaultRowHeight="15" x14ac:dyDescent="0.2"/>
  <cols>
    <col min="1" max="1" width="10.5" customWidth="1"/>
    <col min="2" max="2" width="10.1640625" customWidth="1"/>
    <col min="3" max="3" width="5.1640625" customWidth="1"/>
    <col min="4" max="4" width="6.83203125" customWidth="1"/>
    <col min="8" max="8" width="9.1640625" customWidth="1"/>
    <col min="12" max="12" width="9.1640625" customWidth="1"/>
    <col min="18" max="18" width="4.5" customWidth="1"/>
    <col min="22" max="22" width="4.83203125" customWidth="1"/>
    <col min="23" max="23" width="5.1640625" customWidth="1"/>
    <col min="24" max="24" width="4.5" customWidth="1"/>
    <col min="25" max="25" width="6.5" customWidth="1"/>
    <col min="26" max="26" width="5.1640625" customWidth="1"/>
    <col min="27" max="27" width="7.1640625" customWidth="1"/>
    <col min="28" max="28" width="6.1640625" customWidth="1"/>
  </cols>
  <sheetData>
    <row r="1" spans="1:30" x14ac:dyDescent="0.2">
      <c r="E1" t="s">
        <v>45</v>
      </c>
    </row>
    <row r="2" spans="1:30" x14ac:dyDescent="0.2">
      <c r="A2" t="s">
        <v>125</v>
      </c>
      <c r="B2" t="s">
        <v>48</v>
      </c>
      <c r="C2" s="3" t="s">
        <v>46</v>
      </c>
      <c r="D2" s="3" t="s">
        <v>47</v>
      </c>
      <c r="E2" t="s">
        <v>11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126</v>
      </c>
      <c r="P2" t="s">
        <v>122</v>
      </c>
      <c r="Q2" t="s">
        <v>84</v>
      </c>
      <c r="S2" t="s">
        <v>133</v>
      </c>
      <c r="T2" t="s">
        <v>134</v>
      </c>
      <c r="U2" t="s">
        <v>135</v>
      </c>
      <c r="W2" t="s">
        <v>144</v>
      </c>
      <c r="X2" t="s">
        <v>145</v>
      </c>
    </row>
    <row r="3" spans="1:30" x14ac:dyDescent="0.2">
      <c r="A3" s="21" t="s">
        <v>65</v>
      </c>
      <c r="B3" t="s">
        <v>52</v>
      </c>
      <c r="C3" s="3"/>
      <c r="D3" s="3"/>
      <c r="E3" s="2">
        <v>0</v>
      </c>
      <c r="F3" s="1">
        <v>0.332111184</v>
      </c>
      <c r="G3" s="1">
        <v>657.62122899999997</v>
      </c>
      <c r="H3" s="1">
        <v>0.15755595</v>
      </c>
      <c r="I3" s="2">
        <v>1.1226544199999999</v>
      </c>
      <c r="J3" s="1">
        <v>0.78984352400000002</v>
      </c>
      <c r="K3" s="1">
        <v>343.88025399999998</v>
      </c>
      <c r="L3" s="1">
        <v>0.190081629</v>
      </c>
      <c r="M3" s="2">
        <v>0.829466166</v>
      </c>
      <c r="O3">
        <v>1</v>
      </c>
      <c r="P3" s="23">
        <v>0.332111184</v>
      </c>
      <c r="Q3" s="25">
        <v>1.1979573100000001</v>
      </c>
      <c r="S3" t="s">
        <v>84</v>
      </c>
      <c r="T3" s="23">
        <v>0</v>
      </c>
      <c r="U3">
        <f>_xlfn.RANK.AVG(T3,$T$3:$T$35,1)</f>
        <v>2.5</v>
      </c>
      <c r="W3" t="s">
        <v>146</v>
      </c>
      <c r="X3" t="s">
        <v>147</v>
      </c>
    </row>
    <row r="4" spans="1:30" x14ac:dyDescent="0.2">
      <c r="A4" s="21" t="s">
        <v>66</v>
      </c>
      <c r="B4" t="s">
        <v>52</v>
      </c>
      <c r="C4" s="3"/>
      <c r="E4" s="2">
        <v>0</v>
      </c>
      <c r="F4" s="1">
        <v>0.55247207700000001</v>
      </c>
      <c r="G4" s="1">
        <v>185.993506</v>
      </c>
      <c r="H4" s="1">
        <v>0.20824074100000001</v>
      </c>
      <c r="I4" s="2">
        <v>1.9931537500000001</v>
      </c>
      <c r="J4" s="1">
        <v>0.123449461</v>
      </c>
      <c r="K4" s="1">
        <v>189.32383899999999</v>
      </c>
      <c r="L4" s="1">
        <v>0.22045748800000001</v>
      </c>
      <c r="M4" s="2">
        <v>0.178986168</v>
      </c>
      <c r="O4">
        <v>2</v>
      </c>
      <c r="P4" s="24">
        <v>0.55247207700000001</v>
      </c>
      <c r="Q4" s="26">
        <v>0.61841645300000003</v>
      </c>
      <c r="S4" t="s">
        <v>84</v>
      </c>
      <c r="T4" s="23">
        <v>0</v>
      </c>
      <c r="U4">
        <f t="shared" ref="U4:U35" si="0">_xlfn.RANK.AVG(T4,$T$3:$T$35,1)</f>
        <v>2.5</v>
      </c>
    </row>
    <row r="5" spans="1:30" x14ac:dyDescent="0.2">
      <c r="A5" s="22" t="s">
        <v>24</v>
      </c>
      <c r="B5" t="s">
        <v>52</v>
      </c>
      <c r="C5" s="3"/>
      <c r="D5" s="3"/>
      <c r="E5" s="2">
        <v>9.0557138299999992E-3</v>
      </c>
      <c r="F5" s="1">
        <v>1.1630537700000001</v>
      </c>
      <c r="G5" s="1">
        <v>324.17728099999999</v>
      </c>
      <c r="H5" s="1">
        <v>0.25168019200000002</v>
      </c>
      <c r="I5" s="2">
        <v>1.06167604</v>
      </c>
      <c r="J5" s="1">
        <v>0</v>
      </c>
      <c r="K5" s="1">
        <v>30.829998100000001</v>
      </c>
      <c r="L5" s="1">
        <v>0.105253311</v>
      </c>
      <c r="M5" s="2">
        <v>1.10407879</v>
      </c>
      <c r="O5">
        <v>3</v>
      </c>
      <c r="P5" s="23">
        <v>1.1630537700000001</v>
      </c>
      <c r="Q5" s="25">
        <v>0.38287615000000003</v>
      </c>
      <c r="S5" t="s">
        <v>84</v>
      </c>
      <c r="T5" s="23">
        <v>0</v>
      </c>
      <c r="U5">
        <f t="shared" si="0"/>
        <v>2.5</v>
      </c>
      <c r="W5" t="s">
        <v>122</v>
      </c>
      <c r="X5" t="s">
        <v>131</v>
      </c>
      <c r="Y5" s="3">
        <f>COUNTIF($S$3:$S$35,W5)</f>
        <v>6</v>
      </c>
      <c r="Z5" s="28" t="s">
        <v>127</v>
      </c>
      <c r="AA5" s="3">
        <f>SUMIF($S$3:$S$35,W5,U3:$U$35)</f>
        <v>87</v>
      </c>
      <c r="AB5" t="s">
        <v>129</v>
      </c>
      <c r="AC5">
        <f>$Y$5*$Y$6+(0.5*(Y5*(Y5+1)))-AA5</f>
        <v>96</v>
      </c>
    </row>
    <row r="6" spans="1:30" x14ac:dyDescent="0.2">
      <c r="A6" s="22" t="s">
        <v>29</v>
      </c>
      <c r="B6" t="s">
        <v>52</v>
      </c>
      <c r="C6" s="3"/>
      <c r="D6" s="3"/>
      <c r="E6" s="2">
        <v>1.4089711499999999E-4</v>
      </c>
      <c r="F6" s="1">
        <v>0.53519899199999998</v>
      </c>
      <c r="G6" s="1">
        <v>91.582177000000001</v>
      </c>
      <c r="H6" s="1">
        <v>0.17715937900000001</v>
      </c>
      <c r="I6" s="2">
        <v>1.51541115</v>
      </c>
      <c r="J6" s="1">
        <v>0.110145916</v>
      </c>
      <c r="K6" s="1">
        <v>107.664485</v>
      </c>
      <c r="L6" s="1">
        <v>8.7620099300000004E-2</v>
      </c>
      <c r="M6" s="2">
        <v>-0.13147529099999999</v>
      </c>
      <c r="O6">
        <v>4</v>
      </c>
      <c r="P6" s="24">
        <v>0.53519899199999998</v>
      </c>
      <c r="Q6" s="26">
        <v>0.46455511399999999</v>
      </c>
      <c r="S6" t="s">
        <v>84</v>
      </c>
      <c r="T6" s="23">
        <v>0</v>
      </c>
      <c r="U6">
        <f t="shared" si="0"/>
        <v>2.5</v>
      </c>
      <c r="W6" t="s">
        <v>84</v>
      </c>
      <c r="X6" t="s">
        <v>132</v>
      </c>
      <c r="Y6" s="3">
        <f>COUNTIF($S$3:$S$35,W6)</f>
        <v>27</v>
      </c>
      <c r="Z6" t="s">
        <v>128</v>
      </c>
      <c r="AA6" s="3">
        <f ca="1">SUMIF($S$3:$S$35,W6,U4:$U$35)</f>
        <v>465.5</v>
      </c>
      <c r="AB6" t="s">
        <v>130</v>
      </c>
      <c r="AC6">
        <f ca="1">$Y$5*$Y$6+(0.5*(Y6*(Y6+1)))-AA6</f>
        <v>74.5</v>
      </c>
    </row>
    <row r="7" spans="1:30" x14ac:dyDescent="0.2">
      <c r="A7" s="22" t="s">
        <v>34</v>
      </c>
      <c r="B7" t="s">
        <v>52</v>
      </c>
      <c r="C7" s="3"/>
      <c r="D7" s="3"/>
      <c r="E7" s="2">
        <v>0</v>
      </c>
      <c r="F7" s="1">
        <v>2.2730000600000001E-2</v>
      </c>
      <c r="G7" s="1">
        <v>310.791788</v>
      </c>
      <c r="H7" s="1">
        <v>0.15140542400000001</v>
      </c>
      <c r="I7" s="2">
        <v>0.990722879</v>
      </c>
      <c r="J7" s="1">
        <v>9.8588583100000002E-2</v>
      </c>
      <c r="K7" s="1">
        <v>138.03174200000001</v>
      </c>
      <c r="L7" s="1">
        <v>9.62171047E-2</v>
      </c>
      <c r="M7" s="2">
        <v>0.60990904700000004</v>
      </c>
      <c r="O7">
        <v>5</v>
      </c>
      <c r="P7" s="23">
        <v>2.2730000600000001E-2</v>
      </c>
      <c r="Q7" s="23">
        <v>3.6510943900000002E-2</v>
      </c>
      <c r="S7" t="s">
        <v>122</v>
      </c>
      <c r="T7" s="23">
        <v>2.2730000600000001E-2</v>
      </c>
      <c r="U7">
        <f t="shared" si="0"/>
        <v>5</v>
      </c>
    </row>
    <row r="8" spans="1:30" x14ac:dyDescent="0.2">
      <c r="A8" s="22" t="s">
        <v>39</v>
      </c>
      <c r="B8" t="s">
        <v>52</v>
      </c>
      <c r="C8" s="3"/>
      <c r="D8" s="3"/>
      <c r="E8" s="2">
        <v>2.2752823499999999E-4</v>
      </c>
      <c r="F8" s="1">
        <v>0.37474575799999998</v>
      </c>
      <c r="G8" s="1">
        <v>596.298992</v>
      </c>
      <c r="H8" s="1">
        <v>0.23811626799999999</v>
      </c>
      <c r="I8" s="2">
        <v>1.5761813200000001</v>
      </c>
      <c r="J8" s="1">
        <v>0.25920627000000002</v>
      </c>
      <c r="K8" s="1">
        <v>99.388516600000003</v>
      </c>
      <c r="L8" s="1">
        <v>0.10750217199999999</v>
      </c>
      <c r="M8" s="2">
        <v>0.64752091099999998</v>
      </c>
      <c r="O8">
        <v>6</v>
      </c>
      <c r="P8" s="24">
        <v>0.37474575799999998</v>
      </c>
      <c r="Q8" s="24">
        <v>12.2160569</v>
      </c>
      <c r="S8" t="s">
        <v>84</v>
      </c>
      <c r="T8" s="23">
        <v>3.6510943900000002E-2</v>
      </c>
      <c r="U8">
        <f t="shared" si="0"/>
        <v>6</v>
      </c>
      <c r="X8" t="s">
        <v>136</v>
      </c>
      <c r="Y8">
        <f ca="1">MIN(AC5:AC6)</f>
        <v>74.5</v>
      </c>
      <c r="AB8" t="s">
        <v>141</v>
      </c>
      <c r="AC8">
        <f>0.5*Y5*Y6</f>
        <v>81</v>
      </c>
    </row>
    <row r="9" spans="1:30" x14ac:dyDescent="0.2">
      <c r="A9" s="21" t="s">
        <v>49</v>
      </c>
      <c r="B9" t="s">
        <v>53</v>
      </c>
      <c r="C9" s="3">
        <v>60</v>
      </c>
      <c r="D9" s="3">
        <v>7</v>
      </c>
      <c r="E9" s="11">
        <v>0</v>
      </c>
      <c r="F9" s="5">
        <v>1.1979573100000001</v>
      </c>
      <c r="G9" s="5">
        <v>809.79864199999997</v>
      </c>
      <c r="H9" s="5">
        <v>0.178682481</v>
      </c>
      <c r="I9" s="4">
        <v>1.1174442</v>
      </c>
      <c r="J9" s="5">
        <v>0.50433411100000003</v>
      </c>
      <c r="K9" s="5">
        <v>277.68595800000003</v>
      </c>
      <c r="L9" s="5">
        <v>0.119932154</v>
      </c>
      <c r="M9" s="4">
        <v>0.62252243600000001</v>
      </c>
      <c r="O9">
        <v>7</v>
      </c>
      <c r="Q9" s="23">
        <v>0</v>
      </c>
      <c r="S9" t="s">
        <v>84</v>
      </c>
      <c r="T9" s="24">
        <v>9.4765872900000006E-2</v>
      </c>
      <c r="U9">
        <f t="shared" si="0"/>
        <v>7</v>
      </c>
    </row>
    <row r="10" spans="1:30" x14ac:dyDescent="0.2">
      <c r="A10" s="21" t="s">
        <v>2</v>
      </c>
      <c r="B10" t="s">
        <v>53</v>
      </c>
      <c r="C10" s="3">
        <v>90</v>
      </c>
      <c r="D10" s="3">
        <v>7</v>
      </c>
      <c r="E10" s="11">
        <v>4.4026528200000003E-5</v>
      </c>
      <c r="F10" s="5">
        <v>0.61841645300000003</v>
      </c>
      <c r="G10" s="5">
        <v>537.29415400000005</v>
      </c>
      <c r="H10" s="5">
        <v>0.17956904600000001</v>
      </c>
      <c r="I10" s="4">
        <v>1.2331375099999999</v>
      </c>
      <c r="J10" s="5">
        <v>3.1439455200000001E-2</v>
      </c>
      <c r="K10" s="5">
        <v>137.94547900000001</v>
      </c>
      <c r="L10" s="5">
        <v>9.6227391300000006E-2</v>
      </c>
      <c r="M10" s="4">
        <v>0.46076057199999998</v>
      </c>
      <c r="O10">
        <v>8</v>
      </c>
      <c r="Q10" s="24">
        <v>0.98969070400000003</v>
      </c>
      <c r="S10" t="s">
        <v>84</v>
      </c>
      <c r="T10" s="25">
        <v>0.17626807799999999</v>
      </c>
      <c r="U10">
        <f t="shared" si="0"/>
        <v>8</v>
      </c>
      <c r="X10" t="s">
        <v>137</v>
      </c>
      <c r="Y10">
        <f ca="1">(Y8-(0.5*Y5*Y6))/SQRT((Y5*Y6*(Y5+Y6+1))/12)</f>
        <v>-0.30339401820606882</v>
      </c>
      <c r="AB10" t="s">
        <v>142</v>
      </c>
      <c r="AC10">
        <f>SQRT((Y5*Y6*(Y5+Y6+1))/12)</f>
        <v>21.42428528562855</v>
      </c>
    </row>
    <row r="11" spans="1:30" x14ac:dyDescent="0.2">
      <c r="A11" s="21" t="s">
        <v>5</v>
      </c>
      <c r="B11" t="s">
        <v>53</v>
      </c>
      <c r="C11" s="3">
        <v>60</v>
      </c>
      <c r="D11" s="3">
        <v>7</v>
      </c>
      <c r="E11" s="11">
        <v>1.7323031899999999E-4</v>
      </c>
      <c r="F11" s="5">
        <v>0.38287615000000003</v>
      </c>
      <c r="G11" s="5">
        <v>410.89509199999998</v>
      </c>
      <c r="H11" s="5">
        <v>0.17584308200000001</v>
      </c>
      <c r="I11" s="4">
        <v>1.53403599</v>
      </c>
      <c r="J11" s="5">
        <v>0.73184827200000002</v>
      </c>
      <c r="K11" s="5">
        <v>125.179095</v>
      </c>
      <c r="L11" s="5">
        <v>0.117627155</v>
      </c>
      <c r="M11" s="4">
        <v>0.47955440999999999</v>
      </c>
      <c r="O11">
        <v>9</v>
      </c>
      <c r="Q11" s="23">
        <v>1.2086918799999999</v>
      </c>
      <c r="S11" t="s">
        <v>84</v>
      </c>
      <c r="T11" s="25">
        <v>0.18191673</v>
      </c>
      <c r="U11">
        <f t="shared" si="0"/>
        <v>9</v>
      </c>
      <c r="X11" t="s">
        <v>15</v>
      </c>
      <c r="Y11">
        <v>0.05</v>
      </c>
    </row>
    <row r="12" spans="1:30" x14ac:dyDescent="0.2">
      <c r="A12" s="21" t="s">
        <v>8</v>
      </c>
      <c r="B12" t="s">
        <v>53</v>
      </c>
      <c r="C12" s="3">
        <v>90</v>
      </c>
      <c r="D12" s="3">
        <v>7</v>
      </c>
      <c r="E12" s="11">
        <v>0</v>
      </c>
      <c r="F12" s="5">
        <v>0.46455511399999999</v>
      </c>
      <c r="G12" s="5">
        <v>522.61890400000004</v>
      </c>
      <c r="H12" s="5">
        <v>0.20141224999999999</v>
      </c>
      <c r="I12" s="4">
        <v>2.0816775700000001</v>
      </c>
      <c r="J12" s="5">
        <v>4.35059499E-2</v>
      </c>
      <c r="K12" s="5">
        <v>128.955117</v>
      </c>
      <c r="L12" s="5">
        <v>0.108331574</v>
      </c>
      <c r="M12" s="4">
        <v>0.196446338</v>
      </c>
      <c r="O12">
        <v>10</v>
      </c>
      <c r="Q12" s="24">
        <v>1.0777659399999999</v>
      </c>
      <c r="S12" t="s">
        <v>122</v>
      </c>
      <c r="T12" s="23">
        <v>0.332111184</v>
      </c>
      <c r="U12">
        <f t="shared" si="0"/>
        <v>10</v>
      </c>
    </row>
    <row r="13" spans="1:30" x14ac:dyDescent="0.2">
      <c r="A13" s="22" t="s">
        <v>25</v>
      </c>
      <c r="B13" t="s">
        <v>53</v>
      </c>
      <c r="C13" s="3">
        <v>30</v>
      </c>
      <c r="D13" s="3">
        <v>3</v>
      </c>
      <c r="E13" s="2">
        <v>0</v>
      </c>
      <c r="F13" s="1">
        <v>3.6510943900000002E-2</v>
      </c>
      <c r="G13" s="1">
        <v>1000</v>
      </c>
      <c r="H13" s="1">
        <v>0.12977992899999999</v>
      </c>
      <c r="I13" s="2">
        <v>1.58388167</v>
      </c>
      <c r="J13" s="1">
        <v>1.5399299500000001</v>
      </c>
      <c r="K13" s="1">
        <v>202.89173199999999</v>
      </c>
      <c r="L13" s="1">
        <v>7.5112729700000005E-2</v>
      </c>
      <c r="M13" s="2">
        <v>0.733373952</v>
      </c>
      <c r="O13">
        <v>11</v>
      </c>
      <c r="Q13" s="23">
        <v>0</v>
      </c>
      <c r="S13" t="s">
        <v>122</v>
      </c>
      <c r="T13" s="24">
        <v>0.37474575799999998</v>
      </c>
      <c r="U13">
        <f t="shared" si="0"/>
        <v>11</v>
      </c>
      <c r="X13" t="s">
        <v>138</v>
      </c>
      <c r="Y13">
        <f>_xlfn.NORM.S.INV(1-0.5*Y11)</f>
        <v>1.9599639845400536</v>
      </c>
      <c r="AB13" t="s">
        <v>143</v>
      </c>
      <c r="AC13">
        <f ca="1">(Y8-AC8)/AC10</f>
        <v>-0.30339401820606882</v>
      </c>
    </row>
    <row r="14" spans="1:30" x14ac:dyDescent="0.2">
      <c r="A14" s="22" t="s">
        <v>27</v>
      </c>
      <c r="B14" t="s">
        <v>53</v>
      </c>
      <c r="C14" s="3">
        <v>60</v>
      </c>
      <c r="D14" s="3">
        <v>3</v>
      </c>
      <c r="E14" s="2">
        <v>9.9879408400000008E-3</v>
      </c>
      <c r="F14" s="1">
        <v>12.2160569</v>
      </c>
      <c r="G14" s="1">
        <v>200.80007900000001</v>
      </c>
      <c r="H14" s="1">
        <v>0.28733642300000001</v>
      </c>
      <c r="I14" s="2">
        <v>2.75305781</v>
      </c>
      <c r="J14" s="1">
        <v>0.31199249000000001</v>
      </c>
      <c r="K14" s="1">
        <v>272.18984999999998</v>
      </c>
      <c r="L14" s="1">
        <v>5.1436791099999997E-2</v>
      </c>
      <c r="M14" s="2">
        <v>1.5540677300000001</v>
      </c>
      <c r="O14">
        <v>12</v>
      </c>
      <c r="Q14" s="26">
        <v>0.453072011</v>
      </c>
      <c r="S14" t="s">
        <v>84</v>
      </c>
      <c r="T14" s="25">
        <v>0.38287615000000003</v>
      </c>
      <c r="U14">
        <f t="shared" si="0"/>
        <v>12</v>
      </c>
      <c r="X14" t="s">
        <v>139</v>
      </c>
      <c r="Y14">
        <f ca="1">_xlfn.NORM.S.DIST(Y10,TRUE)</f>
        <v>0.38079480188298009</v>
      </c>
      <c r="AB14" t="s">
        <v>148</v>
      </c>
      <c r="AC14">
        <v>0.764177</v>
      </c>
      <c r="AD14" t="s">
        <v>149</v>
      </c>
    </row>
    <row r="15" spans="1:30" x14ac:dyDescent="0.2">
      <c r="A15" s="22" t="s">
        <v>30</v>
      </c>
      <c r="B15" t="s">
        <v>53</v>
      </c>
      <c r="C15" s="3">
        <v>30</v>
      </c>
      <c r="D15" s="3">
        <v>3</v>
      </c>
      <c r="E15" s="2">
        <v>0</v>
      </c>
      <c r="F15" s="1">
        <v>0</v>
      </c>
      <c r="G15" s="1">
        <v>52.418960400000003</v>
      </c>
      <c r="H15" s="1">
        <v>0.20671535499999999</v>
      </c>
      <c r="I15" s="2">
        <v>1.60563207</v>
      </c>
      <c r="J15" s="1">
        <v>1.2180170400000001</v>
      </c>
      <c r="K15" s="1">
        <v>969.97912499999995</v>
      </c>
      <c r="L15" s="1">
        <v>0.15660199499999999</v>
      </c>
      <c r="M15" s="2">
        <v>0.79921194100000004</v>
      </c>
      <c r="O15">
        <v>13</v>
      </c>
      <c r="Q15" s="25">
        <v>1.2372456599999999</v>
      </c>
      <c r="S15" t="s">
        <v>84</v>
      </c>
      <c r="T15" s="23">
        <v>0.39492650200000001</v>
      </c>
      <c r="U15">
        <f t="shared" si="0"/>
        <v>13</v>
      </c>
    </row>
    <row r="16" spans="1:30" x14ac:dyDescent="0.2">
      <c r="A16" s="22" t="s">
        <v>35</v>
      </c>
      <c r="B16" t="s">
        <v>53</v>
      </c>
      <c r="C16" s="3">
        <v>30</v>
      </c>
      <c r="D16" s="3">
        <v>3</v>
      </c>
      <c r="E16" s="2">
        <v>0</v>
      </c>
      <c r="F16" s="1">
        <v>0.98969070400000003</v>
      </c>
      <c r="G16" s="1">
        <v>442.11053700000002</v>
      </c>
      <c r="H16" s="1">
        <v>0.21337298499999999</v>
      </c>
      <c r="I16" s="2">
        <v>2.43098137</v>
      </c>
      <c r="J16" s="1">
        <v>0.14702066599999999</v>
      </c>
      <c r="K16" s="1">
        <v>210.52828199999999</v>
      </c>
      <c r="L16" s="1">
        <v>7.2613595000000003E-2</v>
      </c>
      <c r="M16" s="2">
        <v>1.1319582800000001</v>
      </c>
      <c r="O16">
        <v>14</v>
      </c>
      <c r="Q16" s="27">
        <v>9.0415986200000003</v>
      </c>
      <c r="S16" t="s">
        <v>84</v>
      </c>
      <c r="T16" s="26">
        <v>0.453072011</v>
      </c>
      <c r="U16">
        <f t="shared" si="0"/>
        <v>14</v>
      </c>
      <c r="W16" t="s">
        <v>150</v>
      </c>
    </row>
    <row r="17" spans="1:23" x14ac:dyDescent="0.2">
      <c r="A17" s="22" t="s">
        <v>37</v>
      </c>
      <c r="B17" t="s">
        <v>53</v>
      </c>
      <c r="C17" s="3">
        <v>60</v>
      </c>
      <c r="D17" s="3">
        <v>3</v>
      </c>
      <c r="E17" s="2">
        <v>0</v>
      </c>
      <c r="F17" s="1">
        <v>1.2086918799999999</v>
      </c>
      <c r="G17" s="1">
        <v>42.036540199999997</v>
      </c>
      <c r="H17" s="1">
        <v>0.12775836400000001</v>
      </c>
      <c r="I17" s="2">
        <v>-2.4080806E-2</v>
      </c>
      <c r="J17" s="1">
        <v>1.2597823800000001</v>
      </c>
      <c r="K17" s="1">
        <v>316.34777400000002</v>
      </c>
      <c r="L17" s="1">
        <v>7.9812147799999997E-2</v>
      </c>
      <c r="M17" s="2">
        <v>1.2071975399999999</v>
      </c>
      <c r="O17">
        <v>15</v>
      </c>
      <c r="Q17" s="25">
        <v>2.9362840499999998</v>
      </c>
      <c r="S17" t="s">
        <v>84</v>
      </c>
      <c r="T17" s="26">
        <v>0.46455511399999999</v>
      </c>
      <c r="U17">
        <f t="shared" si="0"/>
        <v>15</v>
      </c>
      <c r="W17" t="s">
        <v>151</v>
      </c>
    </row>
    <row r="18" spans="1:23" x14ac:dyDescent="0.2">
      <c r="A18" s="22" t="s">
        <v>40</v>
      </c>
      <c r="B18" t="s">
        <v>53</v>
      </c>
      <c r="C18" s="3">
        <v>30</v>
      </c>
      <c r="D18" s="3">
        <v>3</v>
      </c>
      <c r="E18" s="2">
        <v>0</v>
      </c>
      <c r="F18" s="1">
        <v>1.0777659399999999</v>
      </c>
      <c r="G18" s="1">
        <v>0</v>
      </c>
      <c r="H18" s="1">
        <v>0.16537010599999999</v>
      </c>
      <c r="I18" s="2">
        <v>-3.5176148300000001E-2</v>
      </c>
      <c r="J18" s="1">
        <v>0.80410408600000005</v>
      </c>
      <c r="K18" s="1">
        <v>284.62208199999998</v>
      </c>
      <c r="L18" s="1">
        <v>6.8907807799999998E-2</v>
      </c>
      <c r="M18" s="2">
        <v>1.0119267599999999</v>
      </c>
      <c r="O18">
        <v>16</v>
      </c>
      <c r="Q18" s="24">
        <v>1.2811934300000001</v>
      </c>
      <c r="S18" t="s">
        <v>84</v>
      </c>
      <c r="T18" s="26">
        <v>0.49496117699999997</v>
      </c>
      <c r="U18">
        <f t="shared" si="0"/>
        <v>16</v>
      </c>
    </row>
    <row r="19" spans="1:23" x14ac:dyDescent="0.2">
      <c r="A19" s="22" t="s">
        <v>42</v>
      </c>
      <c r="B19" t="s">
        <v>53</v>
      </c>
      <c r="C19" s="3">
        <v>60</v>
      </c>
      <c r="D19" s="3">
        <v>3</v>
      </c>
      <c r="E19" s="2">
        <v>0</v>
      </c>
      <c r="F19" s="1">
        <v>0</v>
      </c>
      <c r="G19" s="1">
        <v>45.194447599999997</v>
      </c>
      <c r="H19" s="1">
        <v>0.248476009</v>
      </c>
      <c r="I19" s="2">
        <v>0.82891212199999997</v>
      </c>
      <c r="J19" s="1">
        <v>4.81961963</v>
      </c>
      <c r="K19" s="1">
        <v>525.25088700000003</v>
      </c>
      <c r="L19" s="1">
        <v>0.18422671900000001</v>
      </c>
      <c r="M19" s="2">
        <v>0.90844512700000002</v>
      </c>
      <c r="O19">
        <v>17</v>
      </c>
      <c r="Q19" s="23">
        <v>0</v>
      </c>
      <c r="S19" t="s">
        <v>84</v>
      </c>
      <c r="T19" s="24">
        <v>0.51013756499999996</v>
      </c>
      <c r="U19">
        <f t="shared" si="0"/>
        <v>17</v>
      </c>
    </row>
    <row r="20" spans="1:23" x14ac:dyDescent="0.2">
      <c r="A20" s="21" t="s">
        <v>0</v>
      </c>
      <c r="B20" t="s">
        <v>50</v>
      </c>
      <c r="C20" s="3">
        <v>60</v>
      </c>
      <c r="D20" s="3">
        <v>7</v>
      </c>
      <c r="E20" s="11">
        <v>6.1985894000000003E-5</v>
      </c>
      <c r="F20" s="5">
        <v>0.453072011</v>
      </c>
      <c r="G20" s="5">
        <v>964.97132699999997</v>
      </c>
      <c r="H20" s="5">
        <v>0.13167579800000001</v>
      </c>
      <c r="I20" s="4">
        <v>1.2729363300000001</v>
      </c>
      <c r="J20" s="5">
        <v>5.2476337800000002E-2</v>
      </c>
      <c r="K20" s="5">
        <v>506.99699399999997</v>
      </c>
      <c r="L20" s="5">
        <v>6.9483806499999995E-2</v>
      </c>
      <c r="M20" s="4">
        <v>0.71751717199999998</v>
      </c>
      <c r="O20">
        <v>18</v>
      </c>
      <c r="Q20" s="24">
        <v>1.2054020400000001</v>
      </c>
      <c r="S20" t="s">
        <v>122</v>
      </c>
      <c r="T20" s="24">
        <v>0.53519899199999998</v>
      </c>
      <c r="U20">
        <f t="shared" si="0"/>
        <v>18</v>
      </c>
    </row>
    <row r="21" spans="1:23" x14ac:dyDescent="0.2">
      <c r="A21" s="21" t="s">
        <v>3</v>
      </c>
      <c r="B21" t="s">
        <v>50</v>
      </c>
      <c r="C21" s="3">
        <v>90</v>
      </c>
      <c r="D21" s="3">
        <v>7</v>
      </c>
      <c r="E21" s="11">
        <v>0</v>
      </c>
      <c r="F21" s="5">
        <v>1.2372456599999999</v>
      </c>
      <c r="G21" s="5">
        <v>407.29319099999998</v>
      </c>
      <c r="H21" s="5">
        <v>0.22238422799999999</v>
      </c>
      <c r="I21" s="4">
        <v>1.1113427499999999</v>
      </c>
      <c r="J21" s="5">
        <v>0.118545004</v>
      </c>
      <c r="K21" s="5">
        <v>94.382333500000001</v>
      </c>
      <c r="L21" s="5">
        <v>0.10372875600000001</v>
      </c>
      <c r="M21" s="4">
        <v>0.14425993000000001</v>
      </c>
      <c r="O21">
        <v>19</v>
      </c>
      <c r="Q21" s="23">
        <v>0</v>
      </c>
      <c r="S21" t="s">
        <v>122</v>
      </c>
      <c r="T21" s="24">
        <v>0.55247207700000001</v>
      </c>
      <c r="U21">
        <f t="shared" si="0"/>
        <v>19</v>
      </c>
    </row>
    <row r="22" spans="1:23" x14ac:dyDescent="0.2">
      <c r="A22" s="21" t="s">
        <v>6</v>
      </c>
      <c r="B22" t="s">
        <v>50</v>
      </c>
      <c r="C22" s="3">
        <v>60</v>
      </c>
      <c r="D22" s="3">
        <v>7</v>
      </c>
      <c r="E22" s="11">
        <v>0</v>
      </c>
      <c r="F22" s="6">
        <v>9.0415986200000003</v>
      </c>
      <c r="G22" s="6">
        <v>0</v>
      </c>
      <c r="H22" s="6">
        <v>0.28129030999999999</v>
      </c>
      <c r="I22" s="6">
        <v>1.5196739100000001</v>
      </c>
      <c r="J22" s="6">
        <v>0.98796289999999998</v>
      </c>
      <c r="K22" s="7">
        <v>59.406481749999998</v>
      </c>
      <c r="L22" s="6">
        <v>0.13007621999999999</v>
      </c>
      <c r="M22" s="6">
        <v>0.61451697999999999</v>
      </c>
      <c r="O22">
        <v>20</v>
      </c>
      <c r="Q22" s="24">
        <v>9.4765872900000006E-2</v>
      </c>
      <c r="S22" t="s">
        <v>84</v>
      </c>
      <c r="T22" s="26">
        <v>0.61841645300000003</v>
      </c>
      <c r="U22">
        <f t="shared" si="0"/>
        <v>20</v>
      </c>
    </row>
    <row r="23" spans="1:23" x14ac:dyDescent="0.2">
      <c r="A23" s="21" t="s">
        <v>9</v>
      </c>
      <c r="B23" t="s">
        <v>50</v>
      </c>
      <c r="C23" s="3">
        <v>90</v>
      </c>
      <c r="D23" s="3">
        <v>7</v>
      </c>
      <c r="E23" s="11">
        <v>5.3453166099999997E-5</v>
      </c>
      <c r="F23" s="5">
        <v>2.9362840499999998</v>
      </c>
      <c r="G23" s="5">
        <v>77.323747999999995</v>
      </c>
      <c r="H23" s="5">
        <v>0.16259305099999999</v>
      </c>
      <c r="I23" s="4">
        <v>1.59950218</v>
      </c>
      <c r="J23" s="5">
        <v>3.9338282600000003E-2</v>
      </c>
      <c r="K23" s="5">
        <v>136.00861599999999</v>
      </c>
      <c r="L23" s="5">
        <v>9.0620648200000001E-2</v>
      </c>
      <c r="M23" s="4">
        <v>0.310251206</v>
      </c>
      <c r="O23">
        <v>21</v>
      </c>
      <c r="Q23" s="23">
        <v>0.39492650200000001</v>
      </c>
      <c r="S23" t="s">
        <v>84</v>
      </c>
      <c r="T23" s="26">
        <v>0.72701081099999998</v>
      </c>
      <c r="U23">
        <f t="shared" si="0"/>
        <v>21</v>
      </c>
    </row>
    <row r="24" spans="1:23" x14ac:dyDescent="0.2">
      <c r="A24" s="22" t="s">
        <v>26</v>
      </c>
      <c r="B24" t="s">
        <v>50</v>
      </c>
      <c r="C24" s="3">
        <v>30</v>
      </c>
      <c r="D24" s="3">
        <v>3</v>
      </c>
      <c r="E24" s="2">
        <v>1.0495125100000001E-4</v>
      </c>
      <c r="F24" s="1">
        <v>1.2811934300000001</v>
      </c>
      <c r="G24" s="1">
        <v>127.27198</v>
      </c>
      <c r="H24" s="1">
        <v>0.205350967</v>
      </c>
      <c r="I24" s="2">
        <v>1.58270066</v>
      </c>
      <c r="J24" s="1">
        <v>0.20895741900000001</v>
      </c>
      <c r="K24" s="1">
        <v>209.28931700000001</v>
      </c>
      <c r="L24" s="1">
        <v>9.55208949E-2</v>
      </c>
      <c r="M24" s="2">
        <v>0.61080824</v>
      </c>
      <c r="O24">
        <v>22</v>
      </c>
      <c r="Q24" s="24">
        <v>0.51013756499999996</v>
      </c>
      <c r="S24" t="s">
        <v>84</v>
      </c>
      <c r="T24" s="24">
        <v>0.98969070400000003</v>
      </c>
      <c r="U24">
        <f t="shared" si="0"/>
        <v>22</v>
      </c>
    </row>
    <row r="25" spans="1:23" x14ac:dyDescent="0.2">
      <c r="A25" s="22" t="s">
        <v>28</v>
      </c>
      <c r="B25" t="s">
        <v>50</v>
      </c>
      <c r="C25" s="3">
        <v>60</v>
      </c>
      <c r="D25" s="3">
        <v>3</v>
      </c>
      <c r="E25" s="2">
        <v>0.01</v>
      </c>
      <c r="F25" s="1">
        <v>0</v>
      </c>
      <c r="G25" s="1">
        <v>2.1513110200000001</v>
      </c>
      <c r="H25" s="1">
        <v>0.21329190200000001</v>
      </c>
      <c r="I25" s="2">
        <v>0.98792799799999997</v>
      </c>
      <c r="J25" s="1">
        <v>2.4546479200000002</v>
      </c>
      <c r="K25" s="1">
        <v>276.64735999999999</v>
      </c>
      <c r="L25" s="1">
        <v>0.154259959</v>
      </c>
      <c r="M25" s="2">
        <v>0.93676341200000002</v>
      </c>
      <c r="O25">
        <v>23</v>
      </c>
      <c r="Q25" s="23">
        <v>1.40103573</v>
      </c>
      <c r="S25" t="s">
        <v>84</v>
      </c>
      <c r="T25" s="24">
        <v>1.0777659399999999</v>
      </c>
      <c r="U25">
        <f t="shared" si="0"/>
        <v>23</v>
      </c>
    </row>
    <row r="26" spans="1:23" x14ac:dyDescent="0.2">
      <c r="A26" s="22" t="s">
        <v>31</v>
      </c>
      <c r="B26" t="s">
        <v>50</v>
      </c>
      <c r="C26" s="3">
        <v>30</v>
      </c>
      <c r="D26" s="3">
        <v>3</v>
      </c>
      <c r="E26" s="2">
        <v>0</v>
      </c>
      <c r="F26" s="1">
        <v>1.2054020400000001</v>
      </c>
      <c r="G26" s="1">
        <v>298.48058200000003</v>
      </c>
      <c r="H26" s="1">
        <v>0.202685376</v>
      </c>
      <c r="I26" s="2">
        <v>1.0907225399999999E-3</v>
      </c>
      <c r="J26" s="1">
        <v>0.93243055500000005</v>
      </c>
      <c r="K26" s="1">
        <v>396.73460999999998</v>
      </c>
      <c r="L26" s="1">
        <v>0.12502047699999999</v>
      </c>
      <c r="M26" s="2">
        <v>1.1607288200000001</v>
      </c>
      <c r="O26">
        <v>24</v>
      </c>
      <c r="Q26" s="26">
        <v>0.49496117699999997</v>
      </c>
      <c r="S26" t="s">
        <v>122</v>
      </c>
      <c r="T26" s="23">
        <v>1.1630537700000001</v>
      </c>
      <c r="U26">
        <f t="shared" si="0"/>
        <v>24</v>
      </c>
    </row>
    <row r="27" spans="1:23" x14ac:dyDescent="0.2">
      <c r="A27" s="22" t="s">
        <v>33</v>
      </c>
      <c r="B27" t="s">
        <v>50</v>
      </c>
      <c r="C27" s="3">
        <v>60</v>
      </c>
      <c r="D27" s="3">
        <v>3</v>
      </c>
      <c r="E27" s="2">
        <v>8.8797088099999994E-3</v>
      </c>
      <c r="F27" s="1">
        <v>0</v>
      </c>
      <c r="G27" s="1">
        <v>47.934020199999999</v>
      </c>
      <c r="H27" s="1">
        <v>0.22422071800000001</v>
      </c>
      <c r="I27" s="2">
        <v>1.0342574600000001</v>
      </c>
      <c r="J27" s="1">
        <v>1.2259943900000001</v>
      </c>
      <c r="K27" s="1">
        <v>504.44237199999998</v>
      </c>
      <c r="L27" s="1">
        <v>0.15074347900000001</v>
      </c>
      <c r="M27" s="2">
        <v>0.95295796399999999</v>
      </c>
      <c r="O27">
        <v>25</v>
      </c>
      <c r="Q27" s="25">
        <v>0.18191673</v>
      </c>
      <c r="S27" t="s">
        <v>84</v>
      </c>
      <c r="T27" s="25">
        <v>1.1979573100000001</v>
      </c>
      <c r="U27">
        <f t="shared" si="0"/>
        <v>25</v>
      </c>
    </row>
    <row r="28" spans="1:23" x14ac:dyDescent="0.2">
      <c r="A28" s="22" t="s">
        <v>36</v>
      </c>
      <c r="B28" t="s">
        <v>50</v>
      </c>
      <c r="C28" s="3">
        <v>30</v>
      </c>
      <c r="D28" s="3">
        <v>3</v>
      </c>
      <c r="E28" s="2">
        <v>9.7527788499999997E-5</v>
      </c>
      <c r="F28" s="1">
        <v>9.4765872900000006E-2</v>
      </c>
      <c r="G28" s="1">
        <v>336.32519500000001</v>
      </c>
      <c r="H28" s="1">
        <v>0.16652515400000001</v>
      </c>
      <c r="I28" s="2">
        <v>1.4145982100000001</v>
      </c>
      <c r="J28" s="1">
        <v>0.257828691</v>
      </c>
      <c r="K28" s="1">
        <v>216.69210200000001</v>
      </c>
      <c r="L28" s="1">
        <v>7.6099663499999998E-2</v>
      </c>
      <c r="M28" s="2">
        <v>0.72156271900000002</v>
      </c>
      <c r="O28">
        <v>26</v>
      </c>
      <c r="Q28" s="26">
        <v>0.72701081099999998</v>
      </c>
      <c r="S28" t="s">
        <v>84</v>
      </c>
      <c r="T28" s="24">
        <v>1.2054020400000001</v>
      </c>
      <c r="U28">
        <f t="shared" si="0"/>
        <v>26</v>
      </c>
    </row>
    <row r="29" spans="1:23" x14ac:dyDescent="0.2">
      <c r="A29" s="22" t="s">
        <v>38</v>
      </c>
      <c r="B29" t="s">
        <v>50</v>
      </c>
      <c r="C29" s="3">
        <v>60</v>
      </c>
      <c r="D29" s="3">
        <v>3</v>
      </c>
      <c r="E29" s="2">
        <v>0</v>
      </c>
      <c r="F29" s="1">
        <v>0.39492650200000001</v>
      </c>
      <c r="G29" s="1">
        <v>226.478567</v>
      </c>
      <c r="H29" s="1">
        <v>0.19011355599999999</v>
      </c>
      <c r="I29" s="2">
        <v>1.02003614</v>
      </c>
      <c r="J29" s="1">
        <v>0.25752373200000001</v>
      </c>
      <c r="K29" s="1">
        <v>172.171561</v>
      </c>
      <c r="L29" s="1">
        <v>0.133516154</v>
      </c>
      <c r="M29" s="2">
        <v>0.460027362</v>
      </c>
      <c r="O29">
        <v>27</v>
      </c>
      <c r="Q29" s="25">
        <v>0.17626807799999999</v>
      </c>
      <c r="S29" t="s">
        <v>84</v>
      </c>
      <c r="T29" s="23">
        <v>1.2086918799999999</v>
      </c>
      <c r="U29">
        <f t="shared" si="0"/>
        <v>27</v>
      </c>
    </row>
    <row r="30" spans="1:23" x14ac:dyDescent="0.2">
      <c r="A30" s="22" t="s">
        <v>41</v>
      </c>
      <c r="B30" t="s">
        <v>50</v>
      </c>
      <c r="C30" s="3">
        <v>30</v>
      </c>
      <c r="D30" s="3">
        <v>3</v>
      </c>
      <c r="E30" s="2">
        <v>0</v>
      </c>
      <c r="F30" s="1">
        <v>0.51013756499999996</v>
      </c>
      <c r="G30" s="1">
        <v>383.23388499999999</v>
      </c>
      <c r="H30" s="1">
        <v>0.177475361</v>
      </c>
      <c r="I30" s="2">
        <v>1.91038321</v>
      </c>
      <c r="J30" s="1">
        <v>0.18508060400000001</v>
      </c>
      <c r="K30" s="1">
        <v>181.78591900000001</v>
      </c>
      <c r="L30" s="1">
        <v>0.12697473400000001</v>
      </c>
      <c r="M30" s="2">
        <v>0.71879542500000004</v>
      </c>
      <c r="S30" t="s">
        <v>84</v>
      </c>
      <c r="T30" s="25">
        <v>1.2372456599999999</v>
      </c>
      <c r="U30">
        <f t="shared" si="0"/>
        <v>28</v>
      </c>
    </row>
    <row r="31" spans="1:23" x14ac:dyDescent="0.2">
      <c r="A31" s="22" t="s">
        <v>43</v>
      </c>
      <c r="B31" t="s">
        <v>50</v>
      </c>
      <c r="C31" s="3">
        <v>60</v>
      </c>
      <c r="D31" s="3">
        <v>3</v>
      </c>
      <c r="E31" s="2">
        <v>5.5274771199999999E-5</v>
      </c>
      <c r="F31" s="1">
        <v>1.40103573</v>
      </c>
      <c r="G31" s="1">
        <v>147.89307600000001</v>
      </c>
      <c r="H31" s="1">
        <v>0.16374208100000001</v>
      </c>
      <c r="I31" s="2">
        <v>1.5383313000000001</v>
      </c>
      <c r="J31" s="1">
        <v>2.2072216200000001E-2</v>
      </c>
      <c r="K31" s="1">
        <v>183.13334499999999</v>
      </c>
      <c r="L31" s="1">
        <v>9.2381939400000002E-2</v>
      </c>
      <c r="M31" s="2">
        <v>-3.4712697700000003E-2</v>
      </c>
      <c r="S31" t="s">
        <v>84</v>
      </c>
      <c r="T31" s="24">
        <v>1.2811934300000001</v>
      </c>
      <c r="U31">
        <f t="shared" si="0"/>
        <v>29</v>
      </c>
    </row>
    <row r="32" spans="1:23" x14ac:dyDescent="0.2">
      <c r="A32" s="21" t="s">
        <v>1</v>
      </c>
      <c r="B32" t="s">
        <v>51</v>
      </c>
      <c r="C32" s="3">
        <v>60</v>
      </c>
      <c r="D32" s="3">
        <v>7</v>
      </c>
      <c r="E32" s="11">
        <v>0</v>
      </c>
      <c r="F32" s="5">
        <v>0.49496117699999997</v>
      </c>
      <c r="G32" s="5">
        <v>971.03378899999996</v>
      </c>
      <c r="H32" s="5">
        <v>0.18657512600000001</v>
      </c>
      <c r="I32" s="4">
        <v>1.1837073300000001</v>
      </c>
      <c r="J32" s="5">
        <v>0.43255909399999998</v>
      </c>
      <c r="K32" s="5">
        <v>165.022064</v>
      </c>
      <c r="L32" s="5">
        <v>9.8920436E-2</v>
      </c>
      <c r="M32" s="4">
        <v>0.64429451000000004</v>
      </c>
      <c r="S32" t="s">
        <v>84</v>
      </c>
      <c r="T32" s="23">
        <v>1.40103573</v>
      </c>
      <c r="U32">
        <f t="shared" si="0"/>
        <v>30</v>
      </c>
    </row>
    <row r="33" spans="1:21" x14ac:dyDescent="0.2">
      <c r="A33" s="21" t="s">
        <v>4</v>
      </c>
      <c r="B33" t="s">
        <v>51</v>
      </c>
      <c r="C33" s="3">
        <v>90</v>
      </c>
      <c r="D33" s="3">
        <v>7</v>
      </c>
      <c r="E33" s="11">
        <v>0</v>
      </c>
      <c r="F33" s="5">
        <v>0.18191673</v>
      </c>
      <c r="G33" s="5">
        <v>209.676793</v>
      </c>
      <c r="H33" s="5">
        <v>0.16879316699999999</v>
      </c>
      <c r="I33" s="4">
        <v>0.914117242</v>
      </c>
      <c r="J33" s="5">
        <v>0</v>
      </c>
      <c r="K33" s="5">
        <v>3.6688907500000001</v>
      </c>
      <c r="L33" s="5">
        <v>0.10840583099999999</v>
      </c>
      <c r="M33" s="4">
        <v>1.0500891400000001</v>
      </c>
      <c r="S33" t="s">
        <v>84</v>
      </c>
      <c r="T33" s="25">
        <v>2.9362840499999998</v>
      </c>
      <c r="U33">
        <f t="shared" si="0"/>
        <v>31</v>
      </c>
    </row>
    <row r="34" spans="1:21" x14ac:dyDescent="0.2">
      <c r="A34" s="21" t="s">
        <v>7</v>
      </c>
      <c r="B34" t="s">
        <v>51</v>
      </c>
      <c r="C34" s="3">
        <v>60</v>
      </c>
      <c r="D34" s="3">
        <v>7</v>
      </c>
      <c r="E34" s="11">
        <v>1.12534132E-4</v>
      </c>
      <c r="F34" s="5">
        <v>0.72701081099999998</v>
      </c>
      <c r="G34" s="5">
        <v>479.30631599999998</v>
      </c>
      <c r="H34" s="5">
        <v>0.187990135</v>
      </c>
      <c r="I34" s="4">
        <v>1.9446508</v>
      </c>
      <c r="J34" s="5">
        <v>0.127421434</v>
      </c>
      <c r="K34" s="5">
        <v>36.624213699999999</v>
      </c>
      <c r="L34" s="5">
        <v>0.100900551</v>
      </c>
      <c r="M34" s="4">
        <v>0.120058052</v>
      </c>
      <c r="S34" t="s">
        <v>84</v>
      </c>
      <c r="T34" s="27">
        <v>9.0415986200000003</v>
      </c>
      <c r="U34">
        <f t="shared" si="0"/>
        <v>32</v>
      </c>
    </row>
    <row r="35" spans="1:21" x14ac:dyDescent="0.2">
      <c r="A35" s="21" t="s">
        <v>10</v>
      </c>
      <c r="B35" t="s">
        <v>51</v>
      </c>
      <c r="C35" s="3">
        <v>90</v>
      </c>
      <c r="D35" s="3">
        <v>7</v>
      </c>
      <c r="E35" s="11">
        <v>7.5058414299999999E-5</v>
      </c>
      <c r="F35" s="5">
        <v>0.17626807799999999</v>
      </c>
      <c r="G35" s="5">
        <v>652.55077900000003</v>
      </c>
      <c r="H35" s="5">
        <v>0.14280860000000001</v>
      </c>
      <c r="I35" s="4">
        <v>2.0798484699999999</v>
      </c>
      <c r="J35" s="5">
        <v>0.98507623799999999</v>
      </c>
      <c r="K35" s="5">
        <v>289.26363700000002</v>
      </c>
      <c r="L35" s="5">
        <v>0.107430952</v>
      </c>
      <c r="M35" s="4">
        <v>0.65375787100000005</v>
      </c>
      <c r="S35" t="s">
        <v>84</v>
      </c>
      <c r="T35" s="24">
        <v>12.2160569</v>
      </c>
      <c r="U35">
        <f t="shared" si="0"/>
        <v>33</v>
      </c>
    </row>
  </sheetData>
  <autoFilter ref="S2:U35" xr:uid="{67FE1995-2538-4932-AE62-52ABA2EF65D7}">
    <sortState xmlns:xlrd2="http://schemas.microsoft.com/office/spreadsheetml/2017/richdata2" ref="S3:U35">
      <sortCondition ref="T2:T35"/>
    </sortState>
  </autoFilter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D79B-0051-4649-9DFA-F78AD0276DD2}">
  <dimension ref="A1:U16"/>
  <sheetViews>
    <sheetView zoomScaleNormal="100" workbookViewId="0">
      <pane xSplit="1" topLeftCell="B1" activePane="topRight" state="frozen"/>
      <selection pane="topRight" activeCell="D17" sqref="D17"/>
    </sheetView>
  </sheetViews>
  <sheetFormatPr baseColWidth="10" defaultColWidth="8.83203125" defaultRowHeight="15" x14ac:dyDescent="0.2"/>
  <cols>
    <col min="1" max="1" width="9.6640625" customWidth="1"/>
    <col min="2" max="2" width="8.6640625" customWidth="1"/>
    <col min="3" max="3" width="4.1640625" customWidth="1"/>
    <col min="4" max="4" width="5.83203125" customWidth="1"/>
  </cols>
  <sheetData>
    <row r="1" spans="1:21" x14ac:dyDescent="0.2">
      <c r="E1" t="s">
        <v>44</v>
      </c>
      <c r="M1" t="s">
        <v>45</v>
      </c>
    </row>
    <row r="2" spans="1:21" x14ac:dyDescent="0.2">
      <c r="B2" t="s">
        <v>48</v>
      </c>
      <c r="C2" s="3" t="s">
        <v>46</v>
      </c>
      <c r="D2" s="3" t="s">
        <v>47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">
      <c r="A3" t="s">
        <v>65</v>
      </c>
      <c r="B3" t="s">
        <v>52</v>
      </c>
      <c r="C3" s="3"/>
      <c r="D3" s="3"/>
      <c r="E3" s="10">
        <v>0.01</v>
      </c>
      <c r="F3" s="9">
        <v>1.09293532</v>
      </c>
      <c r="G3" s="9">
        <v>644.76327900000001</v>
      </c>
      <c r="H3" s="9">
        <v>0.18278846500000001</v>
      </c>
      <c r="I3" s="8">
        <v>1.06480906</v>
      </c>
      <c r="J3" s="8">
        <v>1.04317326284153</v>
      </c>
      <c r="K3" s="8">
        <v>5</v>
      </c>
      <c r="L3" s="6"/>
      <c r="M3" s="2">
        <v>0</v>
      </c>
      <c r="N3" s="1">
        <v>0.332111184</v>
      </c>
      <c r="O3" s="1">
        <v>657.62122899999997</v>
      </c>
      <c r="P3" s="1">
        <v>0.15755595</v>
      </c>
      <c r="Q3" s="2">
        <v>1.1226544199999999</v>
      </c>
      <c r="R3" s="1">
        <v>0.78984352400000002</v>
      </c>
      <c r="S3" s="1">
        <v>343.88025399999998</v>
      </c>
      <c r="T3" s="1">
        <v>0.190081629</v>
      </c>
      <c r="U3" s="2">
        <v>0.829466166</v>
      </c>
    </row>
    <row r="4" spans="1:21" x14ac:dyDescent="0.2">
      <c r="A4" t="s">
        <v>49</v>
      </c>
      <c r="B4" t="s">
        <v>53</v>
      </c>
      <c r="C4" s="3">
        <v>60</v>
      </c>
      <c r="D4" s="3">
        <v>7</v>
      </c>
      <c r="E4" s="10">
        <v>5.7798465400000004E-3</v>
      </c>
      <c r="F4" s="9">
        <v>8.1381400599999996</v>
      </c>
      <c r="G4" s="9">
        <v>867.78446399999996</v>
      </c>
      <c r="H4" s="9">
        <v>0.24054221000000001</v>
      </c>
      <c r="I4" s="8">
        <v>0.91159007299999995</v>
      </c>
      <c r="J4" s="8">
        <v>1.04626366755928</v>
      </c>
      <c r="K4" s="8">
        <v>2.5</v>
      </c>
      <c r="L4" s="6"/>
      <c r="M4" s="11">
        <v>0</v>
      </c>
      <c r="N4" s="5">
        <v>1.1979573100000001</v>
      </c>
      <c r="O4" s="5">
        <v>809.79864199999997</v>
      </c>
      <c r="P4" s="5">
        <v>0.178682481</v>
      </c>
      <c r="Q4" s="4">
        <v>1.1174442</v>
      </c>
      <c r="R4" s="5">
        <v>0.50433411100000003</v>
      </c>
      <c r="S4" s="5">
        <v>277.68595800000003</v>
      </c>
      <c r="T4" s="5">
        <v>0.119932154</v>
      </c>
      <c r="U4" s="4">
        <v>0.62252243600000001</v>
      </c>
    </row>
    <row r="5" spans="1:21" x14ac:dyDescent="0.2">
      <c r="A5" t="s">
        <v>0</v>
      </c>
      <c r="B5" t="s">
        <v>50</v>
      </c>
      <c r="C5" s="3">
        <v>60</v>
      </c>
      <c r="D5" s="3">
        <v>7</v>
      </c>
      <c r="E5" s="10">
        <v>0.01</v>
      </c>
      <c r="F5" s="9">
        <v>2.7518405000000001</v>
      </c>
      <c r="G5" s="9">
        <v>1000</v>
      </c>
      <c r="H5" s="9">
        <v>0.201816726</v>
      </c>
      <c r="I5" s="8">
        <v>1.00786284</v>
      </c>
      <c r="J5" s="8">
        <v>1.0538483969856101</v>
      </c>
      <c r="K5" s="8">
        <v>2</v>
      </c>
      <c r="L5" s="6"/>
      <c r="M5" s="11">
        <v>6.1985894000000003E-5</v>
      </c>
      <c r="N5" s="5">
        <v>0.453072011</v>
      </c>
      <c r="O5" s="5">
        <v>964.97132699999997</v>
      </c>
      <c r="P5" s="5">
        <v>0.13167579800000001</v>
      </c>
      <c r="Q5" s="4">
        <v>1.2729363300000001</v>
      </c>
      <c r="R5" s="5">
        <v>5.2476337800000002E-2</v>
      </c>
      <c r="S5" s="5">
        <v>506.99699399999997</v>
      </c>
      <c r="T5" s="5">
        <v>6.9483806499999995E-2</v>
      </c>
      <c r="U5" s="4">
        <v>0.71751717199999998</v>
      </c>
    </row>
    <row r="6" spans="1:21" x14ac:dyDescent="0.2">
      <c r="A6" t="s">
        <v>1</v>
      </c>
      <c r="B6" t="s">
        <v>51</v>
      </c>
      <c r="C6" s="3">
        <v>60</v>
      </c>
      <c r="D6" s="3">
        <v>7</v>
      </c>
      <c r="E6" s="10">
        <v>0.01</v>
      </c>
      <c r="F6" s="9">
        <v>4.5755180700000002</v>
      </c>
      <c r="G6" s="9">
        <v>620.45937600000002</v>
      </c>
      <c r="H6" s="9">
        <v>0.23204847200000001</v>
      </c>
      <c r="I6" s="8">
        <v>0.91203801600000001</v>
      </c>
      <c r="J6" s="8">
        <v>1.0424538219069099</v>
      </c>
      <c r="K6" s="8">
        <v>3</v>
      </c>
      <c r="L6" s="6"/>
      <c r="M6" s="11">
        <v>0</v>
      </c>
      <c r="N6" s="5">
        <v>0.49496117699999997</v>
      </c>
      <c r="O6" s="5">
        <v>971.03378899999996</v>
      </c>
      <c r="P6" s="5">
        <v>0.18657512600000001</v>
      </c>
      <c r="Q6" s="4">
        <v>1.1837073300000001</v>
      </c>
      <c r="R6" s="5">
        <v>0.43255909399999998</v>
      </c>
      <c r="S6" s="5">
        <v>165.022064</v>
      </c>
      <c r="T6" s="5">
        <v>9.8920436E-2</v>
      </c>
      <c r="U6" s="4">
        <v>0.64429451000000004</v>
      </c>
    </row>
    <row r="7" spans="1:21" x14ac:dyDescent="0.2">
      <c r="A7" t="s">
        <v>2</v>
      </c>
      <c r="B7" t="s">
        <v>53</v>
      </c>
      <c r="C7" s="3">
        <v>90</v>
      </c>
      <c r="D7" s="3">
        <v>7</v>
      </c>
      <c r="E7" s="10">
        <v>0.01</v>
      </c>
      <c r="F7" s="9">
        <v>0.77336891500000005</v>
      </c>
      <c r="G7" s="9">
        <v>416.49486000000002</v>
      </c>
      <c r="H7" s="9">
        <v>0.17180361</v>
      </c>
      <c r="I7" s="8">
        <v>1.1191990199999999</v>
      </c>
      <c r="J7" s="8">
        <v>1.08562639852931</v>
      </c>
      <c r="K7" s="8">
        <v>4.3</v>
      </c>
      <c r="L7" s="6"/>
      <c r="M7" s="11">
        <v>4.4026528200000003E-5</v>
      </c>
      <c r="N7" s="5">
        <v>0.61841645300000003</v>
      </c>
      <c r="O7" s="5">
        <v>537.29415400000005</v>
      </c>
      <c r="P7" s="5">
        <v>0.17956904600000001</v>
      </c>
      <c r="Q7" s="4">
        <v>1.2331375099999999</v>
      </c>
      <c r="R7" s="5">
        <v>3.1439455200000001E-2</v>
      </c>
      <c r="S7" s="5">
        <v>137.94547900000001</v>
      </c>
      <c r="T7" s="5">
        <v>9.6227391300000006E-2</v>
      </c>
      <c r="U7" s="4">
        <v>0.46076057199999998</v>
      </c>
    </row>
    <row r="8" spans="1:21" x14ac:dyDescent="0.2">
      <c r="A8" t="s">
        <v>3</v>
      </c>
      <c r="B8" t="s">
        <v>50</v>
      </c>
      <c r="C8" s="3">
        <v>90</v>
      </c>
      <c r="D8" s="3">
        <v>7</v>
      </c>
      <c r="E8" s="10">
        <v>0.01</v>
      </c>
      <c r="F8" s="9">
        <v>0.96783834800000001</v>
      </c>
      <c r="G8" s="9">
        <v>281.58419900000001</v>
      </c>
      <c r="H8" s="9">
        <v>0.18588770700000001</v>
      </c>
      <c r="I8" s="8">
        <v>0.99202616399999999</v>
      </c>
      <c r="J8" s="8">
        <v>1.0528989937376301</v>
      </c>
      <c r="K8" s="8">
        <v>4.2</v>
      </c>
      <c r="L8" s="6"/>
      <c r="M8" s="11">
        <v>0</v>
      </c>
      <c r="N8" s="5">
        <v>1.2372456599999999</v>
      </c>
      <c r="O8" s="5">
        <v>407.29319099999998</v>
      </c>
      <c r="P8" s="5">
        <v>0.22238422799999999</v>
      </c>
      <c r="Q8" s="4">
        <v>1.1113427499999999</v>
      </c>
      <c r="R8" s="5">
        <v>0.118545004</v>
      </c>
      <c r="S8" s="5">
        <v>94.382333500000001</v>
      </c>
      <c r="T8" s="5">
        <v>0.10372875600000001</v>
      </c>
      <c r="U8" s="4">
        <v>0.14425993000000001</v>
      </c>
    </row>
    <row r="9" spans="1:21" x14ac:dyDescent="0.2">
      <c r="A9" t="s">
        <v>4</v>
      </c>
      <c r="B9" t="s">
        <v>51</v>
      </c>
      <c r="C9" s="3">
        <v>90</v>
      </c>
      <c r="D9" s="3">
        <v>7</v>
      </c>
      <c r="E9" s="10">
        <v>0</v>
      </c>
      <c r="F9" s="9">
        <v>8.1959023699999994E-2</v>
      </c>
      <c r="G9" s="9">
        <v>119.307115</v>
      </c>
      <c r="H9" s="9">
        <v>8.3741037899999995E-2</v>
      </c>
      <c r="I9" s="8">
        <v>0.90034171500000004</v>
      </c>
      <c r="J9" s="8">
        <v>1.0717131120113099</v>
      </c>
      <c r="K9" s="8">
        <v>4.5999999999999996</v>
      </c>
      <c r="L9" s="6"/>
      <c r="M9" s="11">
        <v>0</v>
      </c>
      <c r="N9" s="5">
        <v>0.18191673</v>
      </c>
      <c r="O9" s="5">
        <v>209.676793</v>
      </c>
      <c r="P9" s="5">
        <v>0.16879316699999999</v>
      </c>
      <c r="Q9" s="4">
        <v>0.914117242</v>
      </c>
      <c r="R9" s="5">
        <v>0</v>
      </c>
      <c r="S9" s="5">
        <v>3.6688907500000001</v>
      </c>
      <c r="T9" s="5">
        <v>0.10840583099999999</v>
      </c>
      <c r="U9" s="4">
        <v>1.0500891400000001</v>
      </c>
    </row>
    <row r="10" spans="1:21" x14ac:dyDescent="0.2">
      <c r="A10" t="s">
        <v>66</v>
      </c>
      <c r="B10" t="s">
        <v>52</v>
      </c>
      <c r="C10" s="3"/>
      <c r="E10" s="10">
        <v>0</v>
      </c>
      <c r="F10" s="9">
        <v>0.26290004</v>
      </c>
      <c r="G10" s="9">
        <v>78.745352109999999</v>
      </c>
      <c r="H10" s="9">
        <v>9.7980410000000004E-2</v>
      </c>
      <c r="I10" s="9">
        <v>0.92712048999999996</v>
      </c>
      <c r="J10" s="9">
        <v>1.0804410598572001</v>
      </c>
      <c r="K10" s="9">
        <v>4</v>
      </c>
      <c r="L10" s="6"/>
      <c r="M10" s="2">
        <v>0</v>
      </c>
      <c r="N10" s="1">
        <v>0.55247207700000001</v>
      </c>
      <c r="O10" s="1">
        <v>185.993506</v>
      </c>
      <c r="P10" s="1">
        <v>0.20824074100000001</v>
      </c>
      <c r="Q10" s="2">
        <v>1.9931537500000001</v>
      </c>
      <c r="R10" s="1">
        <v>0.123449461</v>
      </c>
      <c r="S10" s="1">
        <v>189.32383899999999</v>
      </c>
      <c r="T10" s="1">
        <v>0.22045748800000001</v>
      </c>
      <c r="U10" s="2">
        <v>0.178986168</v>
      </c>
    </row>
    <row r="11" spans="1:21" x14ac:dyDescent="0.2">
      <c r="A11" t="s">
        <v>5</v>
      </c>
      <c r="B11" t="s">
        <v>53</v>
      </c>
      <c r="C11" s="3">
        <v>60</v>
      </c>
      <c r="D11" s="3">
        <v>7</v>
      </c>
      <c r="E11" s="10">
        <v>0.01</v>
      </c>
      <c r="F11" s="9">
        <v>8.5557049500000009</v>
      </c>
      <c r="G11" s="9">
        <v>395.29111699999999</v>
      </c>
      <c r="H11" s="9">
        <v>0.26010083299999998</v>
      </c>
      <c r="I11" s="8">
        <v>0.68053350400000001</v>
      </c>
      <c r="J11" s="8">
        <v>1.04470629218455</v>
      </c>
      <c r="K11" s="8">
        <v>3.8</v>
      </c>
      <c r="L11" s="6"/>
      <c r="M11" s="11">
        <v>1.7323031899999999E-4</v>
      </c>
      <c r="N11" s="5">
        <v>0.38287615000000003</v>
      </c>
      <c r="O11" s="5">
        <v>410.89509199999998</v>
      </c>
      <c r="P11" s="5">
        <v>0.17584308200000001</v>
      </c>
      <c r="Q11" s="4">
        <v>1.53403599</v>
      </c>
      <c r="R11" s="5">
        <v>0.73184827200000002</v>
      </c>
      <c r="S11" s="5">
        <v>125.179095</v>
      </c>
      <c r="T11" s="5">
        <v>0.117627155</v>
      </c>
      <c r="U11" s="4">
        <v>0.47955440999999999</v>
      </c>
    </row>
    <row r="12" spans="1:21" x14ac:dyDescent="0.2">
      <c r="A12" t="s">
        <v>6</v>
      </c>
      <c r="B12" t="s">
        <v>50</v>
      </c>
      <c r="C12" s="3">
        <v>60</v>
      </c>
      <c r="D12" s="3">
        <v>7</v>
      </c>
      <c r="E12" s="10">
        <v>1.0940354999999999E-4</v>
      </c>
      <c r="F12" s="9">
        <v>5.7755561599999998</v>
      </c>
      <c r="G12" s="9">
        <v>83.688931199999999</v>
      </c>
      <c r="H12" s="9">
        <v>0.22108644099999999</v>
      </c>
      <c r="I12" s="8">
        <v>0.77836205599999997</v>
      </c>
      <c r="J12" s="8">
        <v>1.04925410681123</v>
      </c>
      <c r="K12" s="8">
        <v>2.8</v>
      </c>
      <c r="L12" s="6"/>
      <c r="M12" s="11">
        <v>0</v>
      </c>
      <c r="N12" s="6">
        <v>9.0415986200000003</v>
      </c>
      <c r="O12" s="6">
        <v>0</v>
      </c>
      <c r="P12" s="6">
        <v>0.28129030999999999</v>
      </c>
      <c r="Q12" s="6">
        <v>1.5196739100000001</v>
      </c>
      <c r="R12" s="6">
        <v>0.98796289999999998</v>
      </c>
      <c r="S12" s="7">
        <v>59.406481749999998</v>
      </c>
      <c r="T12" s="6">
        <v>0.13007621999999999</v>
      </c>
      <c r="U12" s="6">
        <v>0.61451697999999999</v>
      </c>
    </row>
    <row r="13" spans="1:21" x14ac:dyDescent="0.2">
      <c r="A13" t="s">
        <v>7</v>
      </c>
      <c r="B13" t="s">
        <v>51</v>
      </c>
      <c r="C13" s="3">
        <v>60</v>
      </c>
      <c r="D13" s="3">
        <v>7</v>
      </c>
      <c r="E13" s="10">
        <v>0.01</v>
      </c>
      <c r="F13" s="9">
        <v>0.59865264500000004</v>
      </c>
      <c r="G13" s="9">
        <v>293.714654</v>
      </c>
      <c r="H13" s="9">
        <v>0.14515649999999999</v>
      </c>
      <c r="I13" s="8">
        <v>1.10178585</v>
      </c>
      <c r="J13" s="8">
        <v>1.0800685758916799</v>
      </c>
      <c r="K13" s="8">
        <v>3.8</v>
      </c>
      <c r="L13" s="6"/>
      <c r="M13" s="11">
        <v>1.12534132E-4</v>
      </c>
      <c r="N13" s="5">
        <v>0.72701081099999998</v>
      </c>
      <c r="O13" s="5">
        <v>479.30631599999998</v>
      </c>
      <c r="P13" s="5">
        <v>0.187990135</v>
      </c>
      <c r="Q13" s="4">
        <v>1.9446508</v>
      </c>
      <c r="R13" s="5">
        <v>0.127421434</v>
      </c>
      <c r="S13" s="5">
        <v>36.624213699999999</v>
      </c>
      <c r="T13" s="5">
        <v>0.100900551</v>
      </c>
      <c r="U13" s="4">
        <v>0.120058052</v>
      </c>
    </row>
    <row r="14" spans="1:21" x14ac:dyDescent="0.2">
      <c r="A14" t="s">
        <v>8</v>
      </c>
      <c r="B14" t="s">
        <v>53</v>
      </c>
      <c r="C14" s="3">
        <v>90</v>
      </c>
      <c r="D14" s="3">
        <v>7</v>
      </c>
      <c r="E14" s="10">
        <v>0.01</v>
      </c>
      <c r="F14" s="9">
        <v>0.41675809600000002</v>
      </c>
      <c r="G14" s="9">
        <v>335.25409400000001</v>
      </c>
      <c r="H14" s="9">
        <v>0.16796950599999999</v>
      </c>
      <c r="I14" s="8">
        <v>0.89869446200000003</v>
      </c>
      <c r="J14" s="8">
        <v>1.0593349535237699</v>
      </c>
      <c r="K14" s="8">
        <v>4</v>
      </c>
      <c r="L14" s="6"/>
      <c r="M14" s="11">
        <v>0</v>
      </c>
      <c r="N14" s="5">
        <v>0.46455511399999999</v>
      </c>
      <c r="O14" s="5">
        <v>522.61890400000004</v>
      </c>
      <c r="P14" s="5">
        <v>0.20141224999999999</v>
      </c>
      <c r="Q14" s="4">
        <v>2.0816775700000001</v>
      </c>
      <c r="R14" s="5">
        <v>4.35059499E-2</v>
      </c>
      <c r="S14" s="5">
        <v>128.955117</v>
      </c>
      <c r="T14" s="5">
        <v>0.108331574</v>
      </c>
      <c r="U14" s="4">
        <v>0.196446338</v>
      </c>
    </row>
    <row r="15" spans="1:21" x14ac:dyDescent="0.2">
      <c r="A15" t="s">
        <v>9</v>
      </c>
      <c r="B15" t="s">
        <v>50</v>
      </c>
      <c r="C15" s="3">
        <v>90</v>
      </c>
      <c r="D15" s="3">
        <v>7</v>
      </c>
      <c r="E15" s="10">
        <v>0.01</v>
      </c>
      <c r="F15" s="9">
        <v>10</v>
      </c>
      <c r="G15" s="9">
        <v>193.617098</v>
      </c>
      <c r="H15" s="9">
        <v>0.25716632299999997</v>
      </c>
      <c r="I15" s="8">
        <v>1.2964416000000001</v>
      </c>
      <c r="J15" s="8">
        <v>1.0543656995570101</v>
      </c>
      <c r="K15" s="8">
        <v>3.8</v>
      </c>
      <c r="L15" s="6"/>
      <c r="M15" s="11">
        <v>5.3453166099999997E-5</v>
      </c>
      <c r="N15" s="5">
        <v>2.9362840499999998</v>
      </c>
      <c r="O15" s="5">
        <v>77.323747999999995</v>
      </c>
      <c r="P15" s="5">
        <v>0.16259305099999999</v>
      </c>
      <c r="Q15" s="4">
        <v>1.59950218</v>
      </c>
      <c r="R15" s="5">
        <v>3.9338282600000003E-2</v>
      </c>
      <c r="S15" s="5">
        <v>136.00861599999999</v>
      </c>
      <c r="T15" s="5">
        <v>9.0620648200000001E-2</v>
      </c>
      <c r="U15" s="4">
        <v>0.310251206</v>
      </c>
    </row>
    <row r="16" spans="1:21" x14ac:dyDescent="0.2">
      <c r="A16" t="s">
        <v>10</v>
      </c>
      <c r="B16" t="s">
        <v>51</v>
      </c>
      <c r="C16" s="3">
        <v>90</v>
      </c>
      <c r="D16" s="3">
        <v>7</v>
      </c>
      <c r="E16" s="10">
        <v>9.9063819699999993E-3</v>
      </c>
      <c r="F16" s="9">
        <v>10</v>
      </c>
      <c r="G16" s="9">
        <v>1000</v>
      </c>
      <c r="H16" s="9">
        <v>0.25095234199999999</v>
      </c>
      <c r="I16" s="8">
        <v>0.84045695899999995</v>
      </c>
      <c r="J16" s="8">
        <v>1.0252152960545799</v>
      </c>
      <c r="K16" s="8">
        <v>4</v>
      </c>
      <c r="L16" s="6"/>
      <c r="M16" s="11">
        <v>7.5058414299999999E-5</v>
      </c>
      <c r="N16" s="5">
        <v>0.17626807799999999</v>
      </c>
      <c r="O16" s="5">
        <v>652.55077900000003</v>
      </c>
      <c r="P16" s="5">
        <v>0.14280860000000001</v>
      </c>
      <c r="Q16" s="4">
        <v>2.0798484699999999</v>
      </c>
      <c r="R16" s="5">
        <v>0.98507623799999999</v>
      </c>
      <c r="S16" s="5">
        <v>289.26363700000002</v>
      </c>
      <c r="T16" s="5">
        <v>0.107430952</v>
      </c>
      <c r="U16" s="4">
        <v>0.65375787100000005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A672-7F8E-41CC-AEED-34134A92A78A}">
  <dimension ref="A1:U22"/>
  <sheetViews>
    <sheetView workbookViewId="0">
      <pane xSplit="1" topLeftCell="B1" activePane="topRight" state="frozen"/>
      <selection pane="topRight" activeCell="M3" sqref="M3:U22"/>
    </sheetView>
  </sheetViews>
  <sheetFormatPr baseColWidth="10" defaultColWidth="8.83203125" defaultRowHeight="15" x14ac:dyDescent="0.2"/>
  <cols>
    <col min="3" max="3" width="4.5" customWidth="1"/>
    <col min="4" max="4" width="5.33203125" customWidth="1"/>
  </cols>
  <sheetData>
    <row r="1" spans="1:21" x14ac:dyDescent="0.2">
      <c r="E1" t="s">
        <v>44</v>
      </c>
      <c r="M1" t="s">
        <v>45</v>
      </c>
    </row>
    <row r="2" spans="1:21" x14ac:dyDescent="0.2">
      <c r="B2" t="s">
        <v>48</v>
      </c>
      <c r="C2" s="3" t="s">
        <v>46</v>
      </c>
      <c r="D2" s="3" t="s">
        <v>47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">
      <c r="A3" t="s">
        <v>24</v>
      </c>
      <c r="B3" t="s">
        <v>52</v>
      </c>
      <c r="C3" s="3"/>
      <c r="D3" s="3"/>
      <c r="E3" s="2">
        <v>0.01</v>
      </c>
      <c r="F3" s="1">
        <v>0.28919645300000002</v>
      </c>
      <c r="G3" s="1">
        <v>127.423801</v>
      </c>
      <c r="H3" s="1">
        <v>0.14107438899999999</v>
      </c>
      <c r="I3" s="2">
        <v>0.96990171400000003</v>
      </c>
      <c r="J3" s="2"/>
      <c r="K3" s="2"/>
      <c r="M3" s="2">
        <v>9.0557138299999992E-3</v>
      </c>
      <c r="N3" s="1">
        <v>1.1630537700000001</v>
      </c>
      <c r="O3" s="1">
        <v>324.17728099999999</v>
      </c>
      <c r="P3" s="1">
        <v>0.25168019200000002</v>
      </c>
      <c r="Q3" s="2">
        <v>1.06167604</v>
      </c>
      <c r="R3" s="1">
        <v>0</v>
      </c>
      <c r="S3" s="1">
        <v>30.829998100000001</v>
      </c>
      <c r="T3" s="1">
        <v>0.105253311</v>
      </c>
      <c r="U3" s="2">
        <v>1.10407879</v>
      </c>
    </row>
    <row r="4" spans="1:21" x14ac:dyDescent="0.2">
      <c r="A4" t="s">
        <v>25</v>
      </c>
      <c r="B4" t="s">
        <v>53</v>
      </c>
      <c r="C4" s="3">
        <v>30</v>
      </c>
      <c r="D4" s="3">
        <v>3</v>
      </c>
      <c r="E4" s="2">
        <v>0</v>
      </c>
      <c r="F4" s="1">
        <v>1.87845679</v>
      </c>
      <c r="G4" s="1">
        <v>241.01575399999999</v>
      </c>
      <c r="H4" s="1">
        <v>9.4808323700000002E-2</v>
      </c>
      <c r="I4" s="2">
        <v>0.75634962500000003</v>
      </c>
      <c r="J4" s="2"/>
      <c r="K4" s="2"/>
      <c r="M4" s="2">
        <v>0</v>
      </c>
      <c r="N4" s="1">
        <v>3.6510943900000002E-2</v>
      </c>
      <c r="O4" s="1">
        <v>1000</v>
      </c>
      <c r="P4" s="1">
        <v>0.12977992899999999</v>
      </c>
      <c r="Q4" s="2">
        <v>1.58388167</v>
      </c>
      <c r="R4" s="1">
        <v>1.5399299500000001</v>
      </c>
      <c r="S4" s="1">
        <v>202.89173199999999</v>
      </c>
      <c r="T4" s="1">
        <v>7.5112729700000005E-2</v>
      </c>
      <c r="U4" s="2">
        <v>0.733373952</v>
      </c>
    </row>
    <row r="5" spans="1:21" x14ac:dyDescent="0.2">
      <c r="A5" t="s">
        <v>26</v>
      </c>
      <c r="B5" t="s">
        <v>50</v>
      </c>
      <c r="C5" s="3">
        <v>30</v>
      </c>
      <c r="D5" s="3">
        <v>3</v>
      </c>
      <c r="E5" s="2">
        <v>0.01</v>
      </c>
      <c r="F5" s="1">
        <v>8.6663268700000007</v>
      </c>
      <c r="G5" s="1">
        <v>211.235738</v>
      </c>
      <c r="H5" s="1">
        <v>0.25301732999999998</v>
      </c>
      <c r="I5" s="2">
        <v>0.881985295</v>
      </c>
      <c r="J5" s="2"/>
      <c r="K5" s="2"/>
      <c r="M5" s="2">
        <v>1.0495125100000001E-4</v>
      </c>
      <c r="N5" s="1">
        <v>1.2811934300000001</v>
      </c>
      <c r="O5" s="1">
        <v>127.27198</v>
      </c>
      <c r="P5" s="1">
        <v>0.205350967</v>
      </c>
      <c r="Q5" s="2">
        <v>1.58270066</v>
      </c>
      <c r="R5" s="1">
        <v>0.20895741900000001</v>
      </c>
      <c r="S5" s="1">
        <v>209.28931700000001</v>
      </c>
      <c r="T5" s="1">
        <v>9.55208949E-2</v>
      </c>
      <c r="U5" s="2">
        <v>0.61080824</v>
      </c>
    </row>
    <row r="6" spans="1:21" x14ac:dyDescent="0.2">
      <c r="A6" t="s">
        <v>27</v>
      </c>
      <c r="B6" t="s">
        <v>53</v>
      </c>
      <c r="C6" s="3">
        <v>60</v>
      </c>
      <c r="D6" s="3">
        <v>3</v>
      </c>
      <c r="E6" s="2">
        <v>0.01</v>
      </c>
      <c r="F6" s="1">
        <v>2.6760082600000001</v>
      </c>
      <c r="G6" s="1">
        <v>479.55563100000001</v>
      </c>
      <c r="H6" s="1">
        <v>0.18246638400000001</v>
      </c>
      <c r="I6" s="2">
        <v>1.2561392</v>
      </c>
      <c r="J6" s="2"/>
      <c r="K6" s="2"/>
      <c r="M6" s="2">
        <v>9.9879408400000008E-3</v>
      </c>
      <c r="N6" s="1">
        <v>12.2160569</v>
      </c>
      <c r="O6" s="1">
        <v>200.80007900000001</v>
      </c>
      <c r="P6" s="1">
        <v>0.28733642300000001</v>
      </c>
      <c r="Q6" s="2">
        <v>2.75305781</v>
      </c>
      <c r="R6" s="1">
        <v>0.31199249000000001</v>
      </c>
      <c r="S6" s="1">
        <v>272.18984999999998</v>
      </c>
      <c r="T6" s="1">
        <v>5.1436791099999997E-2</v>
      </c>
      <c r="U6" s="2">
        <v>1.5540677300000001</v>
      </c>
    </row>
    <row r="7" spans="1:21" x14ac:dyDescent="0.2">
      <c r="A7" t="s">
        <v>28</v>
      </c>
      <c r="B7" t="s">
        <v>50</v>
      </c>
      <c r="C7" s="3">
        <v>60</v>
      </c>
      <c r="D7" s="3">
        <v>3</v>
      </c>
      <c r="E7" s="2">
        <v>0.01</v>
      </c>
      <c r="F7" s="1">
        <v>5.0890730700000004</v>
      </c>
      <c r="G7" s="1">
        <v>490.05014</v>
      </c>
      <c r="H7" s="1">
        <v>0.21543820799999999</v>
      </c>
      <c r="I7" s="2">
        <v>0.95351946700000001</v>
      </c>
      <c r="J7" s="2"/>
      <c r="K7" s="2"/>
      <c r="M7" s="2">
        <v>0.01</v>
      </c>
      <c r="N7" s="1">
        <v>0</v>
      </c>
      <c r="O7" s="1">
        <v>2.1513110200000001</v>
      </c>
      <c r="P7" s="1">
        <v>0.21329190200000001</v>
      </c>
      <c r="Q7" s="2">
        <v>0.98792799799999997</v>
      </c>
      <c r="R7" s="1">
        <v>2.4546479200000002</v>
      </c>
      <c r="S7" s="1">
        <v>276.64735999999999</v>
      </c>
      <c r="T7" s="1">
        <v>0.154259959</v>
      </c>
      <c r="U7" s="2">
        <v>0.93676341200000002</v>
      </c>
    </row>
    <row r="8" spans="1:21" x14ac:dyDescent="0.2">
      <c r="A8" t="s">
        <v>29</v>
      </c>
      <c r="B8" t="s">
        <v>52</v>
      </c>
      <c r="C8" s="3"/>
      <c r="D8" s="3"/>
      <c r="E8" s="2">
        <v>0.01</v>
      </c>
      <c r="F8" s="1">
        <v>2.8459851</v>
      </c>
      <c r="G8" s="1">
        <v>119.603763</v>
      </c>
      <c r="H8" s="1">
        <v>0.22592078800000001</v>
      </c>
      <c r="I8" s="2">
        <v>0.75082335300000003</v>
      </c>
      <c r="J8" s="2"/>
      <c r="K8" s="2"/>
      <c r="M8" s="2">
        <v>1.4089711499999999E-4</v>
      </c>
      <c r="N8" s="1">
        <v>0.53519899199999998</v>
      </c>
      <c r="O8" s="1">
        <v>91.582177000000001</v>
      </c>
      <c r="P8" s="1">
        <v>0.17715937900000001</v>
      </c>
      <c r="Q8" s="2">
        <v>1.51541115</v>
      </c>
      <c r="R8" s="1">
        <v>0.110145916</v>
      </c>
      <c r="S8" s="1">
        <v>107.664485</v>
      </c>
      <c r="T8" s="1">
        <v>8.7620099300000004E-2</v>
      </c>
      <c r="U8" s="2">
        <v>-0.13147529099999999</v>
      </c>
    </row>
    <row r="9" spans="1:21" x14ac:dyDescent="0.2">
      <c r="A9" t="s">
        <v>30</v>
      </c>
      <c r="B9" t="s">
        <v>53</v>
      </c>
      <c r="C9" s="3">
        <v>30</v>
      </c>
      <c r="D9" s="3">
        <v>3</v>
      </c>
      <c r="E9" s="2">
        <v>0</v>
      </c>
      <c r="F9" s="1">
        <v>1.53428754</v>
      </c>
      <c r="G9" s="1">
        <v>1000</v>
      </c>
      <c r="H9" s="1">
        <v>0.16621359599999999</v>
      </c>
      <c r="I9" s="2">
        <v>0.79772997000000001</v>
      </c>
      <c r="J9" s="2"/>
      <c r="K9" s="2"/>
      <c r="M9" s="2">
        <v>0</v>
      </c>
      <c r="N9" s="1">
        <v>0</v>
      </c>
      <c r="O9" s="1">
        <v>52.418960400000003</v>
      </c>
      <c r="P9" s="1">
        <v>0.20671535499999999</v>
      </c>
      <c r="Q9" s="2">
        <v>1.60563207</v>
      </c>
      <c r="R9" s="1">
        <v>1.2180170400000001</v>
      </c>
      <c r="S9" s="1">
        <v>969.97912499999995</v>
      </c>
      <c r="T9" s="1">
        <v>0.15660199499999999</v>
      </c>
      <c r="U9" s="2">
        <v>0.79921194100000004</v>
      </c>
    </row>
    <row r="10" spans="1:21" x14ac:dyDescent="0.2">
      <c r="A10" t="s">
        <v>31</v>
      </c>
      <c r="B10" t="s">
        <v>50</v>
      </c>
      <c r="C10" s="3">
        <v>30</v>
      </c>
      <c r="D10" s="3">
        <v>3</v>
      </c>
      <c r="E10" s="2">
        <v>0.01</v>
      </c>
      <c r="F10" s="1">
        <v>1.2478966199999999</v>
      </c>
      <c r="G10" s="1">
        <v>458.00931300000002</v>
      </c>
      <c r="H10" s="1">
        <v>0.14096043999999999</v>
      </c>
      <c r="I10" s="2">
        <v>1.09156746</v>
      </c>
      <c r="J10" s="2"/>
      <c r="K10" s="2"/>
      <c r="M10" s="2">
        <v>0</v>
      </c>
      <c r="N10" s="1">
        <v>1.2054020400000001</v>
      </c>
      <c r="O10" s="1">
        <v>298.48058200000003</v>
      </c>
      <c r="P10" s="1">
        <v>0.202685376</v>
      </c>
      <c r="Q10" s="2">
        <v>1.0907225399999999E-3</v>
      </c>
      <c r="R10" s="1">
        <v>0.93243055500000005</v>
      </c>
      <c r="S10" s="1">
        <v>396.73460999999998</v>
      </c>
      <c r="T10" s="1">
        <v>0.12502047699999999</v>
      </c>
      <c r="U10" s="2">
        <v>1.1607288200000001</v>
      </c>
    </row>
    <row r="11" spans="1:21" x14ac:dyDescent="0.2">
      <c r="A11" t="s">
        <v>32</v>
      </c>
      <c r="B11" t="s">
        <v>53</v>
      </c>
      <c r="C11" s="3">
        <v>60</v>
      </c>
      <c r="D11" s="3">
        <v>3</v>
      </c>
    </row>
    <row r="12" spans="1:21" x14ac:dyDescent="0.2">
      <c r="A12" t="s">
        <v>33</v>
      </c>
      <c r="B12" t="s">
        <v>50</v>
      </c>
      <c r="C12" s="3">
        <v>60</v>
      </c>
      <c r="D12" s="3">
        <v>3</v>
      </c>
      <c r="E12" s="2">
        <v>0.01</v>
      </c>
      <c r="F12" s="1">
        <v>1.72577721</v>
      </c>
      <c r="G12" s="1">
        <v>791.41564600000004</v>
      </c>
      <c r="H12" s="1">
        <v>0.19259293</v>
      </c>
      <c r="I12" s="2">
        <v>0.96188366300000006</v>
      </c>
      <c r="J12" s="2"/>
      <c r="K12" s="2"/>
      <c r="M12" s="2">
        <v>8.8797088099999994E-3</v>
      </c>
      <c r="N12" s="1">
        <v>0</v>
      </c>
      <c r="O12" s="1">
        <v>47.934020199999999</v>
      </c>
      <c r="P12" s="1">
        <v>0.22422071800000001</v>
      </c>
      <c r="Q12" s="2">
        <v>1.0342574600000001</v>
      </c>
      <c r="R12" s="1">
        <v>1.2259943900000001</v>
      </c>
      <c r="S12" s="1">
        <v>504.44237199999998</v>
      </c>
      <c r="T12" s="1">
        <v>0.15074347900000001</v>
      </c>
      <c r="U12" s="2">
        <v>0.95295796399999999</v>
      </c>
    </row>
    <row r="13" spans="1:21" x14ac:dyDescent="0.2">
      <c r="A13" t="s">
        <v>34</v>
      </c>
      <c r="B13" t="s">
        <v>52</v>
      </c>
      <c r="C13" s="3"/>
      <c r="D13" s="3"/>
      <c r="E13" s="2">
        <v>2.3054864700000001E-4</v>
      </c>
      <c r="F13" s="1">
        <v>0.12275952</v>
      </c>
      <c r="G13" s="1">
        <v>273.661698</v>
      </c>
      <c r="H13" s="1">
        <v>0.15428287099999999</v>
      </c>
      <c r="I13" s="2">
        <v>0.87542310400000001</v>
      </c>
      <c r="J13" s="2"/>
      <c r="K13" s="2"/>
      <c r="M13" s="2">
        <v>0</v>
      </c>
      <c r="N13" s="1">
        <v>2.2730000600000001E-2</v>
      </c>
      <c r="O13" s="1">
        <v>310.791788</v>
      </c>
      <c r="P13" s="1">
        <v>0.15140542400000001</v>
      </c>
      <c r="Q13" s="2">
        <v>0.990722879</v>
      </c>
      <c r="R13" s="1">
        <v>9.8588583100000002E-2</v>
      </c>
      <c r="S13" s="1">
        <v>138.03174200000001</v>
      </c>
      <c r="T13" s="1">
        <v>9.62171047E-2</v>
      </c>
      <c r="U13" s="2">
        <v>0.60990904700000004</v>
      </c>
    </row>
    <row r="14" spans="1:21" x14ac:dyDescent="0.2">
      <c r="A14" t="s">
        <v>35</v>
      </c>
      <c r="B14" t="s">
        <v>53</v>
      </c>
      <c r="C14" s="3">
        <v>30</v>
      </c>
      <c r="D14" s="3">
        <v>3</v>
      </c>
      <c r="E14" s="2">
        <v>0.01</v>
      </c>
      <c r="F14" s="1">
        <v>0.86340525499999998</v>
      </c>
      <c r="G14" s="1">
        <v>370.08618100000001</v>
      </c>
      <c r="H14" s="1">
        <v>0.16711579200000001</v>
      </c>
      <c r="I14" s="2">
        <v>1.0471208299999999</v>
      </c>
      <c r="J14" s="2"/>
      <c r="K14" s="2"/>
      <c r="M14" s="2">
        <v>0</v>
      </c>
      <c r="N14" s="1">
        <v>0.98969070400000003</v>
      </c>
      <c r="O14" s="1">
        <v>442.11053700000002</v>
      </c>
      <c r="P14" s="1">
        <v>0.21337298499999999</v>
      </c>
      <c r="Q14" s="2">
        <v>2.43098137</v>
      </c>
      <c r="R14" s="1">
        <v>0.14702066599999999</v>
      </c>
      <c r="S14" s="1">
        <v>210.52828199999999</v>
      </c>
      <c r="T14" s="1">
        <v>7.2613595000000003E-2</v>
      </c>
      <c r="U14" s="2">
        <v>1.1319582800000001</v>
      </c>
    </row>
    <row r="15" spans="1:21" x14ac:dyDescent="0.2">
      <c r="A15" t="s">
        <v>36</v>
      </c>
      <c r="B15" t="s">
        <v>50</v>
      </c>
      <c r="C15" s="3">
        <v>30</v>
      </c>
      <c r="D15" s="3">
        <v>3</v>
      </c>
      <c r="E15" s="2">
        <v>0.01</v>
      </c>
      <c r="F15" s="1">
        <v>0.382783184</v>
      </c>
      <c r="G15" s="1">
        <v>222.84439599999999</v>
      </c>
      <c r="H15" s="1">
        <v>0.120301038</v>
      </c>
      <c r="I15" s="2">
        <v>1.0163299699999999</v>
      </c>
      <c r="J15" s="2"/>
      <c r="K15" s="2"/>
      <c r="M15" s="2">
        <v>9.7527788499999997E-5</v>
      </c>
      <c r="N15" s="1">
        <v>9.4765872900000006E-2</v>
      </c>
      <c r="O15" s="1">
        <v>336.32519500000001</v>
      </c>
      <c r="P15" s="1">
        <v>0.16652515400000001</v>
      </c>
      <c r="Q15" s="2">
        <v>1.4145982100000001</v>
      </c>
      <c r="R15" s="1">
        <v>0.257828691</v>
      </c>
      <c r="S15" s="1">
        <v>216.69210200000001</v>
      </c>
      <c r="T15" s="1">
        <v>7.6099663499999998E-2</v>
      </c>
      <c r="U15" s="2">
        <v>0.72156271900000002</v>
      </c>
    </row>
    <row r="16" spans="1:21" x14ac:dyDescent="0.2">
      <c r="A16" t="s">
        <v>37</v>
      </c>
      <c r="B16" t="s">
        <v>53</v>
      </c>
      <c r="C16" s="3">
        <v>60</v>
      </c>
      <c r="D16" s="3">
        <v>3</v>
      </c>
      <c r="E16" s="2">
        <v>0.01</v>
      </c>
      <c r="F16" s="1">
        <v>1.1791233299999999</v>
      </c>
      <c r="G16" s="1">
        <v>317.760471</v>
      </c>
      <c r="H16" s="1">
        <v>7.1312230599999998E-2</v>
      </c>
      <c r="I16" s="2">
        <v>1.15505254</v>
      </c>
      <c r="J16" s="2"/>
      <c r="K16" s="2"/>
      <c r="M16" s="2">
        <v>0</v>
      </c>
      <c r="N16" s="1">
        <v>1.2086918799999999</v>
      </c>
      <c r="O16" s="1">
        <v>42.036540199999997</v>
      </c>
      <c r="P16" s="1">
        <v>0.12775836400000001</v>
      </c>
      <c r="Q16" s="2">
        <v>-2.4080806E-2</v>
      </c>
      <c r="R16" s="1">
        <v>1.2597823800000001</v>
      </c>
      <c r="S16" s="1">
        <v>316.34777400000002</v>
      </c>
      <c r="T16" s="1">
        <v>7.9812147799999997E-2</v>
      </c>
      <c r="U16" s="2">
        <v>1.2071975399999999</v>
      </c>
    </row>
    <row r="17" spans="1:21" x14ac:dyDescent="0.2">
      <c r="A17" t="s">
        <v>38</v>
      </c>
      <c r="B17" t="s">
        <v>50</v>
      </c>
      <c r="C17" s="3">
        <v>60</v>
      </c>
      <c r="D17" s="3">
        <v>3</v>
      </c>
      <c r="E17" s="2">
        <v>0.01</v>
      </c>
      <c r="F17" s="1">
        <v>1.7380753200000001</v>
      </c>
      <c r="G17" s="1">
        <v>358.429014</v>
      </c>
      <c r="H17" s="1">
        <v>0.22905874600000001</v>
      </c>
      <c r="I17" s="2">
        <v>0.59102109599999997</v>
      </c>
      <c r="J17" s="2"/>
      <c r="K17" s="2"/>
      <c r="M17" s="2">
        <v>0</v>
      </c>
      <c r="N17" s="1">
        <v>0.39492650200000001</v>
      </c>
      <c r="O17" s="1">
        <v>226.478567</v>
      </c>
      <c r="P17" s="1">
        <v>0.19011355599999999</v>
      </c>
      <c r="Q17" s="2">
        <v>1.02003614</v>
      </c>
      <c r="R17" s="1">
        <v>0.25752373200000001</v>
      </c>
      <c r="S17" s="1">
        <v>172.171561</v>
      </c>
      <c r="T17" s="1">
        <v>0.133516154</v>
      </c>
      <c r="U17" s="2">
        <v>0.460027362</v>
      </c>
    </row>
    <row r="18" spans="1:21" x14ac:dyDescent="0.2">
      <c r="A18" t="s">
        <v>39</v>
      </c>
      <c r="B18" t="s">
        <v>52</v>
      </c>
      <c r="C18" s="3"/>
      <c r="D18" s="3"/>
      <c r="E18" s="2">
        <v>0.01</v>
      </c>
      <c r="F18" s="1">
        <v>2.0755621099999999</v>
      </c>
      <c r="G18" s="1">
        <v>329.25475399999999</v>
      </c>
      <c r="H18" s="1">
        <v>0.23297663599999999</v>
      </c>
      <c r="I18" s="2">
        <v>1.03838914</v>
      </c>
      <c r="J18" s="2"/>
      <c r="K18" s="2"/>
      <c r="M18" s="2">
        <v>2.2752823499999999E-4</v>
      </c>
      <c r="N18" s="1">
        <v>0.37474575799999998</v>
      </c>
      <c r="O18" s="1">
        <v>596.298992</v>
      </c>
      <c r="P18" s="1">
        <v>0.23811626799999999</v>
      </c>
      <c r="Q18" s="2">
        <v>1.5761813200000001</v>
      </c>
      <c r="R18" s="1">
        <v>0.25920627000000002</v>
      </c>
      <c r="S18" s="1">
        <v>99.388516600000003</v>
      </c>
      <c r="T18" s="1">
        <v>0.10750217199999999</v>
      </c>
      <c r="U18" s="2">
        <v>0.64752091099999998</v>
      </c>
    </row>
    <row r="19" spans="1:21" x14ac:dyDescent="0.2">
      <c r="A19" t="s">
        <v>40</v>
      </c>
      <c r="B19" t="s">
        <v>53</v>
      </c>
      <c r="C19" s="3">
        <v>30</v>
      </c>
      <c r="D19" s="3">
        <v>3</v>
      </c>
      <c r="E19" s="2">
        <v>0.01</v>
      </c>
      <c r="F19" s="1">
        <v>0.52186532600000002</v>
      </c>
      <c r="G19" s="1">
        <v>200.40101100000001</v>
      </c>
      <c r="H19" s="1">
        <v>0</v>
      </c>
      <c r="I19" s="2">
        <v>0.98789606900000004</v>
      </c>
      <c r="J19" s="2"/>
      <c r="K19" s="2"/>
      <c r="M19" s="2">
        <v>0</v>
      </c>
      <c r="N19" s="1">
        <v>1.0777659399999999</v>
      </c>
      <c r="O19" s="1">
        <v>0</v>
      </c>
      <c r="P19" s="1">
        <v>0.16537010599999999</v>
      </c>
      <c r="Q19" s="2">
        <v>-3.5176148300000001E-2</v>
      </c>
      <c r="R19" s="1">
        <v>0.80410408600000005</v>
      </c>
      <c r="S19" s="1">
        <v>284.62208199999998</v>
      </c>
      <c r="T19" s="1">
        <v>6.8907807799999998E-2</v>
      </c>
      <c r="U19" s="2">
        <v>1.0119267599999999</v>
      </c>
    </row>
    <row r="20" spans="1:21" x14ac:dyDescent="0.2">
      <c r="A20" t="s">
        <v>41</v>
      </c>
      <c r="B20" t="s">
        <v>50</v>
      </c>
      <c r="C20" s="3">
        <v>30</v>
      </c>
      <c r="D20" s="3">
        <v>3</v>
      </c>
      <c r="E20" s="2">
        <v>0</v>
      </c>
      <c r="F20" s="1">
        <v>3.35974678</v>
      </c>
      <c r="G20" s="1">
        <v>246.587535</v>
      </c>
      <c r="H20" s="1">
        <v>0.21201147400000001</v>
      </c>
      <c r="I20" s="2">
        <v>0.93754465799999998</v>
      </c>
      <c r="J20" s="2"/>
      <c r="K20" s="2"/>
      <c r="M20" s="2">
        <v>0</v>
      </c>
      <c r="N20" s="1">
        <v>0.51013756499999996</v>
      </c>
      <c r="O20" s="1">
        <v>383.23388499999999</v>
      </c>
      <c r="P20" s="1">
        <v>0.177475361</v>
      </c>
      <c r="Q20" s="2">
        <v>1.91038321</v>
      </c>
      <c r="R20" s="1">
        <v>0.18508060400000001</v>
      </c>
      <c r="S20" s="1">
        <v>181.78591900000001</v>
      </c>
      <c r="T20" s="1">
        <v>0.12697473400000001</v>
      </c>
      <c r="U20" s="2">
        <v>0.71879542500000004</v>
      </c>
    </row>
    <row r="21" spans="1:21" x14ac:dyDescent="0.2">
      <c r="A21" t="s">
        <v>42</v>
      </c>
      <c r="B21" t="s">
        <v>53</v>
      </c>
      <c r="C21" s="3">
        <v>60</v>
      </c>
      <c r="D21" s="3">
        <v>3</v>
      </c>
      <c r="E21" s="2">
        <v>0</v>
      </c>
      <c r="F21" s="1">
        <v>3.9999526200000002</v>
      </c>
      <c r="G21" s="1">
        <v>461.69701800000001</v>
      </c>
      <c r="H21" s="1">
        <v>0.16877410100000001</v>
      </c>
      <c r="I21" s="2">
        <v>0.90522606500000002</v>
      </c>
      <c r="J21" s="2"/>
      <c r="K21" s="2"/>
      <c r="M21" s="2">
        <v>0</v>
      </c>
      <c r="N21" s="1">
        <v>0</v>
      </c>
      <c r="O21" s="1">
        <v>45.194447599999997</v>
      </c>
      <c r="P21" s="1">
        <v>0.248476009</v>
      </c>
      <c r="Q21" s="2">
        <v>0.82891212199999997</v>
      </c>
      <c r="R21" s="1">
        <v>4.81961963</v>
      </c>
      <c r="S21" s="1">
        <v>525.25088700000003</v>
      </c>
      <c r="T21" s="1">
        <v>0.18422671900000001</v>
      </c>
      <c r="U21" s="2">
        <v>0.90844512700000002</v>
      </c>
    </row>
    <row r="22" spans="1:21" x14ac:dyDescent="0.2">
      <c r="A22" t="s">
        <v>43</v>
      </c>
      <c r="B22" t="s">
        <v>50</v>
      </c>
      <c r="C22" s="3">
        <v>60</v>
      </c>
      <c r="D22" s="3">
        <v>3</v>
      </c>
      <c r="E22" s="2">
        <v>0.01</v>
      </c>
      <c r="F22" s="1">
        <v>5.9028771799999999</v>
      </c>
      <c r="G22" s="1">
        <v>217.47785400000001</v>
      </c>
      <c r="H22" s="1">
        <v>0.242642681</v>
      </c>
      <c r="I22" s="2">
        <v>1.0471182400000001</v>
      </c>
      <c r="J22" s="2"/>
      <c r="K22" s="2"/>
      <c r="M22" s="2">
        <v>5.5274771199999999E-5</v>
      </c>
      <c r="N22" s="1">
        <v>1.40103573</v>
      </c>
      <c r="O22" s="1">
        <v>147.89307600000001</v>
      </c>
      <c r="P22" s="1">
        <v>0.16374208100000001</v>
      </c>
      <c r="Q22" s="2">
        <v>1.5383313000000001</v>
      </c>
      <c r="R22" s="1">
        <v>2.2072216200000001E-2</v>
      </c>
      <c r="S22" s="1">
        <v>183.13334499999999</v>
      </c>
      <c r="T22" s="1">
        <v>9.2381939400000002E-2</v>
      </c>
      <c r="U22" s="2">
        <v>-3.4712697700000003E-2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955C-F697-4496-BB72-C48B479C65AD}">
  <dimension ref="A1:V13"/>
  <sheetViews>
    <sheetView zoomScale="90" zoomScaleNormal="90" workbookViewId="0">
      <pane xSplit="1" topLeftCell="B1" activePane="topRight" state="frozen"/>
      <selection pane="topRight" activeCell="H34" sqref="H34"/>
    </sheetView>
  </sheetViews>
  <sheetFormatPr baseColWidth="10" defaultColWidth="8.83203125" defaultRowHeight="15" x14ac:dyDescent="0.2"/>
  <cols>
    <col min="16" max="16" width="9.33203125" bestFit="1" customWidth="1"/>
  </cols>
  <sheetData>
    <row r="1" spans="1:22" x14ac:dyDescent="0.2">
      <c r="E1" t="s">
        <v>44</v>
      </c>
      <c r="M1" t="s">
        <v>45</v>
      </c>
    </row>
    <row r="2" spans="1:22" x14ac:dyDescent="0.2">
      <c r="D2" t="s">
        <v>48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2" x14ac:dyDescent="0.2">
      <c r="A3" t="s">
        <v>94</v>
      </c>
      <c r="B3" t="s">
        <v>52</v>
      </c>
      <c r="C3" t="s">
        <v>52</v>
      </c>
      <c r="D3" t="s">
        <v>52</v>
      </c>
      <c r="E3" s="2">
        <v>0.01</v>
      </c>
      <c r="F3" s="1">
        <v>10</v>
      </c>
      <c r="G3" s="1">
        <v>212.858417</v>
      </c>
      <c r="H3" s="1">
        <v>0.29616853300000001</v>
      </c>
      <c r="I3" s="2">
        <v>0.91067726800000004</v>
      </c>
      <c r="M3" s="2">
        <v>1.2520716199999999E-3</v>
      </c>
      <c r="N3" s="1">
        <v>8.8349592699999993E-2</v>
      </c>
      <c r="O3" s="1">
        <v>670.75370599999997</v>
      </c>
      <c r="P3" s="1">
        <v>0.156536907</v>
      </c>
      <c r="Q3" s="2">
        <v>1.5452029300000001</v>
      </c>
      <c r="R3" s="1">
        <v>0.31601915600000002</v>
      </c>
      <c r="S3" s="1">
        <v>446.210309</v>
      </c>
      <c r="T3" s="1">
        <v>0.17429670899999999</v>
      </c>
      <c r="U3" s="2">
        <v>0.55420891100000003</v>
      </c>
      <c r="V3" t="s">
        <v>102</v>
      </c>
    </row>
    <row r="4" spans="1:22" x14ac:dyDescent="0.2">
      <c r="A4" t="s">
        <v>93</v>
      </c>
      <c r="B4" t="s">
        <v>52</v>
      </c>
      <c r="C4" t="s">
        <v>52</v>
      </c>
      <c r="D4" t="s">
        <v>52</v>
      </c>
      <c r="E4" s="2">
        <v>0.01</v>
      </c>
      <c r="F4" s="1">
        <v>0.22335985999999999</v>
      </c>
      <c r="G4" s="1">
        <v>1000</v>
      </c>
      <c r="H4" s="1">
        <v>0.113948063</v>
      </c>
      <c r="I4" s="2">
        <v>0.78421327600000001</v>
      </c>
      <c r="M4" s="2">
        <v>0</v>
      </c>
      <c r="N4" s="1">
        <v>0.224893805</v>
      </c>
      <c r="O4" s="1">
        <v>534.34323500000005</v>
      </c>
      <c r="P4" s="1">
        <v>0.158318615</v>
      </c>
      <c r="Q4" s="2">
        <v>0.17838717500000001</v>
      </c>
      <c r="R4" s="1">
        <v>0.36049441300000001</v>
      </c>
      <c r="S4" s="1">
        <v>1000</v>
      </c>
      <c r="T4" s="1">
        <v>0.108761462</v>
      </c>
      <c r="U4" s="2">
        <v>2.0605237199999999</v>
      </c>
      <c r="V4" t="s">
        <v>102</v>
      </c>
    </row>
    <row r="5" spans="1:22" x14ac:dyDescent="0.2">
      <c r="A5" t="s">
        <v>87</v>
      </c>
      <c r="B5" t="s">
        <v>92</v>
      </c>
      <c r="C5" t="s">
        <v>53</v>
      </c>
      <c r="D5" t="s">
        <v>72</v>
      </c>
      <c r="E5" s="2">
        <v>0</v>
      </c>
      <c r="F5" s="1">
        <v>2.1277172100000001</v>
      </c>
      <c r="G5" s="1">
        <v>584.09171900000001</v>
      </c>
      <c r="H5" s="1">
        <v>0.21303164099999999</v>
      </c>
      <c r="I5" s="2">
        <v>0.90017050499999995</v>
      </c>
      <c r="M5" s="2">
        <v>1.41575562E-3</v>
      </c>
      <c r="N5" s="1">
        <v>1.5469702000000001</v>
      </c>
      <c r="O5" s="1">
        <v>640.45762000000002</v>
      </c>
      <c r="P5" s="1">
        <v>0.22416863100000001</v>
      </c>
      <c r="Q5" s="2">
        <v>1.1667804500000001</v>
      </c>
      <c r="R5" s="1">
        <v>3.1495727799999998E-2</v>
      </c>
      <c r="S5" s="1">
        <v>642.70847400000002</v>
      </c>
      <c r="T5" s="1">
        <v>0.11692728300000001</v>
      </c>
      <c r="U5" s="2">
        <v>0.63562992100000004</v>
      </c>
      <c r="V5" t="s">
        <v>102</v>
      </c>
    </row>
    <row r="6" spans="1:22" x14ac:dyDescent="0.2">
      <c r="A6" t="s">
        <v>88</v>
      </c>
      <c r="B6" t="s">
        <v>84</v>
      </c>
      <c r="C6" t="s">
        <v>53</v>
      </c>
      <c r="D6" t="s">
        <v>81</v>
      </c>
      <c r="M6" s="2">
        <v>0</v>
      </c>
      <c r="N6" s="1">
        <v>0</v>
      </c>
      <c r="O6" s="1">
        <v>703.29764399999999</v>
      </c>
      <c r="P6" s="1">
        <v>0.12002396799999999</v>
      </c>
      <c r="Q6" s="2">
        <v>0.91116032599999996</v>
      </c>
      <c r="R6" s="1">
        <v>0.96017881800000004</v>
      </c>
      <c r="S6" s="1">
        <v>1000</v>
      </c>
      <c r="T6" s="1">
        <v>3.4588192100000002E-3</v>
      </c>
      <c r="U6" s="2">
        <v>1.09722915</v>
      </c>
      <c r="V6" t="s">
        <v>102</v>
      </c>
    </row>
    <row r="7" spans="1:22" x14ac:dyDescent="0.2">
      <c r="A7" t="s">
        <v>89</v>
      </c>
      <c r="B7" t="s">
        <v>92</v>
      </c>
      <c r="C7" t="s">
        <v>53</v>
      </c>
      <c r="D7" t="s">
        <v>91</v>
      </c>
      <c r="E7" s="2">
        <v>0.01</v>
      </c>
      <c r="F7" s="1">
        <v>0.11293608400000001</v>
      </c>
      <c r="G7" s="1">
        <v>311.053494</v>
      </c>
      <c r="H7" s="1">
        <v>6.3804930300000007E-2</v>
      </c>
      <c r="I7" s="2">
        <v>1.0828361</v>
      </c>
      <c r="M7" s="2">
        <v>7.8401315200000005E-6</v>
      </c>
      <c r="N7" s="1">
        <v>2.0299385099999999E-3</v>
      </c>
      <c r="O7" s="1">
        <v>405.69654500000001</v>
      </c>
      <c r="P7" s="1">
        <v>1.04904439E-4</v>
      </c>
      <c r="Q7" s="2">
        <v>1.06273404</v>
      </c>
      <c r="R7" s="1">
        <v>9.0498871199999997E-2</v>
      </c>
      <c r="S7" s="1">
        <v>232.06573499999999</v>
      </c>
      <c r="T7" s="1">
        <v>0.122705118</v>
      </c>
      <c r="U7" s="2">
        <v>0.64763296299999995</v>
      </c>
      <c r="V7" t="s">
        <v>102</v>
      </c>
    </row>
    <row r="8" spans="1:22" x14ac:dyDescent="0.2">
      <c r="A8" t="s">
        <v>90</v>
      </c>
      <c r="B8" t="s">
        <v>84</v>
      </c>
      <c r="C8" t="s">
        <v>53</v>
      </c>
      <c r="D8" t="s">
        <v>73</v>
      </c>
      <c r="E8" s="2">
        <v>0.01</v>
      </c>
      <c r="F8" s="1">
        <v>2.4616301699999998</v>
      </c>
      <c r="G8" s="1">
        <v>1000</v>
      </c>
      <c r="H8" s="1">
        <v>0.187050723</v>
      </c>
      <c r="I8" s="2">
        <v>0.79754022099999999</v>
      </c>
      <c r="M8" s="2">
        <v>9.9947144900000007E-3</v>
      </c>
      <c r="N8" s="1">
        <v>0.13363139800000001</v>
      </c>
      <c r="O8" s="1">
        <v>292.32991199999998</v>
      </c>
      <c r="P8" s="1">
        <v>2.7425292499999999E-5</v>
      </c>
      <c r="Q8" s="2">
        <v>-1.5707987800000001</v>
      </c>
      <c r="R8" s="1">
        <v>0.176975242</v>
      </c>
      <c r="S8" s="1">
        <v>412.58765699999998</v>
      </c>
      <c r="T8" s="1">
        <v>4.1391769500000002E-3</v>
      </c>
      <c r="U8" s="2">
        <v>0.357201353</v>
      </c>
      <c r="V8" t="s">
        <v>102</v>
      </c>
    </row>
    <row r="11" spans="1:22" x14ac:dyDescent="0.2">
      <c r="M11" s="2"/>
      <c r="N11" s="1"/>
      <c r="O11" s="1"/>
      <c r="P11" s="1"/>
    </row>
    <row r="12" spans="1:22" x14ac:dyDescent="0.2">
      <c r="M12" s="14"/>
    </row>
    <row r="13" spans="1:22" x14ac:dyDescent="0.2">
      <c r="M13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699C-EE4B-4FEE-8202-727B08E0AC20}">
  <dimension ref="A1:BJ30"/>
  <sheetViews>
    <sheetView zoomScaleNormal="100" workbookViewId="0">
      <selection activeCell="E20" sqref="E20"/>
    </sheetView>
  </sheetViews>
  <sheetFormatPr baseColWidth="10" defaultColWidth="8.83203125" defaultRowHeight="15" x14ac:dyDescent="0.2"/>
  <cols>
    <col min="3" max="3" width="6.1640625" customWidth="1"/>
    <col min="8" max="8" width="9.1640625" bestFit="1" customWidth="1"/>
    <col min="12" max="12" width="9.1640625" bestFit="1" customWidth="1"/>
  </cols>
  <sheetData>
    <row r="1" spans="1:62" x14ac:dyDescent="0.2">
      <c r="P1" t="s">
        <v>118</v>
      </c>
      <c r="Q1" t="s">
        <v>119</v>
      </c>
      <c r="T1" t="s">
        <v>121</v>
      </c>
      <c r="U1" t="s">
        <v>120</v>
      </c>
    </row>
    <row r="2" spans="1:62" x14ac:dyDescent="0.2">
      <c r="D2" t="s">
        <v>11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N2" t="s">
        <v>114</v>
      </c>
      <c r="O2" t="s">
        <v>115</v>
      </c>
      <c r="P2" t="s">
        <v>110</v>
      </c>
      <c r="Q2" t="s">
        <v>111</v>
      </c>
      <c r="R2" t="s">
        <v>116</v>
      </c>
      <c r="S2" t="s">
        <v>117</v>
      </c>
      <c r="T2" t="s">
        <v>112</v>
      </c>
      <c r="U2" t="s">
        <v>113</v>
      </c>
    </row>
    <row r="3" spans="1:62" x14ac:dyDescent="0.2">
      <c r="A3" s="16" t="s">
        <v>95</v>
      </c>
      <c r="B3" t="s">
        <v>94</v>
      </c>
      <c r="C3" t="s">
        <v>96</v>
      </c>
      <c r="D3" s="2">
        <v>1.2520716199999999E-3</v>
      </c>
      <c r="E3" s="1">
        <v>8.8349592699999993E-2</v>
      </c>
      <c r="F3" s="1">
        <v>670.75370599999997</v>
      </c>
      <c r="G3" s="1">
        <v>0.156536907</v>
      </c>
      <c r="H3" s="2">
        <v>1.5452029300000001</v>
      </c>
      <c r="I3" s="1">
        <v>0.31601915600000002</v>
      </c>
      <c r="J3" s="1">
        <v>446.210309</v>
      </c>
      <c r="K3" s="1">
        <v>0.17429670899999999</v>
      </c>
      <c r="L3" s="2">
        <v>0.55420891100000003</v>
      </c>
      <c r="M3">
        <v>1.0395116035575611</v>
      </c>
      <c r="N3">
        <v>1.0224822248789724</v>
      </c>
      <c r="O3">
        <v>7.2715659738917275E-3</v>
      </c>
      <c r="P3">
        <v>0.30808678332961387</v>
      </c>
      <c r="Q3">
        <v>-7.9997021928312302</v>
      </c>
      <c r="R3">
        <v>1.0191506201833505</v>
      </c>
      <c r="S3">
        <v>5.0063037203028262E-3</v>
      </c>
      <c r="T3">
        <v>0.2487465905626316</v>
      </c>
      <c r="U3">
        <v>12.231362880951099</v>
      </c>
    </row>
    <row r="4" spans="1:62" x14ac:dyDescent="0.2">
      <c r="A4" s="16" t="s">
        <v>95</v>
      </c>
      <c r="B4" t="s">
        <v>65</v>
      </c>
      <c r="C4" t="s">
        <v>103</v>
      </c>
      <c r="D4" s="2">
        <v>0</v>
      </c>
      <c r="E4" s="1">
        <v>0.332111184</v>
      </c>
      <c r="F4" s="1">
        <v>657.62122899999997</v>
      </c>
      <c r="G4" s="1">
        <v>0.15755595</v>
      </c>
      <c r="H4" s="2">
        <v>1.1226544199999999</v>
      </c>
      <c r="I4" s="1">
        <v>0.78984352400000002</v>
      </c>
      <c r="J4" s="1">
        <v>343.88025399999998</v>
      </c>
      <c r="K4" s="1">
        <v>0.190081629</v>
      </c>
      <c r="L4" s="2">
        <v>0.829466166</v>
      </c>
      <c r="M4">
        <v>1.0431732628415338</v>
      </c>
      <c r="N4">
        <v>1.0168479277507689</v>
      </c>
      <c r="O4">
        <v>9.3069492368843213E-3</v>
      </c>
      <c r="P4">
        <v>0.53226304609573549</v>
      </c>
      <c r="Q4">
        <v>-11.524887437433447</v>
      </c>
      <c r="R4">
        <v>1.0244687444336531</v>
      </c>
      <c r="S4">
        <v>2.6377145659225845E-2</v>
      </c>
      <c r="T4">
        <v>1.0335354523775409</v>
      </c>
      <c r="U4">
        <v>25.666830537801058</v>
      </c>
      <c r="AY4" t="s">
        <v>152</v>
      </c>
      <c r="AZ4" t="s">
        <v>153</v>
      </c>
      <c r="BA4" t="s">
        <v>154</v>
      </c>
    </row>
    <row r="5" spans="1:62" x14ac:dyDescent="0.2">
      <c r="A5" s="16" t="s">
        <v>95</v>
      </c>
      <c r="B5" t="s">
        <v>66</v>
      </c>
      <c r="C5" t="s">
        <v>103</v>
      </c>
      <c r="D5" s="2">
        <v>0</v>
      </c>
      <c r="E5" s="1">
        <v>0.55247207700000001</v>
      </c>
      <c r="F5" s="1">
        <v>185.993506</v>
      </c>
      <c r="G5" s="1">
        <v>0.20824074100000001</v>
      </c>
      <c r="H5" s="2">
        <v>1.9931537500000001</v>
      </c>
      <c r="I5" s="1">
        <v>0.123449461</v>
      </c>
      <c r="J5" s="1">
        <v>189.32383899999999</v>
      </c>
      <c r="K5" s="1">
        <v>0.22045748800000001</v>
      </c>
      <c r="L5" s="2">
        <v>0.178986168</v>
      </c>
      <c r="M5">
        <v>1.0804410598572027</v>
      </c>
      <c r="N5">
        <v>1.0239104064336699</v>
      </c>
      <c r="O5">
        <v>6.2954096703122259E-3</v>
      </c>
      <c r="P5">
        <v>0.24852953484068047</v>
      </c>
      <c r="Q5">
        <v>48.182654892820089</v>
      </c>
      <c r="R5">
        <v>1.0422105739583043</v>
      </c>
      <c r="S5">
        <v>1.640776580558749E-2</v>
      </c>
      <c r="T5">
        <v>0.36814723506101898</v>
      </c>
      <c r="U5">
        <v>9.5589600528246184</v>
      </c>
      <c r="AY5" t="s">
        <v>99</v>
      </c>
      <c r="AZ5" s="1">
        <v>0</v>
      </c>
      <c r="BA5">
        <v>1</v>
      </c>
    </row>
    <row r="6" spans="1:62" x14ac:dyDescent="0.2">
      <c r="A6" s="17" t="s">
        <v>98</v>
      </c>
      <c r="B6" t="s">
        <v>75</v>
      </c>
      <c r="C6" t="s">
        <v>97</v>
      </c>
      <c r="D6" s="2">
        <v>0</v>
      </c>
      <c r="E6" s="1">
        <v>29.1056366</v>
      </c>
      <c r="F6" s="1">
        <v>678.824612</v>
      </c>
      <c r="G6" s="1">
        <v>0.33333333300000001</v>
      </c>
      <c r="H6" s="2">
        <v>1.8108392600000001</v>
      </c>
      <c r="I6" s="1">
        <v>0.21495415200000001</v>
      </c>
      <c r="J6" s="1">
        <v>528.20192699999996</v>
      </c>
      <c r="K6" s="1">
        <v>0.131934834</v>
      </c>
      <c r="L6" s="2">
        <v>1.1153321599999999</v>
      </c>
      <c r="M6">
        <v>1.0549086700786277</v>
      </c>
      <c r="N6">
        <v>1.0164771022756751</v>
      </c>
      <c r="O6">
        <v>5.2696173119710877E-3</v>
      </c>
      <c r="P6">
        <v>0.29578176588648125</v>
      </c>
      <c r="Q6">
        <v>-89.473361423260826</v>
      </c>
      <c r="R6">
        <v>1.0225229996859</v>
      </c>
      <c r="S6">
        <v>1.1958649556241752E-2</v>
      </c>
      <c r="T6">
        <v>0.4863746992308845</v>
      </c>
      <c r="U6">
        <v>23.140630590215</v>
      </c>
      <c r="AY6" t="s">
        <v>99</v>
      </c>
      <c r="AZ6" s="1">
        <v>0.158137745</v>
      </c>
      <c r="BA6">
        <v>2</v>
      </c>
    </row>
    <row r="7" spans="1:62" x14ac:dyDescent="0.2">
      <c r="A7" s="17" t="s">
        <v>98</v>
      </c>
      <c r="B7" t="s">
        <v>76</v>
      </c>
      <c r="C7" t="s">
        <v>97</v>
      </c>
      <c r="D7" s="2">
        <v>0</v>
      </c>
      <c r="E7" s="1">
        <v>1.04531113</v>
      </c>
      <c r="F7" s="1">
        <v>1000</v>
      </c>
      <c r="G7" s="1">
        <v>0.24532683699999999</v>
      </c>
      <c r="H7" s="2">
        <v>1.1848106</v>
      </c>
      <c r="I7" s="1">
        <v>0.23331360100000001</v>
      </c>
      <c r="J7" s="1">
        <v>393.52626800000002</v>
      </c>
      <c r="K7" s="1">
        <v>0.117878949</v>
      </c>
      <c r="L7" s="2">
        <v>0.61937839699999997</v>
      </c>
      <c r="M7">
        <v>1.041955560882295</v>
      </c>
      <c r="N7">
        <v>1.0083487217346887</v>
      </c>
      <c r="O7">
        <v>5.4564577158303486E-3</v>
      </c>
      <c r="P7">
        <v>0.62577989215640017</v>
      </c>
      <c r="Q7">
        <v>-34.918957130291325</v>
      </c>
      <c r="R7">
        <v>1.021805403288423</v>
      </c>
      <c r="S7">
        <v>8.9842031568079135E-3</v>
      </c>
      <c r="T7">
        <v>0.39601507883104697</v>
      </c>
      <c r="U7">
        <v>19.037204205794851</v>
      </c>
      <c r="AY7" t="s">
        <v>98</v>
      </c>
      <c r="AZ7" s="1">
        <v>0.224893805</v>
      </c>
      <c r="BA7">
        <v>3</v>
      </c>
    </row>
    <row r="8" spans="1:62" x14ac:dyDescent="0.2">
      <c r="A8" s="17" t="s">
        <v>98</v>
      </c>
      <c r="B8" t="s">
        <v>93</v>
      </c>
      <c r="C8" t="s">
        <v>96</v>
      </c>
      <c r="D8" s="2">
        <v>0</v>
      </c>
      <c r="E8" s="1">
        <v>0.224893805</v>
      </c>
      <c r="F8" s="1">
        <v>534.34323500000005</v>
      </c>
      <c r="G8" s="1">
        <v>0.158318615</v>
      </c>
      <c r="H8" s="2">
        <v>0.17838717500000001</v>
      </c>
      <c r="I8" s="1">
        <v>0.36049441300000001</v>
      </c>
      <c r="J8" s="1">
        <v>1000</v>
      </c>
      <c r="K8" s="1">
        <v>0.108761462</v>
      </c>
      <c r="L8" s="2">
        <v>2.0605237199999999</v>
      </c>
      <c r="M8">
        <v>1.0292750271509103</v>
      </c>
      <c r="N8">
        <v>1.0146815297981917</v>
      </c>
      <c r="O8">
        <v>9.6170835699871445E-3</v>
      </c>
      <c r="P8">
        <v>0.62082219581818787</v>
      </c>
      <c r="Q8">
        <v>22.504230089435882</v>
      </c>
      <c r="R8">
        <v>1.0180022869640419</v>
      </c>
      <c r="S8">
        <v>1.6484542286515549E-2</v>
      </c>
      <c r="T8">
        <v>0.84643740239174969</v>
      </c>
      <c r="U8">
        <v>25.734068111726238</v>
      </c>
      <c r="AY8" t="s">
        <v>98</v>
      </c>
      <c r="AZ8" s="1">
        <v>1.04531113</v>
      </c>
      <c r="BA8">
        <v>4.5</v>
      </c>
      <c r="BD8" t="s">
        <v>98</v>
      </c>
      <c r="BE8" t="s">
        <v>131</v>
      </c>
      <c r="BF8" s="3">
        <v>3</v>
      </c>
      <c r="BG8" s="28" t="s">
        <v>127</v>
      </c>
      <c r="BH8" s="3">
        <f>+BA7+BA8+BA12</f>
        <v>15.5</v>
      </c>
      <c r="BI8" t="s">
        <v>129</v>
      </c>
      <c r="BJ8">
        <f>$Y$5*$Y$6+(0.5*(BF8*(BF8+1)))-BH8</f>
        <v>-9.5</v>
      </c>
    </row>
    <row r="9" spans="1:62" x14ac:dyDescent="0.2">
      <c r="A9" s="18" t="s">
        <v>84</v>
      </c>
      <c r="B9" t="s">
        <v>89</v>
      </c>
      <c r="C9" t="s">
        <v>96</v>
      </c>
      <c r="D9" s="2">
        <v>2.7771616000000002E-4</v>
      </c>
      <c r="E9" s="1">
        <v>0.12587156899999999</v>
      </c>
      <c r="F9" s="1">
        <v>302.05602499999998</v>
      </c>
      <c r="G9" s="1">
        <v>0.15697282900000001</v>
      </c>
      <c r="H9" s="2">
        <f>-0.644250733 + PI()</f>
        <v>2.4973419205897933</v>
      </c>
      <c r="I9" s="1">
        <v>2.3448731199999999E-3</v>
      </c>
      <c r="J9" s="1">
        <v>459.120788</v>
      </c>
      <c r="K9" s="1">
        <v>2.3197152700000001E-2</v>
      </c>
      <c r="L9" s="2">
        <v>2.07410812</v>
      </c>
      <c r="M9">
        <v>1.0693400848388728</v>
      </c>
      <c r="N9">
        <v>1.0295541161812842</v>
      </c>
      <c r="O9">
        <v>3.2235678945961269E-3</v>
      </c>
      <c r="P9">
        <v>0.10383201881327099</v>
      </c>
      <c r="Q9">
        <v>7.8635066101310835</v>
      </c>
      <c r="R9">
        <v>1.012073020962218</v>
      </c>
      <c r="S9">
        <v>1.4980918888831993E-3</v>
      </c>
      <c r="T9">
        <v>0.11663066408670988</v>
      </c>
      <c r="U9">
        <v>51.736259061135783</v>
      </c>
      <c r="AY9" t="s">
        <v>99</v>
      </c>
      <c r="AZ9" s="1">
        <v>1.0467030500000001</v>
      </c>
      <c r="BA9">
        <v>4.5</v>
      </c>
      <c r="BD9" t="s">
        <v>99</v>
      </c>
      <c r="BE9" t="s">
        <v>132</v>
      </c>
      <c r="BF9" s="3">
        <v>5</v>
      </c>
      <c r="BG9" t="s">
        <v>128</v>
      </c>
      <c r="BH9" s="29">
        <f>+AZ5+AZ6+AZ9+AZ10+AZ11</f>
        <v>15.618203095</v>
      </c>
      <c r="BI9" t="s">
        <v>130</v>
      </c>
      <c r="BJ9">
        <f>$Y$5*$Y$6+(0.5*(BF9*(BF9+1)))-BH9</f>
        <v>-0.61820309500000015</v>
      </c>
    </row>
    <row r="10" spans="1:62" x14ac:dyDescent="0.2">
      <c r="A10" s="18" t="s">
        <v>84</v>
      </c>
      <c r="B10" t="s">
        <v>90</v>
      </c>
      <c r="C10" t="s">
        <v>96</v>
      </c>
      <c r="D10" s="2">
        <v>9.9947144900000007E-3</v>
      </c>
      <c r="E10" s="1">
        <v>0.13363139800000001</v>
      </c>
      <c r="F10" s="1">
        <v>292.32991199999998</v>
      </c>
      <c r="G10" s="1">
        <v>2.7425292499999999E-5</v>
      </c>
      <c r="H10" s="2">
        <f>-1.57079878 + PI()</f>
        <v>1.5707938735897931</v>
      </c>
      <c r="I10" s="1">
        <v>0.176975242</v>
      </c>
      <c r="J10" s="1">
        <v>412.58765699999998</v>
      </c>
      <c r="K10" s="1">
        <v>4.1391769500000002E-3</v>
      </c>
      <c r="L10" s="2">
        <v>0.357201353</v>
      </c>
      <c r="M10">
        <v>1.0296026796112332</v>
      </c>
      <c r="N10">
        <v>1.0154746898415028</v>
      </c>
      <c r="O10">
        <v>1.4824786357508382E-2</v>
      </c>
      <c r="P10">
        <v>0.86162840872845192</v>
      </c>
      <c r="Q10">
        <v>17.08237301834728</v>
      </c>
      <c r="R10">
        <v>1.008601040142755</v>
      </c>
      <c r="S10">
        <v>6.3961838249688976E-3</v>
      </c>
      <c r="T10">
        <v>0.73546102529343926</v>
      </c>
      <c r="U10">
        <v>21.216944935510732</v>
      </c>
      <c r="AY10" t="s">
        <v>99</v>
      </c>
      <c r="AZ10" s="1">
        <v>1.5469702000000001</v>
      </c>
      <c r="BA10">
        <v>6</v>
      </c>
    </row>
    <row r="11" spans="1:62" x14ac:dyDescent="0.2">
      <c r="A11" t="s">
        <v>99</v>
      </c>
      <c r="B11" t="s">
        <v>87</v>
      </c>
      <c r="C11" t="s">
        <v>96</v>
      </c>
      <c r="D11" s="2">
        <v>1.41575562E-3</v>
      </c>
      <c r="E11" s="1">
        <v>1.5469702000000001</v>
      </c>
      <c r="F11" s="1">
        <v>640.45762000000002</v>
      </c>
      <c r="G11" s="1">
        <v>0.22416863100000001</v>
      </c>
      <c r="H11" s="2">
        <v>1.1667804500000001</v>
      </c>
      <c r="I11" s="1">
        <v>3.1495727799999998E-2</v>
      </c>
      <c r="J11" s="1">
        <v>642.70847400000002</v>
      </c>
      <c r="K11" s="1">
        <v>0.11692728300000001</v>
      </c>
      <c r="L11" s="2">
        <v>0.63562992100000004</v>
      </c>
      <c r="M11">
        <v>1.0414043184697841</v>
      </c>
      <c r="N11">
        <v>1.0048938965673375</v>
      </c>
      <c r="O11">
        <v>2.174777565749133E-3</v>
      </c>
      <c r="P11">
        <v>0.38470284122946258</v>
      </c>
      <c r="Q11">
        <v>9.7764014242382444</v>
      </c>
      <c r="R11">
        <v>1.0179078910508219</v>
      </c>
      <c r="S11">
        <v>1.1454891990244348E-2</v>
      </c>
      <c r="T11">
        <v>0.62342364937418737</v>
      </c>
      <c r="U11">
        <v>6.3397862298314323</v>
      </c>
      <c r="AY11" t="s">
        <v>99</v>
      </c>
      <c r="AZ11" s="1">
        <v>12.866392100000001</v>
      </c>
      <c r="BA11">
        <v>7</v>
      </c>
    </row>
    <row r="12" spans="1:62" x14ac:dyDescent="0.2">
      <c r="A12" t="s">
        <v>99</v>
      </c>
      <c r="B12" t="s">
        <v>88</v>
      </c>
      <c r="C12" t="s">
        <v>96</v>
      </c>
      <c r="D12" s="2">
        <v>0</v>
      </c>
      <c r="E12" s="1">
        <v>0</v>
      </c>
      <c r="F12" s="1">
        <v>703.29764399999999</v>
      </c>
      <c r="G12" s="1">
        <v>0.12002396799999999</v>
      </c>
      <c r="H12" s="2">
        <v>0.91116032599999996</v>
      </c>
      <c r="I12" s="1">
        <v>0.96017881800000004</v>
      </c>
      <c r="J12" s="1">
        <v>1000</v>
      </c>
      <c r="K12" s="1">
        <v>3.4588192100000002E-3</v>
      </c>
      <c r="L12" s="2">
        <v>1.09722915</v>
      </c>
      <c r="M12">
        <v>1.0310589593665513</v>
      </c>
      <c r="N12">
        <v>1.010334076561249</v>
      </c>
      <c r="O12">
        <v>6.238211647514938E-3</v>
      </c>
      <c r="P12">
        <v>0.63558235628312965</v>
      </c>
      <c r="Q12">
        <v>17.616921628742148</v>
      </c>
      <c r="R12">
        <v>1.0062940652497647</v>
      </c>
      <c r="S12">
        <v>2.5738975806090122E-2</v>
      </c>
      <c r="T12">
        <v>3.9239282153095747</v>
      </c>
      <c r="U12">
        <v>46.10378227369732</v>
      </c>
      <c r="AY12" t="s">
        <v>98</v>
      </c>
      <c r="AZ12" s="1">
        <v>29.1056366</v>
      </c>
      <c r="BA12">
        <v>8</v>
      </c>
      <c r="BD12" t="s">
        <v>136</v>
      </c>
      <c r="BE12">
        <f>MIN(BJ8:BJ9)</f>
        <v>-9.5</v>
      </c>
      <c r="BH12" t="s">
        <v>141</v>
      </c>
      <c r="BI12">
        <f>0.5*BF8*BF9</f>
        <v>7.5</v>
      </c>
    </row>
    <row r="13" spans="1:62" x14ac:dyDescent="0.2">
      <c r="A13" t="s">
        <v>99</v>
      </c>
      <c r="B13" t="s">
        <v>62</v>
      </c>
      <c r="C13" t="s">
        <v>97</v>
      </c>
      <c r="D13" s="2">
        <v>0</v>
      </c>
      <c r="E13" s="1">
        <v>1.0467030500000001</v>
      </c>
      <c r="F13" s="1">
        <v>303.960218</v>
      </c>
      <c r="G13" s="1">
        <v>0.19856095000000001</v>
      </c>
      <c r="H13" s="2">
        <v>0.440707931</v>
      </c>
      <c r="I13" s="1">
        <v>0.609732092</v>
      </c>
      <c r="J13" s="1">
        <v>134.77571599999999</v>
      </c>
      <c r="K13" s="1">
        <v>0</v>
      </c>
      <c r="L13" s="2">
        <v>1.57480946</v>
      </c>
      <c r="M13">
        <v>1.0488704459460068</v>
      </c>
      <c r="N13">
        <v>1.0107328720850179</v>
      </c>
      <c r="O13">
        <v>8.3824005441452444E-3</v>
      </c>
      <c r="P13">
        <v>0.73810851489707419</v>
      </c>
      <c r="Q13">
        <v>1.3065228390227419</v>
      </c>
      <c r="R13">
        <v>1.0139265129225652</v>
      </c>
      <c r="S13">
        <v>4.0057424676455428E-2</v>
      </c>
      <c r="T13">
        <v>2.8341292892078869</v>
      </c>
      <c r="U13">
        <v>23.834890959018249</v>
      </c>
      <c r="BD13" t="s">
        <v>15</v>
      </c>
      <c r="BE13">
        <v>0.05</v>
      </c>
    </row>
    <row r="15" spans="1:62" x14ac:dyDescent="0.2">
      <c r="B15" t="s">
        <v>104</v>
      </c>
      <c r="D15" s="19">
        <f t="shared" ref="D15:U15" si="0">AVERAGE(D3:D13)</f>
        <v>1.1763870809090909E-3</v>
      </c>
      <c r="E15" s="19">
        <f t="shared" si="0"/>
        <v>3.1092682368818179</v>
      </c>
      <c r="F15" s="19">
        <f t="shared" si="0"/>
        <v>542.69433700000002</v>
      </c>
      <c r="G15" s="19">
        <f t="shared" si="0"/>
        <v>0.17809692602659091</v>
      </c>
      <c r="H15" s="19">
        <f t="shared" si="0"/>
        <v>1.3110756941981443</v>
      </c>
      <c r="I15" s="19">
        <f t="shared" si="0"/>
        <v>0.34716373272000001</v>
      </c>
      <c r="J15" s="19">
        <f t="shared" si="0"/>
        <v>504.57593018181819</v>
      </c>
      <c r="K15" s="19">
        <f t="shared" si="0"/>
        <v>9.9193954805454551E-2</v>
      </c>
      <c r="L15" s="19">
        <f t="shared" si="0"/>
        <v>1.0088066841818182</v>
      </c>
      <c r="M15" s="19">
        <f t="shared" si="0"/>
        <v>1.0463219702364162</v>
      </c>
      <c r="N15" s="19">
        <f t="shared" si="0"/>
        <v>1.0157943240098506</v>
      </c>
      <c r="O15" s="19">
        <f t="shared" si="0"/>
        <v>7.096438862580972E-3</v>
      </c>
      <c r="P15" s="19">
        <f t="shared" si="0"/>
        <v>0.48682885073440807</v>
      </c>
      <c r="Q15" s="19">
        <f t="shared" si="0"/>
        <v>-1.7803906982799427</v>
      </c>
      <c r="R15" s="19">
        <f t="shared" si="0"/>
        <v>1.0188148326219815</v>
      </c>
      <c r="S15" s="19">
        <f t="shared" si="0"/>
        <v>1.5487652579211215E-2</v>
      </c>
      <c r="T15" s="19">
        <f t="shared" si="0"/>
        <v>1.0557117547024246</v>
      </c>
      <c r="U15" s="19">
        <f t="shared" si="0"/>
        <v>24.054610894409674</v>
      </c>
      <c r="V15" s="5"/>
      <c r="W15" s="5"/>
      <c r="X15" s="4"/>
      <c r="Y15" s="4"/>
      <c r="BD15" t="s">
        <v>138</v>
      </c>
      <c r="BE15">
        <f>_xlfn.NORM.S.INV(1-0.5*BE13)</f>
        <v>1.9599639845400536</v>
      </c>
      <c r="BH15" t="s">
        <v>143</v>
      </c>
      <c r="BI15" t="e">
        <f>(BE12-BI12)/#REF!</f>
        <v>#REF!</v>
      </c>
    </row>
    <row r="16" spans="1:62" x14ac:dyDescent="0.2">
      <c r="B16" t="s">
        <v>105</v>
      </c>
      <c r="C16" t="s">
        <v>106</v>
      </c>
      <c r="D16">
        <f t="shared" ref="D16:U16" si="1">_xlfn.STDEV.P(D3:D13)</f>
        <v>2.8335769093607113E-3</v>
      </c>
      <c r="E16">
        <f t="shared" si="1"/>
        <v>8.2345393963889535</v>
      </c>
      <c r="F16">
        <f t="shared" si="1"/>
        <v>233.06392826128138</v>
      </c>
      <c r="G16">
        <f t="shared" si="1"/>
        <v>7.9127986981650411E-2</v>
      </c>
      <c r="H16">
        <f t="shared" si="1"/>
        <v>0.64082425229174678</v>
      </c>
      <c r="I16">
        <f t="shared" si="1"/>
        <v>0.29693012433551308</v>
      </c>
      <c r="J16">
        <f t="shared" si="1"/>
        <v>269.46994614091983</v>
      </c>
      <c r="K16">
        <f t="shared" si="1"/>
        <v>7.6424961042017028E-2</v>
      </c>
      <c r="L16">
        <f t="shared" si="1"/>
        <v>0.61963554282560829</v>
      </c>
      <c r="M16">
        <f t="shared" si="1"/>
        <v>1.559955928722982E-2</v>
      </c>
      <c r="N16">
        <f t="shared" si="1"/>
        <v>6.9579016296415479E-3</v>
      </c>
      <c r="O16">
        <f t="shared" si="1"/>
        <v>3.2929487217414513E-3</v>
      </c>
      <c r="P16">
        <f t="shared" si="1"/>
        <v>0.2230817690643899</v>
      </c>
      <c r="Q16">
        <f t="shared" si="1"/>
        <v>34.34591188936826</v>
      </c>
      <c r="R16">
        <f t="shared" si="1"/>
        <v>9.2148883504240726E-3</v>
      </c>
      <c r="S16">
        <f t="shared" si="1"/>
        <v>1.0822610787369362E-2</v>
      </c>
      <c r="T16">
        <f t="shared" si="1"/>
        <v>1.1476581331720321</v>
      </c>
      <c r="U16">
        <f t="shared" si="1"/>
        <v>13.333818545639037</v>
      </c>
      <c r="V16" s="5"/>
      <c r="W16" s="5"/>
      <c r="X16" s="4"/>
      <c r="Y16" s="4"/>
      <c r="BD16" t="s">
        <v>139</v>
      </c>
      <c r="BE16" t="e">
        <f>_xlfn.NORM.S.DIST(#REF!,TRUE)</f>
        <v>#REF!</v>
      </c>
      <c r="BH16" t="s">
        <v>148</v>
      </c>
      <c r="BI16">
        <v>0.764177</v>
      </c>
    </row>
    <row r="17" spans="1:21" x14ac:dyDescent="0.2">
      <c r="B17" t="s">
        <v>109</v>
      </c>
      <c r="D17" s="1">
        <f t="shared" ref="D17:U17" si="2">_xlfn.STDEV.P(D3:D13)/SQRT(COUNT(D3:D13))</f>
        <v>8.5435558390585195E-4</v>
      </c>
      <c r="E17" s="1">
        <f t="shared" si="2"/>
        <v>2.4828070453837996</v>
      </c>
      <c r="F17" s="1">
        <f t="shared" si="2"/>
        <v>70.271418382634394</v>
      </c>
      <c r="G17" s="1">
        <f t="shared" si="2"/>
        <v>2.3857985748569191E-2</v>
      </c>
      <c r="H17" s="1">
        <f t="shared" si="2"/>
        <v>0.19321578194652458</v>
      </c>
      <c r="I17" s="1">
        <f t="shared" si="2"/>
        <v>8.9527801034043078E-2</v>
      </c>
      <c r="J17" s="1">
        <f t="shared" si="2"/>
        <v>81.248245784246279</v>
      </c>
      <c r="K17" s="1">
        <f t="shared" si="2"/>
        <v>2.3042992763081756E-2</v>
      </c>
      <c r="L17" s="1">
        <f t="shared" si="2"/>
        <v>0.18682714566552158</v>
      </c>
      <c r="M17" s="1">
        <f t="shared" si="2"/>
        <v>4.7034440955132035E-3</v>
      </c>
      <c r="N17" s="1">
        <f t="shared" si="2"/>
        <v>2.0978862757930357E-3</v>
      </c>
      <c r="O17" s="1">
        <f t="shared" si="2"/>
        <v>9.9286139671789296E-4</v>
      </c>
      <c r="P17" s="1">
        <f t="shared" si="2"/>
        <v>6.7261684141390346E-2</v>
      </c>
      <c r="Q17" s="1">
        <f t="shared" si="2"/>
        <v>10.355682074512822</v>
      </c>
      <c r="R17" s="1">
        <f t="shared" si="2"/>
        <v>2.7783933766703326E-3</v>
      </c>
      <c r="S17" s="1">
        <f t="shared" si="2"/>
        <v>3.2631399303415455E-3</v>
      </c>
      <c r="T17" s="1">
        <f t="shared" si="2"/>
        <v>0.34603194684830552</v>
      </c>
      <c r="U17" s="1">
        <f t="shared" si="2"/>
        <v>4.0202975580515465</v>
      </c>
    </row>
    <row r="18" spans="1:21" x14ac:dyDescent="0.2">
      <c r="B18" t="s">
        <v>124</v>
      </c>
      <c r="D18" s="1"/>
      <c r="E18" s="19">
        <f>E21-E19/(E16/SQRT(5))</f>
        <v>10.037214707631122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">
      <c r="A19" t="s">
        <v>122</v>
      </c>
      <c r="B19" t="s">
        <v>123</v>
      </c>
      <c r="D19" s="20">
        <f t="shared" ref="D19:U19" si="3">AVERAGE(D3:D5)</f>
        <v>4.1735720666666662E-4</v>
      </c>
      <c r="E19" s="20">
        <f t="shared" si="3"/>
        <v>0.32431095123333331</v>
      </c>
      <c r="F19" s="20">
        <f t="shared" si="3"/>
        <v>504.7894803333333</v>
      </c>
      <c r="G19" s="20">
        <f t="shared" si="3"/>
        <v>0.17411119933333333</v>
      </c>
      <c r="H19" s="20">
        <f t="shared" si="3"/>
        <v>1.5536703666666669</v>
      </c>
      <c r="I19" s="20">
        <f t="shared" si="3"/>
        <v>0.40977071366666667</v>
      </c>
      <c r="J19" s="20">
        <f t="shared" si="3"/>
        <v>326.47146733333335</v>
      </c>
      <c r="K19" s="20">
        <f t="shared" si="3"/>
        <v>0.19494527533333331</v>
      </c>
      <c r="L19" s="20">
        <f t="shared" si="3"/>
        <v>0.52088708166666664</v>
      </c>
      <c r="M19" s="20">
        <f t="shared" si="3"/>
        <v>1.0543753087520993</v>
      </c>
      <c r="N19" s="20">
        <f t="shared" si="3"/>
        <v>1.0210801863544703</v>
      </c>
      <c r="O19" s="20">
        <f t="shared" si="3"/>
        <v>7.6246416270294255E-3</v>
      </c>
      <c r="P19" s="20">
        <f t="shared" si="3"/>
        <v>0.36295978808867657</v>
      </c>
      <c r="Q19" s="20">
        <f t="shared" si="3"/>
        <v>9.552688420851803</v>
      </c>
      <c r="R19" s="20">
        <f t="shared" si="3"/>
        <v>1.0286099795251027</v>
      </c>
      <c r="S19" s="20">
        <f t="shared" si="3"/>
        <v>1.5930405061705389E-2</v>
      </c>
      <c r="T19" s="20">
        <f t="shared" si="3"/>
        <v>0.55014309266706374</v>
      </c>
      <c r="U19" s="20">
        <f t="shared" si="3"/>
        <v>15.819051157192257</v>
      </c>
    </row>
    <row r="20" spans="1:21" x14ac:dyDescent="0.2">
      <c r="B20" t="s">
        <v>109</v>
      </c>
      <c r="D20" s="20">
        <f t="shared" ref="D20:U20" si="4">_xlfn.STDEV.P(D3:D5)/SQRT(COUNT(D3:D5))</f>
        <v>3.4077073226887971E-4</v>
      </c>
      <c r="E20" s="20">
        <f t="shared" si="4"/>
        <v>0.10944105753185809</v>
      </c>
      <c r="F20" s="20">
        <f t="shared" si="4"/>
        <v>130.18471528852416</v>
      </c>
      <c r="G20" s="20">
        <f t="shared" si="4"/>
        <v>1.3935397159284744E-2</v>
      </c>
      <c r="H20" s="20">
        <f t="shared" si="4"/>
        <v>0.20520777762788481</v>
      </c>
      <c r="I20" s="20">
        <f t="shared" si="4"/>
        <v>0.16166651389965753</v>
      </c>
      <c r="J20" s="20">
        <f t="shared" si="4"/>
        <v>60.964404928284615</v>
      </c>
      <c r="K20" s="20">
        <f t="shared" si="4"/>
        <v>1.105989422506704E-2</v>
      </c>
      <c r="L20" s="20">
        <f t="shared" si="4"/>
        <v>0.15392192478447553</v>
      </c>
      <c r="M20" s="20">
        <f t="shared" si="4"/>
        <v>1.0676240210890723E-2</v>
      </c>
      <c r="N20" s="20">
        <f t="shared" si="4"/>
        <v>1.7602989206223268E-3</v>
      </c>
      <c r="O20" s="20">
        <f t="shared" si="4"/>
        <v>7.2431415113214661E-4</v>
      </c>
      <c r="P20" s="20">
        <f t="shared" si="4"/>
        <v>7.0528892961595299E-2</v>
      </c>
      <c r="Q20" s="20">
        <f t="shared" si="4"/>
        <v>15.792490936948735</v>
      </c>
      <c r="R20" s="20">
        <f t="shared" si="4"/>
        <v>5.6921532361613909E-3</v>
      </c>
      <c r="S20" s="20">
        <f t="shared" si="4"/>
        <v>5.0409242154028653E-3</v>
      </c>
      <c r="T20" s="20">
        <f t="shared" si="4"/>
        <v>0.19934072369048317</v>
      </c>
      <c r="U20" s="20">
        <f t="shared" si="4"/>
        <v>4.0693844269892701</v>
      </c>
    </row>
    <row r="21" spans="1:21" x14ac:dyDescent="0.2">
      <c r="A21" t="s">
        <v>98</v>
      </c>
      <c r="B21" t="s">
        <v>123</v>
      </c>
      <c r="D21" s="20">
        <f t="shared" ref="D21:U21" si="5">AVERAGE(D6:D8)</f>
        <v>0</v>
      </c>
      <c r="E21" s="20">
        <f t="shared" si="5"/>
        <v>10.125280511666666</v>
      </c>
      <c r="F21" s="20">
        <f t="shared" si="5"/>
        <v>737.72261566666657</v>
      </c>
      <c r="G21" s="20">
        <f t="shared" si="5"/>
        <v>0.24565959500000001</v>
      </c>
      <c r="H21" s="20">
        <f t="shared" si="5"/>
        <v>1.0580123450000001</v>
      </c>
      <c r="I21" s="20">
        <f t="shared" si="5"/>
        <v>0.26958738866666665</v>
      </c>
      <c r="J21" s="20">
        <f t="shared" si="5"/>
        <v>640.57606499999997</v>
      </c>
      <c r="K21" s="20">
        <f t="shared" si="5"/>
        <v>0.11952508166666669</v>
      </c>
      <c r="L21" s="20">
        <f t="shared" si="5"/>
        <v>1.2650780923333331</v>
      </c>
      <c r="M21" s="20">
        <f t="shared" si="5"/>
        <v>1.0420464193706109</v>
      </c>
      <c r="N21" s="20">
        <f t="shared" si="5"/>
        <v>1.013169117936185</v>
      </c>
      <c r="O21" s="20">
        <f t="shared" si="5"/>
        <v>6.7810528659295278E-3</v>
      </c>
      <c r="P21" s="20">
        <f t="shared" si="5"/>
        <v>0.51412795128702304</v>
      </c>
      <c r="Q21" s="20">
        <f t="shared" si="5"/>
        <v>-33.962696154705419</v>
      </c>
      <c r="R21" s="20">
        <f t="shared" si="5"/>
        <v>1.0207768966461217</v>
      </c>
      <c r="S21" s="20">
        <f t="shared" si="5"/>
        <v>1.2475798333188404E-2</v>
      </c>
      <c r="T21" s="20">
        <f t="shared" si="5"/>
        <v>0.57627572681789374</v>
      </c>
      <c r="U21" s="20">
        <f t="shared" si="5"/>
        <v>22.637300969245359</v>
      </c>
    </row>
    <row r="22" spans="1:21" x14ac:dyDescent="0.2">
      <c r="B22" t="s">
        <v>109</v>
      </c>
      <c r="D22" s="20">
        <f t="shared" ref="D22:U22" si="6">_xlfn.STDEV.P(D6:D8)/SQRT(COUNT(D6:D8))</f>
        <v>0</v>
      </c>
      <c r="E22" s="20">
        <f t="shared" si="6"/>
        <v>7.751110444843647</v>
      </c>
      <c r="F22" s="20">
        <f t="shared" si="6"/>
        <v>112.35933114047353</v>
      </c>
      <c r="G22" s="20">
        <f t="shared" si="6"/>
        <v>4.1251588319777488E-2</v>
      </c>
      <c r="H22" s="20">
        <f t="shared" si="6"/>
        <v>0.38823913036469188</v>
      </c>
      <c r="I22" s="20">
        <f t="shared" si="6"/>
        <v>3.7364072603243037E-2</v>
      </c>
      <c r="J22" s="20">
        <f t="shared" si="6"/>
        <v>150.12850574678734</v>
      </c>
      <c r="K22" s="20">
        <f t="shared" si="6"/>
        <v>5.5032032496193893E-3</v>
      </c>
      <c r="L22" s="20">
        <f t="shared" si="6"/>
        <v>0.34513856917314262</v>
      </c>
      <c r="M22" s="20">
        <f t="shared" si="6"/>
        <v>6.0420214403441386E-3</v>
      </c>
      <c r="N22" s="20">
        <f t="shared" si="6"/>
        <v>2.0129130237336906E-3</v>
      </c>
      <c r="O22" s="20">
        <f t="shared" si="6"/>
        <v>1.1586419205160201E-3</v>
      </c>
      <c r="P22" s="20">
        <f t="shared" si="6"/>
        <v>8.9147115859711121E-2</v>
      </c>
      <c r="Q22" s="20">
        <f t="shared" si="6"/>
        <v>26.396258474497497</v>
      </c>
      <c r="R22" s="20">
        <f t="shared" si="6"/>
        <v>1.1452879612021678E-3</v>
      </c>
      <c r="S22" s="20">
        <f t="shared" si="6"/>
        <v>1.7804090608795457E-3</v>
      </c>
      <c r="T22" s="20">
        <f t="shared" si="6"/>
        <v>0.11233057707929726</v>
      </c>
      <c r="U22" s="20">
        <f t="shared" si="6"/>
        <v>1.5917846081364788</v>
      </c>
    </row>
    <row r="23" spans="1:21" x14ac:dyDescent="0.2">
      <c r="A23" t="s">
        <v>84</v>
      </c>
      <c r="B23" t="s">
        <v>123</v>
      </c>
      <c r="D23" s="20">
        <f t="shared" ref="D23:U23" si="7">AVERAGE(D9:D10)</f>
        <v>5.1362153250000004E-3</v>
      </c>
      <c r="E23" s="20">
        <f t="shared" si="7"/>
        <v>0.12975148349999999</v>
      </c>
      <c r="F23" s="20">
        <f t="shared" si="7"/>
        <v>297.19296850000001</v>
      </c>
      <c r="G23" s="20">
        <f t="shared" si="7"/>
        <v>7.8500127146250001E-2</v>
      </c>
      <c r="H23" s="20">
        <f t="shared" si="7"/>
        <v>2.034067897089793</v>
      </c>
      <c r="I23" s="20">
        <f t="shared" si="7"/>
        <v>8.9660057560000006E-2</v>
      </c>
      <c r="J23" s="20">
        <f t="shared" si="7"/>
        <v>435.85422249999999</v>
      </c>
      <c r="K23" s="20">
        <f t="shared" si="7"/>
        <v>1.3668164825000001E-2</v>
      </c>
      <c r="L23" s="20">
        <f t="shared" si="7"/>
        <v>1.2156547364999999</v>
      </c>
      <c r="M23" s="20">
        <f t="shared" si="7"/>
        <v>1.049471382225053</v>
      </c>
      <c r="N23" s="20">
        <f t="shared" si="7"/>
        <v>1.0225144030113935</v>
      </c>
      <c r="O23" s="20">
        <f t="shared" si="7"/>
        <v>9.024177126052255E-3</v>
      </c>
      <c r="P23" s="20">
        <f t="shared" si="7"/>
        <v>0.48273021377086145</v>
      </c>
      <c r="Q23" s="20">
        <f t="shared" si="7"/>
        <v>12.472939814239181</v>
      </c>
      <c r="R23" s="20">
        <f t="shared" si="7"/>
        <v>1.0103370305524866</v>
      </c>
      <c r="S23" s="20">
        <f t="shared" si="7"/>
        <v>3.9471378569260482E-3</v>
      </c>
      <c r="T23" s="20">
        <f t="shared" si="7"/>
        <v>0.42604584469007456</v>
      </c>
      <c r="U23" s="20">
        <f t="shared" si="7"/>
        <v>36.476601998323261</v>
      </c>
    </row>
    <row r="24" spans="1:21" x14ac:dyDescent="0.2">
      <c r="B24" t="s">
        <v>109</v>
      </c>
      <c r="D24" s="20">
        <f t="shared" ref="D24:U24" si="8">_xlfn.STDEV.P(D9:D10)/SQRT(COUNT(D9:D10))</f>
        <v>3.435477705960679E-3</v>
      </c>
      <c r="E24" s="20">
        <f t="shared" si="8"/>
        <v>2.7435138533740211E-3</v>
      </c>
      <c r="F24" s="20">
        <f t="shared" si="8"/>
        <v>3.4387002284433166</v>
      </c>
      <c r="G24" s="20">
        <f t="shared" si="8"/>
        <v>5.5488579618816786E-2</v>
      </c>
      <c r="H24" s="20">
        <f t="shared" si="8"/>
        <v>0.32758420356442702</v>
      </c>
      <c r="I24" s="20">
        <f t="shared" si="8"/>
        <v>6.1741159018078105E-2</v>
      </c>
      <c r="J24" s="20">
        <f t="shared" si="8"/>
        <v>16.451946239970983</v>
      </c>
      <c r="K24" s="20">
        <f t="shared" si="8"/>
        <v>6.7380119442568892E-3</v>
      </c>
      <c r="L24" s="20">
        <f t="shared" si="8"/>
        <v>0.60701820880538593</v>
      </c>
      <c r="M24" s="20">
        <f t="shared" si="8"/>
        <v>1.4049294351610854E-2</v>
      </c>
      <c r="N24" s="20">
        <f t="shared" si="8"/>
        <v>4.9778289200379704E-3</v>
      </c>
      <c r="O24" s="20">
        <f t="shared" si="8"/>
        <v>4.1016501225759139E-3</v>
      </c>
      <c r="P24" s="20">
        <f t="shared" si="8"/>
        <v>0.26792148303385471</v>
      </c>
      <c r="Q24" s="20">
        <f t="shared" si="8"/>
        <v>3.259361476051271</v>
      </c>
      <c r="R24" s="20">
        <f t="shared" si="8"/>
        <v>1.2275305907959507E-3</v>
      </c>
      <c r="S24" s="20">
        <f t="shared" si="8"/>
        <v>1.7317370114406712E-3</v>
      </c>
      <c r="T24" s="20">
        <f t="shared" si="8"/>
        <v>0.21878957240669947</v>
      </c>
      <c r="U24" s="20">
        <f t="shared" si="8"/>
        <v>10.790206987695926</v>
      </c>
    </row>
    <row r="25" spans="1:21" x14ac:dyDescent="0.2">
      <c r="A25" t="s">
        <v>99</v>
      </c>
      <c r="B25" t="s">
        <v>123</v>
      </c>
      <c r="D25" s="20">
        <f t="shared" ref="D25:U25" si="9">AVERAGE(D11:D13)</f>
        <v>4.7191854E-4</v>
      </c>
      <c r="E25" s="20">
        <f>AVERAGE(E11:E13)</f>
        <v>0.86455775000000001</v>
      </c>
      <c r="F25" s="20">
        <f t="shared" si="9"/>
        <v>549.23849399999995</v>
      </c>
      <c r="G25" s="20">
        <f t="shared" si="9"/>
        <v>0.18091784966666666</v>
      </c>
      <c r="H25" s="20">
        <f t="shared" si="9"/>
        <v>0.839549569</v>
      </c>
      <c r="I25" s="20">
        <f t="shared" si="9"/>
        <v>0.53380221260000005</v>
      </c>
      <c r="J25" s="20">
        <f t="shared" si="9"/>
        <v>592.49473</v>
      </c>
      <c r="K25" s="20">
        <f t="shared" si="9"/>
        <v>4.0128700736666668E-2</v>
      </c>
      <c r="L25" s="20">
        <f t="shared" si="9"/>
        <v>1.1025561770000001</v>
      </c>
      <c r="M25" s="20">
        <f t="shared" si="9"/>
        <v>1.040444574594114</v>
      </c>
      <c r="N25" s="20">
        <f t="shared" si="9"/>
        <v>1.0086536150712015</v>
      </c>
      <c r="O25" s="20">
        <f t="shared" si="9"/>
        <v>5.5984632524697722E-3</v>
      </c>
      <c r="P25" s="20">
        <f t="shared" si="9"/>
        <v>0.58613123746988871</v>
      </c>
      <c r="Q25" s="20">
        <f t="shared" si="9"/>
        <v>9.5666152973343781</v>
      </c>
      <c r="R25" s="20">
        <f t="shared" si="9"/>
        <v>1.0127094897410507</v>
      </c>
      <c r="S25" s="20">
        <f t="shared" si="9"/>
        <v>2.5750430824263298E-2</v>
      </c>
      <c r="T25" s="20">
        <f t="shared" si="9"/>
        <v>2.4604937179638831</v>
      </c>
      <c r="U25" s="20">
        <f t="shared" si="9"/>
        <v>25.426153154182334</v>
      </c>
    </row>
    <row r="26" spans="1:21" x14ac:dyDescent="0.2">
      <c r="B26" t="s">
        <v>109</v>
      </c>
      <c r="D26" s="20">
        <f>_xlfn.STDEV.P(D11:D13)/SQRT(COUNT(D11:D13))</f>
        <v>3.8531987438640439E-4</v>
      </c>
      <c r="E26" s="20">
        <f t="shared" ref="E26:U26" si="10">_xlfn.STDEV.P(E11:E13)/SQRT(COUNT(E11:E13))</f>
        <v>0.37212957201493302</v>
      </c>
      <c r="F26" s="20">
        <f t="shared" si="10"/>
        <v>101.22394497376089</v>
      </c>
      <c r="G26" s="20">
        <f t="shared" si="10"/>
        <v>2.5582055124963227E-2</v>
      </c>
      <c r="H26" s="20">
        <f t="shared" si="10"/>
        <v>0.17361605218945747</v>
      </c>
      <c r="I26" s="20">
        <f t="shared" si="10"/>
        <v>0.22107669883003114</v>
      </c>
      <c r="J26" s="20">
        <f t="shared" si="10"/>
        <v>204.96304841534584</v>
      </c>
      <c r="K26" s="20">
        <f t="shared" si="10"/>
        <v>3.136348739050749E-2</v>
      </c>
      <c r="L26" s="20">
        <f t="shared" si="10"/>
        <v>0.22137742258241924</v>
      </c>
      <c r="M26" s="20">
        <f t="shared" si="10"/>
        <v>4.2164517671904262E-3</v>
      </c>
      <c r="N26" s="20">
        <f t="shared" si="10"/>
        <v>1.5377741409559255E-3</v>
      </c>
      <c r="O26" s="20">
        <f t="shared" si="10"/>
        <v>1.4862782951011863E-3</v>
      </c>
      <c r="P26" s="20">
        <f t="shared" si="10"/>
        <v>8.5710044023149079E-2</v>
      </c>
      <c r="Q26" s="20">
        <f t="shared" si="10"/>
        <v>3.8453517346474033</v>
      </c>
      <c r="R26" s="20">
        <f t="shared" si="10"/>
        <v>2.7821293404945674E-3</v>
      </c>
      <c r="S26" s="20">
        <f t="shared" si="10"/>
        <v>6.7416832291436329E-3</v>
      </c>
      <c r="T26" s="20">
        <f t="shared" si="10"/>
        <v>0.79274982077354716</v>
      </c>
      <c r="U26" s="20">
        <f t="shared" si="10"/>
        <v>9.3949505571931127</v>
      </c>
    </row>
    <row r="28" spans="1:21" x14ac:dyDescent="0.2">
      <c r="B28" t="s">
        <v>108</v>
      </c>
      <c r="D28" s="2">
        <v>0</v>
      </c>
      <c r="E28" s="1">
        <v>6.8705691099999994E-2</v>
      </c>
      <c r="F28" s="1">
        <v>195.290931</v>
      </c>
      <c r="G28" s="1">
        <v>0.208323226</v>
      </c>
      <c r="H28" s="2">
        <v>8.657107E-2</v>
      </c>
      <c r="I28" s="1">
        <v>0.21135518</v>
      </c>
      <c r="J28" s="1">
        <v>94.673468200000002</v>
      </c>
      <c r="K28" s="1">
        <v>0.11402398800000001</v>
      </c>
      <c r="L28" s="2">
        <v>1.06552307</v>
      </c>
    </row>
    <row r="29" spans="1:21" x14ac:dyDescent="0.2">
      <c r="C29" t="s">
        <v>107</v>
      </c>
      <c r="D29">
        <f t="shared" ref="D29:U29" si="11">_xlfn.STDEV.S(D3:D13)</f>
        <v>2.9718805345081453E-3</v>
      </c>
      <c r="E29">
        <f t="shared" si="11"/>
        <v>8.6364577795384339</v>
      </c>
      <c r="F29">
        <f t="shared" si="11"/>
        <v>244.43951014972538</v>
      </c>
      <c r="G29">
        <f t="shared" si="11"/>
        <v>8.2990132884247475E-2</v>
      </c>
      <c r="H29">
        <f t="shared" si="11"/>
        <v>0.67210214592560569</v>
      </c>
      <c r="I29">
        <f t="shared" si="11"/>
        <v>0.31142294169134932</v>
      </c>
      <c r="J29">
        <f t="shared" si="11"/>
        <v>282.62246382853095</v>
      </c>
      <c r="K29">
        <f t="shared" si="11"/>
        <v>8.0155175361926581E-2</v>
      </c>
      <c r="L29">
        <f t="shared" si="11"/>
        <v>0.64987923995621288</v>
      </c>
      <c r="M29">
        <f t="shared" si="11"/>
        <v>1.6360955808001499E-2</v>
      </c>
      <c r="N29">
        <f t="shared" si="11"/>
        <v>7.2975087938655717E-3</v>
      </c>
      <c r="O29">
        <f t="shared" si="11"/>
        <v>3.4536737559330241E-3</v>
      </c>
      <c r="P29">
        <f t="shared" si="11"/>
        <v>0.23397013326018257</v>
      </c>
      <c r="Q29">
        <f t="shared" si="11"/>
        <v>36.022296288041844</v>
      </c>
      <c r="R29">
        <f t="shared" si="11"/>
        <v>9.66465643682482E-3</v>
      </c>
      <c r="S29">
        <f t="shared" si="11"/>
        <v>1.1350849954094718E-2</v>
      </c>
      <c r="T29">
        <f t="shared" si="11"/>
        <v>1.2036740047452652</v>
      </c>
      <c r="U29">
        <f t="shared" si="11"/>
        <v>13.984626870561485</v>
      </c>
    </row>
    <row r="30" spans="1:21" x14ac:dyDescent="0.2">
      <c r="B30" t="s">
        <v>109</v>
      </c>
      <c r="D30" s="1">
        <f t="shared" ref="D30:U30" si="12">_xlfn.STDEV.S(D3:D13)/SQRT(COUNT(D3:D13))</f>
        <v>8.9605569588403376E-4</v>
      </c>
      <c r="E30" s="1">
        <f t="shared" si="12"/>
        <v>2.6039899974977199</v>
      </c>
      <c r="F30" s="1">
        <f t="shared" si="12"/>
        <v>73.701285373173604</v>
      </c>
      <c r="G30" s="1">
        <f t="shared" si="12"/>
        <v>2.5022466552616734E-2</v>
      </c>
      <c r="H30" s="1">
        <f t="shared" si="12"/>
        <v>0.20264642171162967</v>
      </c>
      <c r="I30" s="1">
        <f t="shared" si="12"/>
        <v>9.3897549881721221E-2</v>
      </c>
      <c r="J30" s="1">
        <f t="shared" si="12"/>
        <v>85.213879076820731</v>
      </c>
      <c r="K30" s="1">
        <f t="shared" si="12"/>
        <v>2.4167694698240913E-2</v>
      </c>
      <c r="L30" s="1">
        <f t="shared" si="12"/>
        <v>0.19594596345237283</v>
      </c>
      <c r="M30" s="1">
        <f t="shared" si="12"/>
        <v>4.9330137842479027E-3</v>
      </c>
      <c r="N30" s="1">
        <f t="shared" si="12"/>
        <v>2.2002816885064625E-3</v>
      </c>
      <c r="O30" s="1">
        <f t="shared" si="12"/>
        <v>1.0413218178843011E-3</v>
      </c>
      <c r="P30" s="1">
        <f t="shared" si="12"/>
        <v>7.0544649470316176E-2</v>
      </c>
      <c r="Q30" s="1">
        <f t="shared" si="12"/>
        <v>10.86113098858608</v>
      </c>
      <c r="R30" s="1">
        <f t="shared" si="12"/>
        <v>2.9140035571491897E-3</v>
      </c>
      <c r="S30" s="1">
        <f t="shared" si="12"/>
        <v>3.4224100317595449E-3</v>
      </c>
      <c r="T30" s="1">
        <f t="shared" si="12"/>
        <v>0.36292136760404636</v>
      </c>
      <c r="U30" s="1">
        <f t="shared" si="12"/>
        <v>4.2165236511613164</v>
      </c>
    </row>
  </sheetData>
  <autoFilter ref="AY4:BA12" xr:uid="{FB13699C-EE4B-4FEE-8202-727B08E0AC20}">
    <sortState xmlns:xlrd2="http://schemas.microsoft.com/office/spreadsheetml/2017/richdata2" ref="AY5:BA12">
      <sortCondition ref="AZ4:AZ12"/>
    </sortState>
  </autoFilter>
  <phoneticPr fontId="2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BD42-6600-9647-B2E4-DA3D3C13EFE2}">
  <dimension ref="A2:U105"/>
  <sheetViews>
    <sheetView topLeftCell="M1" workbookViewId="0">
      <selection activeCell="T18" sqref="T18"/>
    </sheetView>
  </sheetViews>
  <sheetFormatPr baseColWidth="10" defaultRowHeight="15" x14ac:dyDescent="0.2"/>
  <cols>
    <col min="1" max="1" width="7.83203125" customWidth="1"/>
    <col min="2" max="2" width="7.6640625" customWidth="1"/>
    <col min="4" max="4" width="7.83203125" customWidth="1"/>
    <col min="13" max="13" width="6.33203125" customWidth="1"/>
    <col min="14" max="14" width="11.6640625" customWidth="1"/>
    <col min="15" max="15" width="15.6640625" customWidth="1"/>
    <col min="16" max="16" width="15.5" customWidth="1"/>
    <col min="17" max="17" width="12.5" customWidth="1"/>
    <col min="18" max="18" width="11.6640625" customWidth="1"/>
    <col min="19" max="19" width="15.6640625" customWidth="1"/>
    <col min="20" max="20" width="14.6640625" customWidth="1"/>
    <col min="21" max="21" width="11.6640625" customWidth="1"/>
  </cols>
  <sheetData>
    <row r="2" spans="1:21" x14ac:dyDescent="0.2">
      <c r="A2" s="33" t="s">
        <v>190</v>
      </c>
      <c r="B2" s="33" t="s">
        <v>192</v>
      </c>
      <c r="C2" s="33" t="s">
        <v>191</v>
      </c>
      <c r="D2" s="33" t="s">
        <v>11</v>
      </c>
      <c r="E2" s="33" t="s">
        <v>16</v>
      </c>
      <c r="F2" s="33" t="s">
        <v>17</v>
      </c>
      <c r="G2" s="33" t="s">
        <v>18</v>
      </c>
      <c r="H2" s="33" t="s">
        <v>19</v>
      </c>
      <c r="I2" s="33" t="s">
        <v>20</v>
      </c>
      <c r="J2" s="33" t="s">
        <v>21</v>
      </c>
      <c r="K2" s="33" t="s">
        <v>22</v>
      </c>
      <c r="L2" s="33" t="s">
        <v>23</v>
      </c>
      <c r="N2" t="s">
        <v>114</v>
      </c>
      <c r="O2" t="s">
        <v>115</v>
      </c>
      <c r="P2" t="s">
        <v>110</v>
      </c>
      <c r="Q2" t="s">
        <v>111</v>
      </c>
      <c r="R2" t="s">
        <v>116</v>
      </c>
      <c r="S2" t="s">
        <v>117</v>
      </c>
      <c r="T2" t="s">
        <v>112</v>
      </c>
      <c r="U2" t="s">
        <v>113</v>
      </c>
    </row>
    <row r="3" spans="1:21" x14ac:dyDescent="0.2">
      <c r="A3" s="37" t="s">
        <v>95</v>
      </c>
      <c r="B3" s="33" t="s">
        <v>96</v>
      </c>
      <c r="C3" s="33" t="s">
        <v>94</v>
      </c>
      <c r="D3" s="2">
        <v>1.25E-3</v>
      </c>
      <c r="E3" s="34">
        <v>8.8300000000000003E-2</v>
      </c>
      <c r="F3" s="34">
        <v>671</v>
      </c>
      <c r="G3" s="34">
        <v>0.157</v>
      </c>
      <c r="H3" s="2">
        <v>1.55</v>
      </c>
      <c r="I3" s="34">
        <v>0.316</v>
      </c>
      <c r="J3" s="34">
        <v>446</v>
      </c>
      <c r="K3" s="34">
        <v>0.17399999999999999</v>
      </c>
      <c r="L3" s="2">
        <v>0.55400000000000005</v>
      </c>
      <c r="M3" t="s">
        <v>195</v>
      </c>
      <c r="N3">
        <v>1.0224822248789724</v>
      </c>
      <c r="O3">
        <v>7.2715659738917275E-3</v>
      </c>
      <c r="P3">
        <v>0.30808678332961659</v>
      </c>
      <c r="Q3">
        <v>-7.9997021928279475</v>
      </c>
      <c r="R3">
        <v>1.0191506201833505</v>
      </c>
      <c r="S3">
        <v>5.0063037203028262E-3</v>
      </c>
      <c r="T3">
        <v>0.24874659056263568</v>
      </c>
      <c r="U3">
        <v>12.231362880950295</v>
      </c>
    </row>
    <row r="4" spans="1:21" x14ac:dyDescent="0.2">
      <c r="A4" s="37" t="s">
        <v>95</v>
      </c>
      <c r="B4" s="33" t="s">
        <v>103</v>
      </c>
      <c r="C4" s="33" t="s">
        <v>65</v>
      </c>
      <c r="D4" s="2">
        <v>0</v>
      </c>
      <c r="E4" s="34">
        <v>0.33200000000000002</v>
      </c>
      <c r="F4" s="34">
        <v>658</v>
      </c>
      <c r="G4" s="34">
        <v>0.158</v>
      </c>
      <c r="H4" s="2">
        <v>1.1200000000000001</v>
      </c>
      <c r="I4" s="34">
        <v>0.79</v>
      </c>
      <c r="J4" s="34">
        <v>344</v>
      </c>
      <c r="K4" s="34">
        <v>0.19</v>
      </c>
      <c r="L4" s="2">
        <v>0.82899999999999996</v>
      </c>
      <c r="M4" t="s">
        <v>195</v>
      </c>
      <c r="N4">
        <v>1.0168479277507689</v>
      </c>
      <c r="O4">
        <v>9.3069492368843213E-3</v>
      </c>
      <c r="P4">
        <v>0.5322630460957446</v>
      </c>
      <c r="Q4">
        <v>-11.524887437433593</v>
      </c>
      <c r="R4">
        <v>1.0244687444336531</v>
      </c>
      <c r="S4">
        <v>2.6377145659225845E-2</v>
      </c>
      <c r="T4">
        <v>1.0335354523775298</v>
      </c>
      <c r="U4">
        <v>25.666830537796038</v>
      </c>
    </row>
    <row r="5" spans="1:21" x14ac:dyDescent="0.2">
      <c r="A5" s="37" t="s">
        <v>95</v>
      </c>
      <c r="B5" s="33" t="s">
        <v>103</v>
      </c>
      <c r="C5" s="33" t="s">
        <v>66</v>
      </c>
      <c r="D5" s="2">
        <v>0</v>
      </c>
      <c r="E5" s="34">
        <v>0.55200000000000005</v>
      </c>
      <c r="F5" s="34">
        <v>186</v>
      </c>
      <c r="G5" s="34">
        <v>0.20799999999999999</v>
      </c>
      <c r="H5" s="2">
        <v>1.99</v>
      </c>
      <c r="I5" s="34">
        <v>0.123</v>
      </c>
      <c r="J5" s="34">
        <v>189</v>
      </c>
      <c r="K5" s="34">
        <v>0.22</v>
      </c>
      <c r="L5" s="2">
        <v>0.17899999999999999</v>
      </c>
      <c r="M5" t="s">
        <v>195</v>
      </c>
      <c r="N5">
        <v>1.0239104064336699</v>
      </c>
      <c r="O5">
        <v>6.2954096703122259E-3</v>
      </c>
      <c r="P5">
        <v>0.24852953484068935</v>
      </c>
      <c r="Q5">
        <v>48.182654892849918</v>
      </c>
      <c r="R5">
        <v>1.0422105739583043</v>
      </c>
      <c r="S5">
        <v>1.640776580558749E-2</v>
      </c>
      <c r="T5">
        <v>0.36814723506101921</v>
      </c>
      <c r="U5">
        <v>9.5589600528247445</v>
      </c>
    </row>
    <row r="6" spans="1:21" x14ac:dyDescent="0.2">
      <c r="A6" s="37" t="s">
        <v>95</v>
      </c>
      <c r="B6" s="33" t="s">
        <v>180</v>
      </c>
      <c r="C6" s="33" t="s">
        <v>193</v>
      </c>
      <c r="D6" s="2">
        <v>0</v>
      </c>
      <c r="E6" s="34">
        <v>0</v>
      </c>
      <c r="F6" s="34">
        <v>259</v>
      </c>
      <c r="G6" s="34">
        <v>0.20899999999999999</v>
      </c>
      <c r="H6" s="34">
        <v>0.74399999999999999</v>
      </c>
      <c r="I6" s="34">
        <v>22.6</v>
      </c>
      <c r="J6" s="34">
        <v>1000</v>
      </c>
      <c r="K6" s="34">
        <v>0.33</v>
      </c>
      <c r="L6" s="2">
        <v>-6.8100000000000002E-5</v>
      </c>
      <c r="M6" t="s">
        <v>195</v>
      </c>
      <c r="N6">
        <v>1.01757310898745</v>
      </c>
      <c r="O6">
        <v>2.2580985375756902E-3</v>
      </c>
      <c r="P6">
        <v>9.456126805741559E-2</v>
      </c>
      <c r="Q6">
        <v>8.4937800833401003</v>
      </c>
      <c r="R6">
        <v>1.0233419421593599</v>
      </c>
      <c r="S6">
        <v>3.4652265954986101E-3</v>
      </c>
      <c r="T6">
        <v>0.11371204883592148</v>
      </c>
      <c r="U6">
        <v>6.969783359182224</v>
      </c>
    </row>
    <row r="7" spans="1:21" x14ac:dyDescent="0.2">
      <c r="A7" s="37" t="s">
        <v>95</v>
      </c>
      <c r="B7" s="33" t="s">
        <v>182</v>
      </c>
      <c r="C7" s="33" t="s">
        <v>187</v>
      </c>
      <c r="D7" s="35">
        <v>8.4800000000000001E-5</v>
      </c>
      <c r="E7" s="36">
        <v>7.74</v>
      </c>
      <c r="F7" s="36">
        <v>299</v>
      </c>
      <c r="G7" s="36">
        <v>0.33300000000000002</v>
      </c>
      <c r="H7" s="36">
        <v>0.71099999999999997</v>
      </c>
      <c r="I7" s="36">
        <v>9.1899999999999998E-5</v>
      </c>
      <c r="J7" s="36">
        <v>578</v>
      </c>
      <c r="K7" s="36">
        <v>0.11</v>
      </c>
      <c r="L7" s="36">
        <v>0.41499999999999998</v>
      </c>
      <c r="M7" t="s">
        <v>195</v>
      </c>
      <c r="N7">
        <v>1.0284068121711401</v>
      </c>
      <c r="O7">
        <v>2.2306330433624799E-3</v>
      </c>
      <c r="P7">
        <v>3.6436442417115661E-2</v>
      </c>
      <c r="Q7">
        <v>10.335553924985527</v>
      </c>
      <c r="R7">
        <v>1.0603251896371499</v>
      </c>
      <c r="S7">
        <v>4.4229466555208404E-3</v>
      </c>
      <c r="T7">
        <v>7.0803352979354459E-2</v>
      </c>
      <c r="U7">
        <v>5.4826144943871915</v>
      </c>
    </row>
    <row r="8" spans="1:21" x14ac:dyDescent="0.2">
      <c r="A8" s="37" t="s">
        <v>95</v>
      </c>
      <c r="B8" s="33" t="s">
        <v>182</v>
      </c>
      <c r="C8" s="33" t="s">
        <v>188</v>
      </c>
      <c r="D8" s="35">
        <v>0</v>
      </c>
      <c r="E8" s="36">
        <v>8.41</v>
      </c>
      <c r="F8" s="36">
        <v>511</v>
      </c>
      <c r="G8" s="36">
        <v>0.33300000000000002</v>
      </c>
      <c r="H8" s="36">
        <v>0.10299999999999999</v>
      </c>
      <c r="I8" s="36">
        <v>3.9300000000000003E-3</v>
      </c>
      <c r="J8" s="36">
        <v>571</v>
      </c>
      <c r="K8" s="36">
        <v>0.107</v>
      </c>
      <c r="L8" s="36">
        <v>0.86</v>
      </c>
      <c r="M8" t="s">
        <v>195</v>
      </c>
      <c r="N8">
        <v>1.02179693965554</v>
      </c>
      <c r="O8">
        <v>2.7056382796108798E-3</v>
      </c>
      <c r="P8">
        <v>2.3915525507128277E-2</v>
      </c>
      <c r="Q8">
        <v>4.4973258485637135</v>
      </c>
      <c r="R8">
        <v>1.03159434799336</v>
      </c>
      <c r="S8">
        <v>3.7779770095568298E-3</v>
      </c>
      <c r="T8">
        <v>0.11652141873063872</v>
      </c>
      <c r="U8">
        <v>11.584321669112553</v>
      </c>
    </row>
    <row r="9" spans="1:21" x14ac:dyDescent="0.2">
      <c r="A9" s="37" t="s">
        <v>98</v>
      </c>
      <c r="B9" s="33" t="s">
        <v>97</v>
      </c>
      <c r="C9" s="33" t="s">
        <v>75</v>
      </c>
      <c r="D9" s="2">
        <v>0</v>
      </c>
      <c r="E9" s="34">
        <v>29.1</v>
      </c>
      <c r="F9" s="34">
        <v>679</v>
      </c>
      <c r="G9" s="34">
        <v>0.33300000000000002</v>
      </c>
      <c r="H9" s="2">
        <v>1.81</v>
      </c>
      <c r="I9" s="34">
        <v>0.215</v>
      </c>
      <c r="J9" s="34">
        <v>528</v>
      </c>
      <c r="K9" s="34">
        <v>0.13200000000000001</v>
      </c>
      <c r="L9" s="2">
        <v>1.1200000000000001</v>
      </c>
      <c r="M9" t="s">
        <v>196</v>
      </c>
      <c r="N9">
        <v>1.0164771022756751</v>
      </c>
      <c r="O9">
        <v>5.2696173119710877E-3</v>
      </c>
      <c r="P9">
        <v>0.29578176588647115</v>
      </c>
      <c r="Q9">
        <v>-89.473361423263128</v>
      </c>
      <c r="R9">
        <v>1.0225229996859</v>
      </c>
      <c r="S9">
        <v>1.1958649556241752E-2</v>
      </c>
      <c r="T9">
        <v>0.48637469923090254</v>
      </c>
      <c r="U9">
        <v>23.140630590214084</v>
      </c>
    </row>
    <row r="10" spans="1:21" x14ac:dyDescent="0.2">
      <c r="A10" s="37" t="s">
        <v>98</v>
      </c>
      <c r="B10" s="33" t="s">
        <v>97</v>
      </c>
      <c r="C10" s="33" t="s">
        <v>76</v>
      </c>
      <c r="D10" s="2">
        <v>0</v>
      </c>
      <c r="E10" s="34">
        <v>1.05</v>
      </c>
      <c r="F10" s="34">
        <v>1000</v>
      </c>
      <c r="G10" s="34">
        <v>0.245</v>
      </c>
      <c r="H10" s="2">
        <v>1.18</v>
      </c>
      <c r="I10" s="34">
        <v>0.23300000000000001</v>
      </c>
      <c r="J10" s="34">
        <v>394</v>
      </c>
      <c r="K10" s="34">
        <v>0.11799999999999999</v>
      </c>
      <c r="L10" s="2">
        <v>0.61899999999999999</v>
      </c>
      <c r="M10" t="s">
        <v>196</v>
      </c>
      <c r="N10">
        <v>1.0083487217346887</v>
      </c>
      <c r="O10">
        <v>5.4564577158303486E-3</v>
      </c>
      <c r="P10">
        <v>0.62577989215635732</v>
      </c>
      <c r="Q10">
        <v>-34.918957130291467</v>
      </c>
      <c r="R10">
        <v>1.021805403288423</v>
      </c>
      <c r="S10">
        <v>8.9842031568079135E-3</v>
      </c>
      <c r="T10">
        <v>0.39601507883104697</v>
      </c>
      <c r="U10">
        <v>19.037204205794847</v>
      </c>
    </row>
    <row r="11" spans="1:21" x14ac:dyDescent="0.2">
      <c r="A11" s="37" t="s">
        <v>98</v>
      </c>
      <c r="B11" s="33" t="s">
        <v>96</v>
      </c>
      <c r="C11" s="33" t="s">
        <v>93</v>
      </c>
      <c r="D11" s="2">
        <v>0</v>
      </c>
      <c r="E11" s="34">
        <v>0.22500000000000001</v>
      </c>
      <c r="F11" s="34">
        <v>534</v>
      </c>
      <c r="G11" s="34">
        <v>0.158</v>
      </c>
      <c r="H11" s="2">
        <v>0.17799999999999999</v>
      </c>
      <c r="I11" s="34">
        <v>0.36</v>
      </c>
      <c r="J11" s="34">
        <v>1000</v>
      </c>
      <c r="K11" s="34">
        <v>0.109</v>
      </c>
      <c r="L11" s="2">
        <v>2.06</v>
      </c>
      <c r="M11" t="s">
        <v>196</v>
      </c>
      <c r="N11">
        <v>1.0146815297981917</v>
      </c>
      <c r="O11">
        <v>9.6170835699871445E-3</v>
      </c>
      <c r="P11">
        <v>0.62082219581819131</v>
      </c>
      <c r="Q11">
        <v>22.504230089441339</v>
      </c>
      <c r="R11">
        <v>1.0180022869640419</v>
      </c>
      <c r="S11">
        <v>1.6484542286515549E-2</v>
      </c>
      <c r="T11">
        <v>0.84643740239174869</v>
      </c>
      <c r="U11">
        <v>25.734068111725946</v>
      </c>
    </row>
    <row r="12" spans="1:21" x14ac:dyDescent="0.2">
      <c r="A12" s="37" t="s">
        <v>98</v>
      </c>
      <c r="B12" s="33" t="s">
        <v>180</v>
      </c>
      <c r="C12" s="33" t="s">
        <v>194</v>
      </c>
      <c r="D12" s="2">
        <v>0</v>
      </c>
      <c r="E12" s="34">
        <v>0.746</v>
      </c>
      <c r="F12" s="34">
        <v>476</v>
      </c>
      <c r="G12" s="34">
        <v>0.193</v>
      </c>
      <c r="H12" s="34">
        <v>1.57</v>
      </c>
      <c r="I12" s="34">
        <v>16.600000000000001</v>
      </c>
      <c r="J12" s="34">
        <v>1000</v>
      </c>
      <c r="K12" s="34">
        <v>0.317</v>
      </c>
      <c r="L12" s="2">
        <v>-3.14</v>
      </c>
      <c r="M12" t="s">
        <v>196</v>
      </c>
      <c r="N12">
        <v>1.0173488408870599</v>
      </c>
      <c r="O12">
        <v>2.34327376099121E-3</v>
      </c>
      <c r="P12">
        <v>0.19094120399055567</v>
      </c>
      <c r="Q12">
        <v>19.771406259113213</v>
      </c>
      <c r="R12">
        <v>1.01841898845101</v>
      </c>
      <c r="S12">
        <v>4.2100221490905497E-3</v>
      </c>
      <c r="T12">
        <v>0.23810879467998339</v>
      </c>
      <c r="U12">
        <v>13.502893859980814</v>
      </c>
    </row>
    <row r="13" spans="1:21" x14ac:dyDescent="0.2">
      <c r="A13" s="37" t="s">
        <v>84</v>
      </c>
      <c r="B13" s="33" t="s">
        <v>96</v>
      </c>
      <c r="C13" s="33" t="s">
        <v>89</v>
      </c>
      <c r="D13" s="2">
        <v>2.7799999999999998E-4</v>
      </c>
      <c r="E13" s="34">
        <v>0.126</v>
      </c>
      <c r="F13" s="34">
        <v>302</v>
      </c>
      <c r="G13" s="34">
        <v>0.157</v>
      </c>
      <c r="H13" s="2">
        <v>2.5</v>
      </c>
      <c r="I13" s="34">
        <v>2.3400000000000001E-3</v>
      </c>
      <c r="J13" s="34">
        <v>459</v>
      </c>
      <c r="K13" s="34">
        <v>2.3199999999999998E-2</v>
      </c>
      <c r="L13" s="2">
        <v>2.0699999999999998</v>
      </c>
      <c r="M13" t="s">
        <v>197</v>
      </c>
      <c r="N13">
        <v>1.01673055090278</v>
      </c>
      <c r="O13">
        <v>2.9990150262000398E-3</v>
      </c>
      <c r="P13">
        <v>0.17276462786062485</v>
      </c>
      <c r="Q13">
        <v>-7.3722671637038957</v>
      </c>
      <c r="R13">
        <v>1.02359693202531</v>
      </c>
      <c r="S13">
        <v>4.5204759802894299E-3</v>
      </c>
      <c r="T13">
        <v>0.20966538521434538</v>
      </c>
      <c r="U13">
        <v>34.64610401281498</v>
      </c>
    </row>
    <row r="14" spans="1:21" x14ac:dyDescent="0.2">
      <c r="A14" s="37" t="s">
        <v>84</v>
      </c>
      <c r="B14" s="33" t="s">
        <v>182</v>
      </c>
      <c r="C14" s="33" t="s">
        <v>181</v>
      </c>
      <c r="D14" s="35">
        <v>0</v>
      </c>
      <c r="E14" s="36">
        <v>2.89</v>
      </c>
      <c r="F14" s="36">
        <v>1000</v>
      </c>
      <c r="G14" s="36">
        <v>0.308</v>
      </c>
      <c r="H14" s="36">
        <v>1.6</v>
      </c>
      <c r="I14" s="36">
        <v>7.5799999999999999E-5</v>
      </c>
      <c r="J14" s="36">
        <v>578</v>
      </c>
      <c r="K14" s="36">
        <v>0.111</v>
      </c>
      <c r="L14" s="36">
        <v>0.8</v>
      </c>
      <c r="M14" t="s">
        <v>197</v>
      </c>
      <c r="N14">
        <v>1.0243356595670601</v>
      </c>
      <c r="O14">
        <v>2.5310432454048902E-3</v>
      </c>
      <c r="P14">
        <v>8.4440191577176124E-2</v>
      </c>
      <c r="Q14">
        <v>46.294057088061606</v>
      </c>
      <c r="R14">
        <v>1.0461655059110999</v>
      </c>
      <c r="S14">
        <v>4.9468734332918903E-3</v>
      </c>
      <c r="T14">
        <v>0.13003601988989774</v>
      </c>
      <c r="U14">
        <v>14.265694746709652</v>
      </c>
    </row>
    <row r="15" spans="1:21" x14ac:dyDescent="0.2">
      <c r="A15" s="37" t="s">
        <v>84</v>
      </c>
      <c r="B15" s="33" t="s">
        <v>182</v>
      </c>
      <c r="C15" s="33" t="s">
        <v>183</v>
      </c>
      <c r="D15" s="35">
        <v>0</v>
      </c>
      <c r="E15" s="36">
        <v>26.9</v>
      </c>
      <c r="F15" s="36">
        <v>1000</v>
      </c>
      <c r="G15" s="36">
        <v>0.33300000000000002</v>
      </c>
      <c r="H15" s="36">
        <v>0.89600000000000002</v>
      </c>
      <c r="I15" s="36">
        <v>4.4099999999999999E-3</v>
      </c>
      <c r="J15" s="36">
        <v>614</v>
      </c>
      <c r="K15" s="36">
        <v>8.8400000000000006E-2</v>
      </c>
      <c r="L15" s="36" t="s">
        <v>200</v>
      </c>
      <c r="M15" t="s">
        <v>197</v>
      </c>
      <c r="N15">
        <v>1.02344073131475</v>
      </c>
      <c r="O15">
        <v>0</v>
      </c>
      <c r="P15">
        <v>-5.8054061468175641E-3</v>
      </c>
      <c r="Q15">
        <v>2.3008703867194504</v>
      </c>
      <c r="R15">
        <v>1.0265249364573199</v>
      </c>
      <c r="S15">
        <v>4.0926695589208802E-3</v>
      </c>
      <c r="T15">
        <v>4.1823867868680996E-2</v>
      </c>
      <c r="U15">
        <v>16.464885479161318</v>
      </c>
    </row>
    <row r="16" spans="1:21" x14ac:dyDescent="0.2">
      <c r="A16" s="37" t="s">
        <v>84</v>
      </c>
      <c r="B16" s="33" t="s">
        <v>96</v>
      </c>
      <c r="C16" s="33" t="s">
        <v>90</v>
      </c>
      <c r="D16" s="2">
        <v>9.9900000000000006E-3</v>
      </c>
      <c r="E16" s="34">
        <v>0.13400000000000001</v>
      </c>
      <c r="F16" s="34">
        <v>292</v>
      </c>
      <c r="G16" s="34">
        <v>2.7399999999999999E-5</v>
      </c>
      <c r="H16" s="2">
        <v>1.57</v>
      </c>
      <c r="I16" s="34">
        <v>0.17699999999999999</v>
      </c>
      <c r="J16" s="34">
        <v>413</v>
      </c>
      <c r="K16" s="34">
        <v>4.1399999999999996E-3</v>
      </c>
      <c r="L16" s="2">
        <v>0.35699999999999998</v>
      </c>
      <c r="M16" t="s">
        <v>197</v>
      </c>
      <c r="N16">
        <v>1.0066974796452099</v>
      </c>
      <c r="O16">
        <v>4.9570144232596296E-3</v>
      </c>
      <c r="P16">
        <v>0.56684982933367878</v>
      </c>
      <c r="Q16">
        <v>-22.264175122108117</v>
      </c>
      <c r="R16">
        <v>1.00817361148578</v>
      </c>
      <c r="S16">
        <v>6.2347471364697102E-3</v>
      </c>
      <c r="T16">
        <v>0.65554980354932979</v>
      </c>
      <c r="U16">
        <v>14.597190626552809</v>
      </c>
    </row>
    <row r="17" spans="1:21" x14ac:dyDescent="0.2">
      <c r="A17" s="37" t="s">
        <v>99</v>
      </c>
      <c r="B17" s="33" t="s">
        <v>96</v>
      </c>
      <c r="C17" s="33" t="s">
        <v>87</v>
      </c>
      <c r="D17" s="2">
        <v>1.42E-3</v>
      </c>
      <c r="E17" s="34">
        <v>1.55</v>
      </c>
      <c r="F17" s="34">
        <v>640</v>
      </c>
      <c r="G17" s="34">
        <v>0.224</v>
      </c>
      <c r="H17" s="2">
        <v>1.17</v>
      </c>
      <c r="I17" s="34">
        <v>3.15E-2</v>
      </c>
      <c r="J17" s="34">
        <v>643</v>
      </c>
      <c r="K17" s="34">
        <v>0.11700000000000001</v>
      </c>
      <c r="L17" s="2">
        <v>0.63600000000000001</v>
      </c>
      <c r="M17" t="s">
        <v>198</v>
      </c>
      <c r="N17">
        <v>1.0048938965673375</v>
      </c>
      <c r="O17">
        <v>2.174777565749133E-3</v>
      </c>
      <c r="P17">
        <v>0.38470284122952236</v>
      </c>
      <c r="Q17">
        <v>9.7764014242353738</v>
      </c>
      <c r="R17">
        <v>1.0179078910508219</v>
      </c>
      <c r="S17">
        <v>1.1454891990244348E-2</v>
      </c>
      <c r="T17">
        <v>0.62342364937421857</v>
      </c>
      <c r="U17">
        <v>6.3397862298314323</v>
      </c>
    </row>
    <row r="18" spans="1:21" x14ac:dyDescent="0.2">
      <c r="A18" s="37" t="s">
        <v>99</v>
      </c>
      <c r="B18" s="33" t="s">
        <v>96</v>
      </c>
      <c r="C18" s="33" t="s">
        <v>88</v>
      </c>
      <c r="D18" s="2">
        <v>0</v>
      </c>
      <c r="E18" s="34">
        <v>0</v>
      </c>
      <c r="F18" s="34">
        <v>703</v>
      </c>
      <c r="G18" s="34">
        <v>0.12</v>
      </c>
      <c r="H18" s="2">
        <v>0.91100000000000003</v>
      </c>
      <c r="I18" s="34">
        <v>0.96</v>
      </c>
      <c r="J18" s="34">
        <v>1000</v>
      </c>
      <c r="K18" s="34">
        <v>3.46E-3</v>
      </c>
      <c r="L18" s="2">
        <v>1.1000000000000001</v>
      </c>
      <c r="M18" t="s">
        <v>198</v>
      </c>
      <c r="N18">
        <v>1.010334076561249</v>
      </c>
      <c r="O18">
        <v>6.238211647514938E-3</v>
      </c>
      <c r="P18">
        <v>0.63558235628311599</v>
      </c>
      <c r="Q18">
        <v>17.616921628739931</v>
      </c>
      <c r="R18">
        <v>1.0062940652497647</v>
      </c>
      <c r="S18">
        <v>2.5738975806090122E-2</v>
      </c>
      <c r="T18">
        <v>3.9239282153095969</v>
      </c>
      <c r="U18">
        <v>46.103782273696865</v>
      </c>
    </row>
    <row r="19" spans="1:21" x14ac:dyDescent="0.2">
      <c r="A19" s="37" t="s">
        <v>99</v>
      </c>
      <c r="B19" s="33" t="s">
        <v>97</v>
      </c>
      <c r="C19" s="33" t="s">
        <v>62</v>
      </c>
      <c r="D19" s="2">
        <v>0</v>
      </c>
      <c r="E19" s="34">
        <v>1.05</v>
      </c>
      <c r="F19" s="34">
        <v>304</v>
      </c>
      <c r="G19" s="34">
        <v>0.19900000000000001</v>
      </c>
      <c r="H19" s="2">
        <v>0.441</v>
      </c>
      <c r="I19" s="34">
        <v>0.61</v>
      </c>
      <c r="J19" s="34">
        <v>135</v>
      </c>
      <c r="K19" s="34">
        <v>0</v>
      </c>
      <c r="L19" s="2">
        <v>1.57</v>
      </c>
      <c r="M19" t="s">
        <v>198</v>
      </c>
      <c r="N19">
        <v>1.0107328720850179</v>
      </c>
      <c r="O19">
        <v>8.3824005441452444E-3</v>
      </c>
      <c r="P19">
        <v>0.73810851489710827</v>
      </c>
      <c r="Q19">
        <v>1.3065228390228558</v>
      </c>
      <c r="R19">
        <v>1.0139265129225652</v>
      </c>
      <c r="S19">
        <v>4.0057424676455428E-2</v>
      </c>
      <c r="T19">
        <v>2.8341292892079006</v>
      </c>
      <c r="U19">
        <v>23.834890959019614</v>
      </c>
    </row>
    <row r="20" spans="1:21" x14ac:dyDescent="0.2">
      <c r="A20" s="37" t="s">
        <v>99</v>
      </c>
      <c r="B20" s="33" t="s">
        <v>180</v>
      </c>
      <c r="C20" s="33" t="s">
        <v>184</v>
      </c>
      <c r="D20" s="2">
        <v>0</v>
      </c>
      <c r="E20" s="34">
        <v>0.311</v>
      </c>
      <c r="F20" s="34">
        <v>1000</v>
      </c>
      <c r="G20" s="34">
        <v>0.18</v>
      </c>
      <c r="H20" s="34">
        <v>1.1200000000000001</v>
      </c>
      <c r="I20" s="34">
        <v>9.26</v>
      </c>
      <c r="J20" s="34">
        <v>1000</v>
      </c>
      <c r="K20" s="34">
        <v>0.30599999999999999</v>
      </c>
      <c r="L20" s="2">
        <v>2.0000000000000001E-4</v>
      </c>
      <c r="M20" t="s">
        <v>198</v>
      </c>
      <c r="N20">
        <v>1.0150887949051299</v>
      </c>
      <c r="O20">
        <v>1.63501721030794E-3</v>
      </c>
      <c r="P20">
        <v>0.11127506093974619</v>
      </c>
      <c r="Q20">
        <v>-31.826215862663812</v>
      </c>
      <c r="R20">
        <v>1.01845804271959</v>
      </c>
      <c r="S20">
        <v>3.28217847779632E-3</v>
      </c>
      <c r="T20">
        <v>0.16818500803654143</v>
      </c>
      <c r="U20">
        <v>19.007315096405115</v>
      </c>
    </row>
    <row r="21" spans="1:21" x14ac:dyDescent="0.2">
      <c r="A21" s="37" t="s">
        <v>99</v>
      </c>
      <c r="B21" s="33" t="s">
        <v>180</v>
      </c>
      <c r="C21" s="33" t="s">
        <v>185</v>
      </c>
      <c r="D21" s="2">
        <v>4.6900000000000002E-5</v>
      </c>
      <c r="E21" s="34">
        <v>0.73799999999999999</v>
      </c>
      <c r="F21" s="34">
        <v>704</v>
      </c>
      <c r="G21" s="2">
        <v>0.28799999999999998</v>
      </c>
      <c r="H21" s="34">
        <v>-1.34</v>
      </c>
      <c r="I21" s="34">
        <v>8.6200000000000005E-6</v>
      </c>
      <c r="J21" s="34">
        <v>576</v>
      </c>
      <c r="K21" s="34">
        <v>0.112</v>
      </c>
      <c r="L21" s="2">
        <v>1.58</v>
      </c>
      <c r="M21" t="s">
        <v>198</v>
      </c>
      <c r="N21">
        <v>1.00480788175514</v>
      </c>
      <c r="O21">
        <v>1.9607151120156498E-3</v>
      </c>
      <c r="P21">
        <v>0.42726046848758581</v>
      </c>
      <c r="Q21">
        <v>1.4352924307007509</v>
      </c>
      <c r="R21">
        <v>1.01964790325173</v>
      </c>
      <c r="S21">
        <v>3.2868001317875402E-4</v>
      </c>
      <c r="T21">
        <v>8.7116956242771649E-3</v>
      </c>
      <c r="U21">
        <v>5.8574467050293029</v>
      </c>
    </row>
    <row r="22" spans="1:21" x14ac:dyDescent="0.2">
      <c r="A22" s="37" t="s">
        <v>99</v>
      </c>
      <c r="B22" s="33" t="s">
        <v>182</v>
      </c>
      <c r="C22" s="33" t="s">
        <v>186</v>
      </c>
      <c r="D22" s="35">
        <v>2.4600000000000002E-4</v>
      </c>
      <c r="E22" s="36">
        <v>5.93</v>
      </c>
      <c r="F22" s="36">
        <v>107</v>
      </c>
      <c r="G22" s="36">
        <v>0.3</v>
      </c>
      <c r="H22" s="36">
        <v>-0.83199999999999996</v>
      </c>
      <c r="I22" s="36">
        <v>1.0200000000000001E-3</v>
      </c>
      <c r="J22" s="36">
        <v>521</v>
      </c>
      <c r="K22" s="36">
        <v>8.6900000000000005E-2</v>
      </c>
      <c r="L22" s="36">
        <v>1.57</v>
      </c>
      <c r="M22" t="s">
        <v>198</v>
      </c>
      <c r="N22">
        <v>1.01839651788704</v>
      </c>
      <c r="O22">
        <v>8.2636214230088296E-4</v>
      </c>
      <c r="P22">
        <v>1.3813441401983277E-2</v>
      </c>
      <c r="Q22">
        <v>-63.549523955338465</v>
      </c>
      <c r="R22">
        <v>1.0318780395499201</v>
      </c>
      <c r="S22">
        <v>3.2787874257190698E-3</v>
      </c>
      <c r="T22">
        <v>5.0795572446380784E-2</v>
      </c>
      <c r="U22">
        <v>18.364863152390296</v>
      </c>
    </row>
    <row r="27" spans="1:21" x14ac:dyDescent="0.2">
      <c r="A27" t="s">
        <v>199</v>
      </c>
      <c r="C27" t="s">
        <v>114</v>
      </c>
      <c r="D27" t="s">
        <v>115</v>
      </c>
      <c r="E27" t="s">
        <v>110</v>
      </c>
      <c r="F27" t="s">
        <v>111</v>
      </c>
      <c r="G27" t="s">
        <v>116</v>
      </c>
      <c r="H27" t="s">
        <v>117</v>
      </c>
      <c r="I27" t="s">
        <v>112</v>
      </c>
      <c r="J27" t="s">
        <v>113</v>
      </c>
    </row>
    <row r="28" spans="1:21" x14ac:dyDescent="0.2">
      <c r="A28" t="s">
        <v>195</v>
      </c>
      <c r="B28" s="33" t="s">
        <v>94</v>
      </c>
      <c r="C28">
        <v>1.0224822248789724</v>
      </c>
      <c r="D28">
        <v>7.2715659738917275E-3</v>
      </c>
      <c r="E28">
        <v>0.30808678332961659</v>
      </c>
      <c r="F28">
        <v>-7.9997021928279475</v>
      </c>
      <c r="G28">
        <v>1.0191506201833505</v>
      </c>
      <c r="H28">
        <v>5.0063037203028262E-3</v>
      </c>
      <c r="I28">
        <v>0.24874659056263568</v>
      </c>
      <c r="J28">
        <v>12.231362880950295</v>
      </c>
    </row>
    <row r="29" spans="1:21" x14ac:dyDescent="0.2">
      <c r="A29" t="s">
        <v>195</v>
      </c>
      <c r="B29" s="33" t="s">
        <v>65</v>
      </c>
      <c r="C29">
        <v>1.0168479277507689</v>
      </c>
      <c r="D29">
        <v>9.3069492368843213E-3</v>
      </c>
      <c r="E29">
        <v>0.5322630460957446</v>
      </c>
      <c r="F29">
        <v>-11.524887437433593</v>
      </c>
      <c r="G29">
        <v>1.0244687444336531</v>
      </c>
      <c r="H29">
        <v>2.6377145659225845E-2</v>
      </c>
      <c r="I29">
        <v>1.0335354523775298</v>
      </c>
      <c r="J29">
        <v>25.666830537796038</v>
      </c>
    </row>
    <row r="30" spans="1:21" x14ac:dyDescent="0.2">
      <c r="A30" t="s">
        <v>195</v>
      </c>
      <c r="B30" s="33" t="s">
        <v>66</v>
      </c>
      <c r="C30">
        <v>1.0239104064336699</v>
      </c>
      <c r="D30">
        <v>6.2954096703122259E-3</v>
      </c>
      <c r="E30">
        <v>0.24852953484068935</v>
      </c>
      <c r="F30">
        <v>48.182654892849918</v>
      </c>
      <c r="G30">
        <v>1.0422105739583043</v>
      </c>
      <c r="H30">
        <v>1.640776580558749E-2</v>
      </c>
      <c r="I30">
        <v>0.36814723506101921</v>
      </c>
      <c r="J30">
        <v>9.5589600528247445</v>
      </c>
    </row>
    <row r="31" spans="1:21" x14ac:dyDescent="0.2">
      <c r="A31" t="s">
        <v>195</v>
      </c>
      <c r="B31" s="33" t="s">
        <v>193</v>
      </c>
      <c r="C31">
        <v>1.01757310898745</v>
      </c>
      <c r="D31">
        <v>2.2580985375756902E-3</v>
      </c>
      <c r="E31">
        <v>9.456126805741559E-2</v>
      </c>
      <c r="F31">
        <v>8.4937800833401003</v>
      </c>
      <c r="G31">
        <v>1.0233419421593599</v>
      </c>
      <c r="H31">
        <v>3.4652265954986101E-3</v>
      </c>
      <c r="I31">
        <v>0.11371204883592148</v>
      </c>
      <c r="J31">
        <v>6.969783359182224</v>
      </c>
    </row>
    <row r="32" spans="1:21" x14ac:dyDescent="0.2">
      <c r="A32" t="s">
        <v>195</v>
      </c>
      <c r="B32" s="33" t="s">
        <v>187</v>
      </c>
      <c r="C32">
        <v>1.0284068121711401</v>
      </c>
      <c r="D32">
        <v>2.2306330433624799E-3</v>
      </c>
      <c r="E32">
        <v>3.6436442417115661E-2</v>
      </c>
      <c r="F32">
        <v>10.335553924985527</v>
      </c>
      <c r="G32">
        <v>1.0603251896371499</v>
      </c>
      <c r="H32">
        <v>4.4229466555208404E-3</v>
      </c>
      <c r="I32">
        <v>7.0803352979354459E-2</v>
      </c>
      <c r="J32">
        <v>5.4826144943871915</v>
      </c>
    </row>
    <row r="33" spans="1:10" x14ac:dyDescent="0.2">
      <c r="A33" t="s">
        <v>195</v>
      </c>
      <c r="B33" s="33" t="s">
        <v>188</v>
      </c>
      <c r="C33">
        <v>1.02179693965554</v>
      </c>
      <c r="D33">
        <v>2.7056382796108798E-3</v>
      </c>
      <c r="E33">
        <v>2.3915525507128277E-2</v>
      </c>
      <c r="F33">
        <v>4.4973258485637135</v>
      </c>
      <c r="G33">
        <v>1.03159434799336</v>
      </c>
      <c r="H33">
        <v>3.7779770095568298E-3</v>
      </c>
      <c r="I33">
        <v>0.11652141873063872</v>
      </c>
      <c r="J33">
        <v>11.584321669112553</v>
      </c>
    </row>
    <row r="34" spans="1:10" x14ac:dyDescent="0.2">
      <c r="A34" t="s">
        <v>196</v>
      </c>
      <c r="B34" s="33" t="s">
        <v>75</v>
      </c>
      <c r="C34">
        <v>1.0164771022756751</v>
      </c>
      <c r="D34">
        <v>5.2696173119710877E-3</v>
      </c>
      <c r="E34">
        <v>0.29578176588647115</v>
      </c>
      <c r="F34">
        <v>-89.473361423263128</v>
      </c>
      <c r="G34">
        <v>1.0225229996859</v>
      </c>
      <c r="H34">
        <v>1.1958649556241752E-2</v>
      </c>
      <c r="I34">
        <v>0.48637469923090254</v>
      </c>
      <c r="J34">
        <v>23.140630590214084</v>
      </c>
    </row>
    <row r="35" spans="1:10" x14ac:dyDescent="0.2">
      <c r="A35" t="s">
        <v>196</v>
      </c>
      <c r="B35" s="33" t="s">
        <v>76</v>
      </c>
      <c r="C35">
        <v>1.0083487217346887</v>
      </c>
      <c r="D35">
        <v>5.4564577158303486E-3</v>
      </c>
      <c r="E35">
        <v>0.62577989215635732</v>
      </c>
      <c r="F35">
        <v>-34.918957130291467</v>
      </c>
      <c r="G35">
        <v>1.021805403288423</v>
      </c>
      <c r="H35">
        <v>8.9842031568079135E-3</v>
      </c>
      <c r="I35">
        <v>0.39601507883104697</v>
      </c>
      <c r="J35">
        <v>19.037204205794847</v>
      </c>
    </row>
    <row r="36" spans="1:10" x14ac:dyDescent="0.2">
      <c r="A36" t="s">
        <v>196</v>
      </c>
      <c r="B36" s="33" t="s">
        <v>93</v>
      </c>
      <c r="C36">
        <v>1.0146815297981917</v>
      </c>
      <c r="D36">
        <v>9.6170835699871445E-3</v>
      </c>
      <c r="E36">
        <v>0.62082219581819131</v>
      </c>
      <c r="F36">
        <v>22.504230089441339</v>
      </c>
      <c r="G36">
        <v>1.0180022869640419</v>
      </c>
      <c r="H36">
        <v>1.6484542286515549E-2</v>
      </c>
      <c r="I36">
        <v>0.84643740239174869</v>
      </c>
      <c r="J36">
        <v>25.734068111725946</v>
      </c>
    </row>
    <row r="37" spans="1:10" x14ac:dyDescent="0.2">
      <c r="A37" t="s">
        <v>196</v>
      </c>
      <c r="B37" s="33" t="s">
        <v>194</v>
      </c>
      <c r="C37">
        <v>1.0173488408870599</v>
      </c>
      <c r="D37">
        <v>2.34327376099121E-3</v>
      </c>
      <c r="E37">
        <v>0.19094120399055567</v>
      </c>
      <c r="F37">
        <v>19.771406259113213</v>
      </c>
      <c r="G37">
        <v>1.01841898845101</v>
      </c>
      <c r="H37">
        <v>4.2100221490905497E-3</v>
      </c>
      <c r="I37">
        <v>0.23810879467998339</v>
      </c>
      <c r="J37">
        <v>13.502893859980814</v>
      </c>
    </row>
    <row r="38" spans="1:10" x14ac:dyDescent="0.2">
      <c r="A38" t="s">
        <v>197</v>
      </c>
      <c r="B38" s="33" t="s">
        <v>89</v>
      </c>
      <c r="C38">
        <v>1.01673055090278</v>
      </c>
      <c r="D38">
        <v>2.9990150262000398E-3</v>
      </c>
      <c r="E38">
        <v>0.17276462786062485</v>
      </c>
      <c r="F38">
        <v>-7.3722671637038957</v>
      </c>
      <c r="G38">
        <v>1.02359693202531</v>
      </c>
      <c r="H38">
        <v>4.5204759802894299E-3</v>
      </c>
      <c r="I38">
        <v>0.20966538521434538</v>
      </c>
      <c r="J38">
        <v>34.64610401281498</v>
      </c>
    </row>
    <row r="39" spans="1:10" x14ac:dyDescent="0.2">
      <c r="A39" t="s">
        <v>197</v>
      </c>
      <c r="B39" s="33" t="s">
        <v>181</v>
      </c>
      <c r="C39">
        <v>1.0243356595670601</v>
      </c>
      <c r="D39">
        <v>2.5310432454048902E-3</v>
      </c>
      <c r="E39">
        <v>8.4440191577176124E-2</v>
      </c>
      <c r="F39">
        <v>46.294057088061606</v>
      </c>
      <c r="G39">
        <v>1.0461655059110999</v>
      </c>
      <c r="H39">
        <v>4.9468734332918903E-3</v>
      </c>
      <c r="I39">
        <v>0.13003601988989774</v>
      </c>
      <c r="J39">
        <v>14.265694746709652</v>
      </c>
    </row>
    <row r="40" spans="1:10" x14ac:dyDescent="0.2">
      <c r="A40" t="s">
        <v>197</v>
      </c>
      <c r="B40" s="33" t="s">
        <v>183</v>
      </c>
      <c r="C40">
        <v>1.02344073131475</v>
      </c>
      <c r="D40">
        <v>0</v>
      </c>
      <c r="E40">
        <v>-5.8054061468175641E-3</v>
      </c>
      <c r="F40">
        <v>2.3008703867194504</v>
      </c>
      <c r="G40">
        <v>1.0265249364573199</v>
      </c>
      <c r="H40">
        <v>4.0926695589208802E-3</v>
      </c>
      <c r="I40">
        <v>4.1823867868680996E-2</v>
      </c>
      <c r="J40">
        <v>16.464885479161318</v>
      </c>
    </row>
    <row r="41" spans="1:10" x14ac:dyDescent="0.2">
      <c r="A41" t="s">
        <v>197</v>
      </c>
      <c r="B41" s="33" t="s">
        <v>90</v>
      </c>
      <c r="C41">
        <v>1.0066974796452099</v>
      </c>
      <c r="D41">
        <v>4.9570144232596296E-3</v>
      </c>
      <c r="E41">
        <v>0.56684982933367878</v>
      </c>
      <c r="F41">
        <v>-22.264175122108117</v>
      </c>
      <c r="G41">
        <v>1.00817361148578</v>
      </c>
      <c r="H41">
        <v>6.2347471364697102E-3</v>
      </c>
      <c r="I41">
        <v>0.65554980354932979</v>
      </c>
      <c r="J41">
        <v>14.597190626552809</v>
      </c>
    </row>
    <row r="42" spans="1:10" x14ac:dyDescent="0.2">
      <c r="A42" t="s">
        <v>198</v>
      </c>
      <c r="B42" s="33" t="s">
        <v>87</v>
      </c>
      <c r="C42">
        <v>1.0048938965673375</v>
      </c>
      <c r="D42">
        <v>2.174777565749133E-3</v>
      </c>
      <c r="E42">
        <v>0.38470284122952236</v>
      </c>
      <c r="F42">
        <v>9.7764014242353738</v>
      </c>
      <c r="G42">
        <v>1.0179078910508219</v>
      </c>
      <c r="H42">
        <v>1.1454891990244348E-2</v>
      </c>
      <c r="I42">
        <v>0.62342364937421857</v>
      </c>
      <c r="J42">
        <v>6.3397862298314323</v>
      </c>
    </row>
    <row r="43" spans="1:10" x14ac:dyDescent="0.2">
      <c r="A43" t="s">
        <v>198</v>
      </c>
      <c r="B43" s="33" t="s">
        <v>88</v>
      </c>
      <c r="C43">
        <v>1.010334076561249</v>
      </c>
      <c r="D43">
        <v>6.238211647514938E-3</v>
      </c>
      <c r="E43">
        <v>0.63558235628311599</v>
      </c>
      <c r="F43">
        <v>17.616921628739931</v>
      </c>
      <c r="G43">
        <v>1.0062940652497647</v>
      </c>
      <c r="H43">
        <v>2.5738975806090122E-2</v>
      </c>
      <c r="I43">
        <v>3.9239282153095969</v>
      </c>
      <c r="J43">
        <v>46.103782273696865</v>
      </c>
    </row>
    <row r="44" spans="1:10" x14ac:dyDescent="0.2">
      <c r="A44" t="s">
        <v>198</v>
      </c>
      <c r="B44" s="33" t="s">
        <v>62</v>
      </c>
      <c r="C44">
        <v>1.0107328720850179</v>
      </c>
      <c r="D44">
        <v>8.3824005441452444E-3</v>
      </c>
      <c r="E44">
        <v>0.73810851489710827</v>
      </c>
      <c r="F44">
        <v>1.3065228390228558</v>
      </c>
      <c r="G44">
        <v>1.0139265129225652</v>
      </c>
      <c r="H44">
        <v>4.0057424676455428E-2</v>
      </c>
      <c r="I44">
        <v>2.8341292892079006</v>
      </c>
      <c r="J44">
        <v>23.834890959019614</v>
      </c>
    </row>
    <row r="45" spans="1:10" x14ac:dyDescent="0.2">
      <c r="A45" t="s">
        <v>198</v>
      </c>
      <c r="B45" s="33" t="s">
        <v>184</v>
      </c>
      <c r="C45">
        <v>1.0150887949051299</v>
      </c>
      <c r="D45">
        <v>1.63501721030794E-3</v>
      </c>
      <c r="E45">
        <v>0.11127506093974619</v>
      </c>
      <c r="F45">
        <v>-31.826215862663812</v>
      </c>
      <c r="G45">
        <v>1.01845804271959</v>
      </c>
      <c r="H45">
        <v>3.28217847779632E-3</v>
      </c>
      <c r="I45">
        <v>0.16818500803654143</v>
      </c>
      <c r="J45">
        <v>19.007315096405115</v>
      </c>
    </row>
    <row r="46" spans="1:10" x14ac:dyDescent="0.2">
      <c r="A46" t="s">
        <v>198</v>
      </c>
      <c r="B46" s="33" t="s">
        <v>185</v>
      </c>
      <c r="C46">
        <v>1.00480788175514</v>
      </c>
      <c r="D46">
        <v>1.9607151120156498E-3</v>
      </c>
      <c r="E46">
        <v>0.42726046848758581</v>
      </c>
      <c r="F46">
        <v>1.4352924307007509</v>
      </c>
      <c r="G46">
        <v>1.01964790325173</v>
      </c>
      <c r="H46">
        <v>3.2868001317875402E-4</v>
      </c>
      <c r="I46">
        <v>8.7116956242771649E-3</v>
      </c>
      <c r="J46">
        <v>5.8574467050293029</v>
      </c>
    </row>
    <row r="47" spans="1:10" x14ac:dyDescent="0.2">
      <c r="A47" t="s">
        <v>198</v>
      </c>
      <c r="B47" s="33" t="s">
        <v>186</v>
      </c>
      <c r="C47">
        <v>1.01839651788704</v>
      </c>
      <c r="D47">
        <v>8.2636214230088296E-4</v>
      </c>
      <c r="E47">
        <v>1.3813441401983277E-2</v>
      </c>
      <c r="F47">
        <v>-63.549523955338465</v>
      </c>
      <c r="G47">
        <v>1.0318780395499201</v>
      </c>
      <c r="H47">
        <v>3.2787874257190698E-3</v>
      </c>
      <c r="I47">
        <v>5.0795572446380784E-2</v>
      </c>
      <c r="J47">
        <v>18.364863152390296</v>
      </c>
    </row>
    <row r="50" spans="2:10" x14ac:dyDescent="0.2">
      <c r="B50" t="s">
        <v>199</v>
      </c>
      <c r="C50" t="s">
        <v>114</v>
      </c>
      <c r="D50" t="s">
        <v>115</v>
      </c>
      <c r="E50" t="s">
        <v>110</v>
      </c>
      <c r="F50" t="s">
        <v>111</v>
      </c>
      <c r="G50" t="s">
        <v>116</v>
      </c>
      <c r="H50" t="s">
        <v>117</v>
      </c>
      <c r="I50" t="s">
        <v>112</v>
      </c>
      <c r="J50" t="s">
        <v>113</v>
      </c>
    </row>
    <row r="51" spans="2:10" x14ac:dyDescent="0.2">
      <c r="B51" t="s">
        <v>195</v>
      </c>
      <c r="C51">
        <v>1.0224822248789724</v>
      </c>
      <c r="D51">
        <v>7.2715659738917275E-3</v>
      </c>
      <c r="E51">
        <v>0.30808678332961659</v>
      </c>
      <c r="F51">
        <v>-7.9997021928279475</v>
      </c>
      <c r="G51">
        <v>1.0191506201833505</v>
      </c>
      <c r="H51">
        <v>5.0063037203028262E-3</v>
      </c>
      <c r="I51">
        <v>0.24874659056263568</v>
      </c>
      <c r="J51">
        <v>12.231362880950295</v>
      </c>
    </row>
    <row r="52" spans="2:10" x14ac:dyDescent="0.2">
      <c r="B52" t="s">
        <v>195</v>
      </c>
      <c r="C52">
        <v>1.01757310898745</v>
      </c>
      <c r="D52">
        <v>2.2580985375756902E-3</v>
      </c>
      <c r="E52">
        <v>9.456126805741559E-2</v>
      </c>
      <c r="F52">
        <v>8.4937800833401003</v>
      </c>
      <c r="G52">
        <v>1.0233419421593599</v>
      </c>
      <c r="H52">
        <v>3.4652265954986101E-3</v>
      </c>
      <c r="I52">
        <v>0.11371204883592148</v>
      </c>
      <c r="J52">
        <v>6.969783359182224</v>
      </c>
    </row>
    <row r="53" spans="2:10" x14ac:dyDescent="0.2">
      <c r="B53" t="s">
        <v>195</v>
      </c>
      <c r="C53">
        <v>1.0284068121711401</v>
      </c>
      <c r="D53">
        <v>2.2306330433624799E-3</v>
      </c>
      <c r="E53">
        <v>3.6436442417115661E-2</v>
      </c>
      <c r="F53">
        <v>10.335553924985527</v>
      </c>
      <c r="G53">
        <v>1.0603251896371499</v>
      </c>
      <c r="H53">
        <v>4.4229466555208404E-3</v>
      </c>
      <c r="I53">
        <v>7.0803352979354459E-2</v>
      </c>
      <c r="J53">
        <v>5.4826144943871915</v>
      </c>
    </row>
    <row r="54" spans="2:10" x14ac:dyDescent="0.2">
      <c r="B54" t="s">
        <v>195</v>
      </c>
      <c r="C54">
        <v>1.02179693965554</v>
      </c>
      <c r="D54">
        <v>2.7056382796108798E-3</v>
      </c>
      <c r="E54">
        <v>2.3915525507128277E-2</v>
      </c>
      <c r="F54">
        <v>4.4973258485637135</v>
      </c>
      <c r="G54">
        <v>1.03159434799336</v>
      </c>
      <c r="H54">
        <v>3.7779770095568298E-3</v>
      </c>
      <c r="I54">
        <v>0.11652141873063872</v>
      </c>
      <c r="J54">
        <v>11.584321669112553</v>
      </c>
    </row>
    <row r="55" spans="2:10" x14ac:dyDescent="0.2">
      <c r="B55" t="s">
        <v>196</v>
      </c>
      <c r="C55">
        <v>1.0164771022756751</v>
      </c>
      <c r="D55">
        <v>5.2696173119710877E-3</v>
      </c>
      <c r="E55">
        <v>0.29578176588647115</v>
      </c>
      <c r="F55">
        <v>-89.473361423263128</v>
      </c>
      <c r="G55">
        <v>1.0225229996859</v>
      </c>
      <c r="H55">
        <v>1.1958649556241752E-2</v>
      </c>
      <c r="I55">
        <v>0.48637469923090254</v>
      </c>
      <c r="J55">
        <v>23.140630590214084</v>
      </c>
    </row>
    <row r="56" spans="2:10" x14ac:dyDescent="0.2">
      <c r="B56" t="s">
        <v>196</v>
      </c>
      <c r="C56">
        <v>1.0083487217346887</v>
      </c>
      <c r="D56">
        <v>5.4564577158303486E-3</v>
      </c>
      <c r="E56">
        <v>0.62577989215635732</v>
      </c>
      <c r="F56">
        <v>-34.918957130291467</v>
      </c>
      <c r="G56">
        <v>1.021805403288423</v>
      </c>
      <c r="H56">
        <v>8.9842031568079135E-3</v>
      </c>
      <c r="I56">
        <v>0.39601507883104697</v>
      </c>
      <c r="J56">
        <v>19.037204205794847</v>
      </c>
    </row>
    <row r="57" spans="2:10" x14ac:dyDescent="0.2">
      <c r="B57" t="s">
        <v>196</v>
      </c>
      <c r="C57">
        <v>1.0146815297981917</v>
      </c>
      <c r="D57">
        <v>9.6170835699871445E-3</v>
      </c>
      <c r="E57">
        <v>0.62082219581819131</v>
      </c>
      <c r="F57">
        <v>22.504230089441339</v>
      </c>
      <c r="G57">
        <v>1.0180022869640419</v>
      </c>
      <c r="H57">
        <v>1.6484542286515549E-2</v>
      </c>
      <c r="I57">
        <v>0.84643740239174869</v>
      </c>
      <c r="J57">
        <v>25.734068111725946</v>
      </c>
    </row>
    <row r="58" spans="2:10" x14ac:dyDescent="0.2">
      <c r="B58" t="s">
        <v>196</v>
      </c>
      <c r="C58">
        <v>1.0173488408870599</v>
      </c>
      <c r="D58">
        <v>2.34327376099121E-3</v>
      </c>
      <c r="E58">
        <v>0.19094120399055567</v>
      </c>
      <c r="F58">
        <v>19.771406259113213</v>
      </c>
      <c r="G58">
        <v>1.01841898845101</v>
      </c>
      <c r="H58">
        <v>4.2100221490905497E-3</v>
      </c>
      <c r="I58">
        <v>0.23810879467998339</v>
      </c>
      <c r="J58">
        <v>13.502893859980814</v>
      </c>
    </row>
    <row r="59" spans="2:10" x14ac:dyDescent="0.2">
      <c r="B59" t="s">
        <v>197</v>
      </c>
      <c r="C59">
        <v>1.01673055090278</v>
      </c>
      <c r="D59">
        <v>2.9990150262000398E-3</v>
      </c>
      <c r="E59">
        <v>0.17276462786062485</v>
      </c>
      <c r="F59">
        <v>-7.3722671637038957</v>
      </c>
      <c r="G59">
        <v>1.02359693202531</v>
      </c>
      <c r="H59">
        <v>4.5204759802894299E-3</v>
      </c>
      <c r="I59">
        <v>0.20966538521434538</v>
      </c>
      <c r="J59">
        <v>34.64610401281498</v>
      </c>
    </row>
    <row r="60" spans="2:10" x14ac:dyDescent="0.2">
      <c r="B60" t="s">
        <v>197</v>
      </c>
      <c r="C60">
        <v>1.0243356595670601</v>
      </c>
      <c r="D60">
        <v>2.5310432454048902E-3</v>
      </c>
      <c r="E60">
        <v>8.4440191577176124E-2</v>
      </c>
      <c r="F60">
        <v>46.294057088061606</v>
      </c>
      <c r="G60">
        <v>1.0461655059110999</v>
      </c>
      <c r="H60">
        <v>4.9468734332918903E-3</v>
      </c>
      <c r="I60">
        <v>0.13003601988989774</v>
      </c>
      <c r="J60">
        <v>14.265694746709652</v>
      </c>
    </row>
    <row r="61" spans="2:10" x14ac:dyDescent="0.2">
      <c r="B61" t="s">
        <v>197</v>
      </c>
      <c r="C61">
        <v>1.02344073131475</v>
      </c>
      <c r="D61">
        <v>0</v>
      </c>
      <c r="E61">
        <v>-5.8054061468175641E-3</v>
      </c>
      <c r="F61">
        <v>2.3008703867194504</v>
      </c>
      <c r="G61">
        <v>1.0265249364573199</v>
      </c>
      <c r="H61">
        <v>4.0926695589208802E-3</v>
      </c>
      <c r="I61">
        <v>4.1823867868680996E-2</v>
      </c>
      <c r="J61">
        <v>16.464885479161318</v>
      </c>
    </row>
    <row r="62" spans="2:10" x14ac:dyDescent="0.2">
      <c r="B62" t="s">
        <v>197</v>
      </c>
      <c r="C62">
        <v>1.0066974796452099</v>
      </c>
      <c r="D62">
        <v>4.9570144232596296E-3</v>
      </c>
      <c r="E62">
        <v>0.56684982933367878</v>
      </c>
      <c r="F62">
        <v>-22.264175122108117</v>
      </c>
      <c r="G62">
        <v>1.00817361148578</v>
      </c>
      <c r="H62">
        <v>6.2347471364697102E-3</v>
      </c>
      <c r="I62">
        <v>0.65554980354932979</v>
      </c>
      <c r="J62">
        <v>14.597190626552809</v>
      </c>
    </row>
    <row r="63" spans="2:10" x14ac:dyDescent="0.2">
      <c r="B63" t="s">
        <v>198</v>
      </c>
      <c r="C63">
        <v>1.0048938965673375</v>
      </c>
      <c r="D63">
        <v>2.174777565749133E-3</v>
      </c>
      <c r="E63">
        <v>0.38470284122952236</v>
      </c>
      <c r="F63">
        <v>9.7764014242353738</v>
      </c>
      <c r="G63">
        <v>1.0179078910508219</v>
      </c>
      <c r="H63">
        <v>1.1454891990244348E-2</v>
      </c>
      <c r="I63">
        <v>0.62342364937421857</v>
      </c>
      <c r="J63">
        <v>6.3397862298314323</v>
      </c>
    </row>
    <row r="64" spans="2:10" x14ac:dyDescent="0.2">
      <c r="B64" t="s">
        <v>198</v>
      </c>
      <c r="C64">
        <v>1.010334076561249</v>
      </c>
      <c r="D64">
        <v>6.238211647514938E-3</v>
      </c>
      <c r="E64">
        <v>0.63558235628311599</v>
      </c>
      <c r="F64">
        <v>17.616921628739931</v>
      </c>
      <c r="G64">
        <v>1.0062940652497647</v>
      </c>
      <c r="H64">
        <v>2.5738975806090122E-2</v>
      </c>
      <c r="I64">
        <v>3.9239282153095969</v>
      </c>
      <c r="J64">
        <v>46.103782273696865</v>
      </c>
    </row>
    <row r="65" spans="1:10" x14ac:dyDescent="0.2">
      <c r="B65" t="s">
        <v>198</v>
      </c>
      <c r="C65">
        <v>1.0107328720850179</v>
      </c>
      <c r="D65">
        <v>8.3824005441452444E-3</v>
      </c>
      <c r="E65">
        <v>0.73810851489710827</v>
      </c>
      <c r="F65">
        <v>1.3065228390228558</v>
      </c>
      <c r="G65">
        <v>1.0139265129225652</v>
      </c>
      <c r="H65">
        <v>4.0057424676455428E-2</v>
      </c>
      <c r="I65">
        <v>2.8341292892079006</v>
      </c>
      <c r="J65">
        <v>23.834890959019614</v>
      </c>
    </row>
    <row r="66" spans="1:10" x14ac:dyDescent="0.2">
      <c r="B66" t="s">
        <v>198</v>
      </c>
      <c r="C66">
        <v>1.0150887949051299</v>
      </c>
      <c r="D66">
        <v>1.63501721030794E-3</v>
      </c>
      <c r="E66">
        <v>0.11127506093974619</v>
      </c>
      <c r="F66">
        <v>-31.826215862663812</v>
      </c>
      <c r="G66">
        <v>1.01845804271959</v>
      </c>
      <c r="H66">
        <v>3.28217847779632E-3</v>
      </c>
      <c r="I66">
        <v>0.16818500803654143</v>
      </c>
      <c r="J66">
        <v>19.007315096405115</v>
      </c>
    </row>
    <row r="67" spans="1:10" x14ac:dyDescent="0.2">
      <c r="B67" t="s">
        <v>198</v>
      </c>
      <c r="C67">
        <v>1.00480788175514</v>
      </c>
      <c r="D67">
        <v>1.9607151120156498E-3</v>
      </c>
      <c r="E67">
        <v>0.42726046848758581</v>
      </c>
      <c r="F67">
        <v>1.4352924307007509</v>
      </c>
      <c r="G67">
        <v>1.01964790325173</v>
      </c>
      <c r="H67">
        <v>3.2868001317875402E-4</v>
      </c>
      <c r="I67">
        <v>8.7116956242771649E-3</v>
      </c>
      <c r="J67">
        <v>5.8574467050293029</v>
      </c>
    </row>
    <row r="68" spans="1:10" x14ac:dyDescent="0.2">
      <c r="B68" t="s">
        <v>198</v>
      </c>
      <c r="C68">
        <v>1.01839651788704</v>
      </c>
      <c r="D68">
        <v>8.2636214230088296E-4</v>
      </c>
      <c r="E68">
        <v>1.3813441401983277E-2</v>
      </c>
      <c r="F68">
        <v>-63.549523955338465</v>
      </c>
      <c r="G68">
        <v>1.0318780395499201</v>
      </c>
      <c r="H68">
        <v>3.2787874257190698E-3</v>
      </c>
      <c r="I68">
        <v>5.0795572446380784E-2</v>
      </c>
      <c r="J68">
        <v>18.364863152390296</v>
      </c>
    </row>
    <row r="71" spans="1:10" x14ac:dyDescent="0.2">
      <c r="A71" t="s">
        <v>199</v>
      </c>
      <c r="C71" t="s">
        <v>114</v>
      </c>
      <c r="D71" t="s">
        <v>115</v>
      </c>
      <c r="E71" t="s">
        <v>110</v>
      </c>
      <c r="F71" t="s">
        <v>111</v>
      </c>
      <c r="G71" t="s">
        <v>116</v>
      </c>
      <c r="H71" t="s">
        <v>117</v>
      </c>
      <c r="I71" t="s">
        <v>112</v>
      </c>
      <c r="J71" t="s">
        <v>113</v>
      </c>
    </row>
    <row r="72" spans="1:10" x14ac:dyDescent="0.2">
      <c r="A72" t="s">
        <v>195</v>
      </c>
      <c r="B72" s="33" t="s">
        <v>94</v>
      </c>
      <c r="C72">
        <v>1.0224822248789724</v>
      </c>
      <c r="D72">
        <v>7.2715659738917275E-3</v>
      </c>
      <c r="E72">
        <v>0.30808678332961659</v>
      </c>
      <c r="F72">
        <v>-7.9997021928279475</v>
      </c>
      <c r="G72">
        <v>1.0191506201833505</v>
      </c>
      <c r="H72">
        <v>5.0063037203028262E-3</v>
      </c>
      <c r="I72">
        <v>0.24874659056263568</v>
      </c>
      <c r="J72">
        <v>12.231362880950295</v>
      </c>
    </row>
    <row r="73" spans="1:10" x14ac:dyDescent="0.2">
      <c r="A73" t="s">
        <v>195</v>
      </c>
      <c r="B73" s="33" t="s">
        <v>66</v>
      </c>
      <c r="C73">
        <v>1.0239104064336699</v>
      </c>
      <c r="D73">
        <v>6.2954096703122259E-3</v>
      </c>
      <c r="E73">
        <v>0.24852953484068935</v>
      </c>
      <c r="F73">
        <v>48.182654892849918</v>
      </c>
      <c r="G73">
        <v>1.0422105739583043</v>
      </c>
      <c r="H73">
        <v>1.640776580558749E-2</v>
      </c>
      <c r="I73">
        <v>0.36814723506101921</v>
      </c>
      <c r="J73">
        <v>9.5589600528247445</v>
      </c>
    </row>
    <row r="74" spans="1:10" x14ac:dyDescent="0.2">
      <c r="A74" t="s">
        <v>195</v>
      </c>
      <c r="B74" s="33" t="s">
        <v>187</v>
      </c>
      <c r="C74">
        <v>1.0284068121711401</v>
      </c>
      <c r="D74">
        <v>2.2306330433624799E-3</v>
      </c>
      <c r="E74">
        <v>3.6436442417115661E-2</v>
      </c>
      <c r="F74">
        <v>10.335553924985527</v>
      </c>
      <c r="G74">
        <v>1.0603251896371499</v>
      </c>
      <c r="H74">
        <v>4.4229466555208404E-3</v>
      </c>
      <c r="I74">
        <v>7.0803352979354459E-2</v>
      </c>
      <c r="J74">
        <v>5.4826144943871915</v>
      </c>
    </row>
    <row r="75" spans="1:10" x14ac:dyDescent="0.2">
      <c r="A75" t="s">
        <v>195</v>
      </c>
      <c r="B75" s="33" t="s">
        <v>188</v>
      </c>
      <c r="C75">
        <v>1.02179693965554</v>
      </c>
      <c r="D75">
        <v>2.7056382796108798E-3</v>
      </c>
      <c r="E75">
        <v>2.3915525507128277E-2</v>
      </c>
      <c r="F75">
        <v>4.4973258485637135</v>
      </c>
      <c r="G75">
        <v>1.03159434799336</v>
      </c>
      <c r="H75">
        <v>3.7779770095568298E-3</v>
      </c>
      <c r="I75">
        <v>0.11652141873063872</v>
      </c>
      <c r="J75">
        <v>11.584321669112553</v>
      </c>
    </row>
    <row r="76" spans="1:10" x14ac:dyDescent="0.2">
      <c r="A76" t="s">
        <v>196</v>
      </c>
      <c r="B76" s="33" t="s">
        <v>75</v>
      </c>
      <c r="C76">
        <v>1.0164771022756751</v>
      </c>
      <c r="D76">
        <v>5.2696173119710877E-3</v>
      </c>
      <c r="E76">
        <v>0.29578176588647115</v>
      </c>
      <c r="F76">
        <v>-89.473361423263128</v>
      </c>
      <c r="G76">
        <v>1.0225229996859</v>
      </c>
      <c r="H76">
        <v>1.1958649556241752E-2</v>
      </c>
      <c r="I76">
        <v>0.48637469923090254</v>
      </c>
      <c r="J76">
        <v>23.140630590214084</v>
      </c>
    </row>
    <row r="77" spans="1:10" x14ac:dyDescent="0.2">
      <c r="A77" t="s">
        <v>196</v>
      </c>
      <c r="B77" s="33" t="s">
        <v>76</v>
      </c>
      <c r="C77">
        <v>1.0083487217346887</v>
      </c>
      <c r="D77">
        <v>5.4564577158303486E-3</v>
      </c>
      <c r="E77">
        <v>0.62577989215635732</v>
      </c>
      <c r="F77">
        <v>-34.918957130291467</v>
      </c>
      <c r="G77">
        <v>1.021805403288423</v>
      </c>
      <c r="H77">
        <v>8.9842031568079135E-3</v>
      </c>
      <c r="I77">
        <v>0.39601507883104697</v>
      </c>
      <c r="J77">
        <v>19.037204205794847</v>
      </c>
    </row>
    <row r="78" spans="1:10" x14ac:dyDescent="0.2">
      <c r="A78" t="s">
        <v>196</v>
      </c>
      <c r="B78" s="33" t="s">
        <v>93</v>
      </c>
      <c r="C78">
        <v>1.0146815297981917</v>
      </c>
      <c r="D78">
        <v>9.6170835699871445E-3</v>
      </c>
      <c r="E78">
        <v>0.62082219581819131</v>
      </c>
      <c r="F78">
        <v>22.504230089441339</v>
      </c>
      <c r="G78">
        <v>1.0180022869640419</v>
      </c>
      <c r="H78">
        <v>1.6484542286515549E-2</v>
      </c>
      <c r="I78">
        <v>0.84643740239174869</v>
      </c>
      <c r="J78">
        <v>25.734068111725946</v>
      </c>
    </row>
    <row r="79" spans="1:10" x14ac:dyDescent="0.2">
      <c r="A79" t="s">
        <v>196</v>
      </c>
      <c r="B79" s="33" t="s">
        <v>194</v>
      </c>
      <c r="C79">
        <v>1.0173488408870599</v>
      </c>
      <c r="D79">
        <v>2.34327376099121E-3</v>
      </c>
      <c r="E79">
        <v>0.19094120399055567</v>
      </c>
      <c r="F79">
        <v>19.771406259113213</v>
      </c>
      <c r="G79">
        <v>1.01841898845101</v>
      </c>
      <c r="H79">
        <v>4.2100221490905497E-3</v>
      </c>
      <c r="I79">
        <v>0.23810879467998339</v>
      </c>
      <c r="J79">
        <v>13.502893859980814</v>
      </c>
    </row>
    <row r="80" spans="1:10" x14ac:dyDescent="0.2">
      <c r="A80" t="s">
        <v>197</v>
      </c>
      <c r="B80" s="33" t="s">
        <v>89</v>
      </c>
      <c r="C80">
        <v>1.01673055090278</v>
      </c>
      <c r="D80">
        <v>2.9990150262000398E-3</v>
      </c>
      <c r="E80">
        <v>0.17276462786062485</v>
      </c>
      <c r="F80">
        <v>-7.3722671637038957</v>
      </c>
      <c r="G80">
        <v>1.02359693202531</v>
      </c>
      <c r="H80">
        <v>4.5204759802894299E-3</v>
      </c>
      <c r="I80">
        <v>0.20966538521434538</v>
      </c>
      <c r="J80">
        <v>34.64610401281498</v>
      </c>
    </row>
    <row r="81" spans="1:10" x14ac:dyDescent="0.2">
      <c r="A81" t="s">
        <v>197</v>
      </c>
      <c r="B81" s="33" t="s">
        <v>181</v>
      </c>
      <c r="C81">
        <v>1.0243356595670601</v>
      </c>
      <c r="D81">
        <v>2.5310432454048902E-3</v>
      </c>
      <c r="E81">
        <v>8.4440191577176124E-2</v>
      </c>
      <c r="F81">
        <v>46.294057088061606</v>
      </c>
      <c r="G81">
        <v>1.0461655059110999</v>
      </c>
      <c r="H81">
        <v>4.9468734332918903E-3</v>
      </c>
      <c r="I81">
        <v>0.13003601988989774</v>
      </c>
      <c r="J81">
        <v>14.265694746709652</v>
      </c>
    </row>
    <row r="82" spans="1:10" x14ac:dyDescent="0.2">
      <c r="A82" t="s">
        <v>197</v>
      </c>
      <c r="B82" s="33" t="s">
        <v>183</v>
      </c>
      <c r="C82">
        <v>1.02344073131475</v>
      </c>
      <c r="D82">
        <v>0</v>
      </c>
      <c r="E82">
        <v>-5.8054061468175641E-3</v>
      </c>
      <c r="F82">
        <v>2.3008703867194504</v>
      </c>
      <c r="G82">
        <v>1.0265249364573199</v>
      </c>
      <c r="H82">
        <v>4.0926695589208802E-3</v>
      </c>
      <c r="I82">
        <v>4.1823867868680996E-2</v>
      </c>
      <c r="J82">
        <v>16.464885479161318</v>
      </c>
    </row>
    <row r="83" spans="1:10" x14ac:dyDescent="0.2">
      <c r="A83" t="s">
        <v>197</v>
      </c>
      <c r="B83" s="33" t="s">
        <v>90</v>
      </c>
      <c r="C83">
        <v>1.0066974796452099</v>
      </c>
      <c r="D83">
        <v>4.9570144232596296E-3</v>
      </c>
      <c r="E83">
        <v>0.56684982933367878</v>
      </c>
      <c r="F83">
        <v>-22.264175122108117</v>
      </c>
      <c r="G83">
        <v>1.00817361148578</v>
      </c>
      <c r="H83">
        <v>6.2347471364697102E-3</v>
      </c>
      <c r="I83">
        <v>0.65554980354932979</v>
      </c>
      <c r="J83">
        <v>14.597190626552809</v>
      </c>
    </row>
    <row r="84" spans="1:10" x14ac:dyDescent="0.2">
      <c r="A84" t="s">
        <v>198</v>
      </c>
      <c r="B84" s="33" t="s">
        <v>87</v>
      </c>
      <c r="C84">
        <v>1.0048938965673375</v>
      </c>
      <c r="D84">
        <v>2.174777565749133E-3</v>
      </c>
      <c r="E84">
        <v>0.38470284122952236</v>
      </c>
      <c r="F84">
        <v>9.7764014242353738</v>
      </c>
      <c r="G84">
        <v>1.0179078910508219</v>
      </c>
      <c r="H84">
        <v>1.1454891990244348E-2</v>
      </c>
      <c r="I84">
        <v>0.62342364937421857</v>
      </c>
      <c r="J84">
        <v>6.3397862298314323</v>
      </c>
    </row>
    <row r="85" spans="1:10" x14ac:dyDescent="0.2">
      <c r="A85" t="s">
        <v>198</v>
      </c>
      <c r="B85" s="33" t="s">
        <v>88</v>
      </c>
      <c r="C85">
        <v>1.010334076561249</v>
      </c>
      <c r="D85">
        <v>6.238211647514938E-3</v>
      </c>
      <c r="E85">
        <v>0.63558235628311599</v>
      </c>
      <c r="F85">
        <v>17.616921628739931</v>
      </c>
      <c r="G85">
        <v>1.0062940652497647</v>
      </c>
      <c r="H85">
        <v>2.5738975806090122E-2</v>
      </c>
      <c r="I85">
        <v>3.9239282153095969</v>
      </c>
      <c r="J85">
        <v>46.103782273696865</v>
      </c>
    </row>
    <row r="86" spans="1:10" x14ac:dyDescent="0.2">
      <c r="A86" t="s">
        <v>198</v>
      </c>
      <c r="B86" s="33" t="s">
        <v>62</v>
      </c>
      <c r="C86">
        <v>1.0107328720850179</v>
      </c>
      <c r="D86">
        <v>8.3824005441452444E-3</v>
      </c>
      <c r="E86">
        <v>0.73810851489710827</v>
      </c>
      <c r="F86">
        <v>1.3065228390228558</v>
      </c>
      <c r="G86">
        <v>1.0139265129225652</v>
      </c>
      <c r="H86">
        <v>4.0057424676455428E-2</v>
      </c>
      <c r="I86">
        <v>2.8341292892079006</v>
      </c>
      <c r="J86">
        <v>23.834890959019614</v>
      </c>
    </row>
    <row r="87" spans="1:10" x14ac:dyDescent="0.2">
      <c r="A87" t="s">
        <v>198</v>
      </c>
      <c r="B87" s="33" t="s">
        <v>184</v>
      </c>
      <c r="C87">
        <v>1.0150887949051299</v>
      </c>
      <c r="D87">
        <v>1.63501721030794E-3</v>
      </c>
      <c r="E87">
        <v>0.11127506093974619</v>
      </c>
      <c r="F87">
        <v>-31.826215862663812</v>
      </c>
      <c r="G87">
        <v>1.01845804271959</v>
      </c>
      <c r="H87">
        <v>3.28217847779632E-3</v>
      </c>
      <c r="I87">
        <v>0.16818500803654143</v>
      </c>
      <c r="J87">
        <v>19.007315096405115</v>
      </c>
    </row>
    <row r="88" spans="1:10" x14ac:dyDescent="0.2">
      <c r="A88" t="s">
        <v>198</v>
      </c>
      <c r="B88" s="33" t="s">
        <v>185</v>
      </c>
      <c r="C88">
        <v>1.00480788175514</v>
      </c>
      <c r="D88">
        <v>1.9607151120156498E-3</v>
      </c>
      <c r="E88">
        <v>0.42726046848758581</v>
      </c>
      <c r="F88">
        <v>1.4352924307007509</v>
      </c>
      <c r="G88">
        <v>1.01964790325173</v>
      </c>
      <c r="H88">
        <v>3.2868001317875402E-4</v>
      </c>
      <c r="I88">
        <v>8.7116956242771649E-3</v>
      </c>
      <c r="J88">
        <v>5.8574467050293029</v>
      </c>
    </row>
    <row r="89" spans="1:10" x14ac:dyDescent="0.2">
      <c r="A89" t="s">
        <v>198</v>
      </c>
      <c r="B89" s="33" t="s">
        <v>186</v>
      </c>
      <c r="C89">
        <v>1.01839651788704</v>
      </c>
      <c r="D89">
        <v>8.2636214230088296E-4</v>
      </c>
      <c r="E89">
        <v>1.3813441401983277E-2</v>
      </c>
      <c r="F89">
        <v>-63.549523955338465</v>
      </c>
      <c r="G89" s="38">
        <v>1.0318780395499201</v>
      </c>
      <c r="H89">
        <v>3.2787874257190698E-3</v>
      </c>
      <c r="I89">
        <v>5.0795572446380784E-2</v>
      </c>
      <c r="J89">
        <v>18.364863152390296</v>
      </c>
    </row>
    <row r="92" spans="1:10" x14ac:dyDescent="0.2">
      <c r="A92" t="s">
        <v>195</v>
      </c>
      <c r="B92" s="33" t="s">
        <v>104</v>
      </c>
      <c r="C92">
        <f>AVERAGE(C72:C75)</f>
        <v>1.0241490957848305</v>
      </c>
      <c r="D92">
        <f t="shared" ref="D92:J92" si="0">AVERAGE(D72:D75)</f>
        <v>4.6258117417943279E-3</v>
      </c>
      <c r="E92">
        <f t="shared" si="0"/>
        <v>0.15424207152363745</v>
      </c>
      <c r="F92">
        <f t="shared" si="0"/>
        <v>13.753958118392802</v>
      </c>
      <c r="G92">
        <f>AVERAGE(G72:G75)</f>
        <v>1.0383201829430413</v>
      </c>
      <c r="H92">
        <f t="shared" si="0"/>
        <v>7.4037482977419968E-3</v>
      </c>
      <c r="I92">
        <f t="shared" si="0"/>
        <v>0.20105464933341202</v>
      </c>
      <c r="J92">
        <f t="shared" si="0"/>
        <v>9.7143147743186962</v>
      </c>
    </row>
    <row r="93" spans="1:10" x14ac:dyDescent="0.2">
      <c r="B93" s="33" t="s">
        <v>109</v>
      </c>
      <c r="C93" s="1">
        <f>_xlfn.STDEV.S(C72:C75)/SQRT(COUNT(C72:C75))</f>
        <v>1.4859401767332741E-3</v>
      </c>
      <c r="D93" s="1">
        <f t="shared" ref="D93:J93" si="1">_xlfn.STDEV.S(D72:D75)/SQRT(COUNT(D72:D75))</f>
        <v>1.2652904746166601E-3</v>
      </c>
      <c r="E93" s="1">
        <f t="shared" si="1"/>
        <v>7.2698862860894553E-2</v>
      </c>
      <c r="F93" s="1">
        <f>_xlfn.STDEV.S(F72:F75)/SQRT(COUNT(F72:F75))</f>
        <v>12.096582253994447</v>
      </c>
      <c r="G93" s="1">
        <f t="shared" si="1"/>
        <v>8.7181059393056891E-3</v>
      </c>
      <c r="H93" s="1">
        <f t="shared" si="1"/>
        <v>3.011802722180091E-3</v>
      </c>
      <c r="I93" s="1">
        <f t="shared" si="1"/>
        <v>6.7271663636707418E-2</v>
      </c>
      <c r="J93" s="1">
        <f t="shared" si="1"/>
        <v>1.5210708756864098</v>
      </c>
    </row>
    <row r="94" spans="1:10" x14ac:dyDescent="0.2">
      <c r="A94" t="s">
        <v>196</v>
      </c>
      <c r="B94" s="33" t="s">
        <v>104</v>
      </c>
      <c r="C94">
        <f>AVERAGE(C76:C79)</f>
        <v>1.0142140486739037</v>
      </c>
      <c r="D94">
        <f t="shared" ref="D94:J94" si="2">AVERAGE(D76:D79)</f>
        <v>5.6716080896949484E-3</v>
      </c>
      <c r="E94">
        <f t="shared" si="2"/>
        <v>0.43333126446289383</v>
      </c>
      <c r="F94">
        <f t="shared" si="2"/>
        <v>-20.529170551250012</v>
      </c>
      <c r="G94">
        <f t="shared" si="2"/>
        <v>1.0201874195973437</v>
      </c>
      <c r="H94">
        <f t="shared" si="2"/>
        <v>1.0409354287163941E-2</v>
      </c>
      <c r="I94">
        <f t="shared" si="2"/>
        <v>0.49173399378342036</v>
      </c>
      <c r="J94">
        <f t="shared" si="2"/>
        <v>20.353699191928925</v>
      </c>
    </row>
    <row r="95" spans="1:10" x14ac:dyDescent="0.2">
      <c r="B95" s="33" t="s">
        <v>109</v>
      </c>
      <c r="C95">
        <f>_xlfn.STDEV.P(C76:C79)/SQRT(COUNT(C76:C79))</f>
        <v>1.760130189247412E-3</v>
      </c>
      <c r="D95">
        <f t="shared" ref="D95:J95" si="3">_xlfn.STDEV.P(D76:D79)/SQRT(COUNT(D76:D79))</f>
        <v>1.2954842829508725E-3</v>
      </c>
      <c r="E95">
        <f t="shared" si="3"/>
        <v>9.6780075950574487E-2</v>
      </c>
      <c r="F95">
        <f t="shared" si="3"/>
        <v>22.962438724383649</v>
      </c>
      <c r="G95">
        <f t="shared" si="3"/>
        <v>9.9921715980256782E-4</v>
      </c>
      <c r="H95">
        <f t="shared" si="3"/>
        <v>2.2328653083084388E-3</v>
      </c>
      <c r="I95">
        <f t="shared" si="3"/>
        <v>0.11161627413161614</v>
      </c>
      <c r="J95">
        <f t="shared" si="3"/>
        <v>2.3100601869408885</v>
      </c>
    </row>
    <row r="96" spans="1:10" x14ac:dyDescent="0.2">
      <c r="A96" t="s">
        <v>197</v>
      </c>
      <c r="B96" s="33" t="s">
        <v>104</v>
      </c>
      <c r="C96">
        <f>AVERAGE(C80:C83)</f>
        <v>1.0178011053574501</v>
      </c>
      <c r="D96">
        <f t="shared" ref="D96:J96" si="4">AVERAGE(D80:D83)</f>
        <v>2.62176817371614E-3</v>
      </c>
      <c r="E96">
        <f t="shared" si="4"/>
        <v>0.20456231065616554</v>
      </c>
      <c r="F96">
        <f t="shared" si="4"/>
        <v>4.7396212972422616</v>
      </c>
      <c r="G96">
        <f t="shared" si="4"/>
        <v>1.0261152464698773</v>
      </c>
      <c r="H96">
        <f t="shared" si="4"/>
        <v>4.9486915272429774E-3</v>
      </c>
      <c r="I96">
        <f t="shared" si="4"/>
        <v>0.25926876913056346</v>
      </c>
      <c r="J96">
        <f t="shared" si="4"/>
        <v>19.993468716309692</v>
      </c>
    </row>
    <row r="97" spans="1:12" x14ac:dyDescent="0.2">
      <c r="B97" s="33" t="s">
        <v>109</v>
      </c>
      <c r="C97">
        <f>_xlfn.STDEV.P(C80:C83)/SQRT(COUNT(C80:C83))</f>
        <v>3.5261733016695744E-3</v>
      </c>
      <c r="D97">
        <f t="shared" ref="D97:J97" si="5">_xlfn.STDEV.P(D80:D83)/SQRT(COUNT(D80:D83))</f>
        <v>8.8309079385431432E-4</v>
      </c>
      <c r="E97">
        <f t="shared" si="5"/>
        <v>0.10924377516179193</v>
      </c>
      <c r="F97">
        <f t="shared" si="5"/>
        <v>12.768666490292322</v>
      </c>
      <c r="G97">
        <f t="shared" si="5"/>
        <v>6.7565936457029139E-3</v>
      </c>
      <c r="H97">
        <f t="shared" si="5"/>
        <v>4.0078707722991154E-4</v>
      </c>
      <c r="I97">
        <f t="shared" si="5"/>
        <v>0.11818485057766441</v>
      </c>
      <c r="J97">
        <f t="shared" si="5"/>
        <v>4.2505722604631027</v>
      </c>
    </row>
    <row r="98" spans="1:12" x14ac:dyDescent="0.2">
      <c r="A98" t="s">
        <v>198</v>
      </c>
      <c r="B98" s="33" t="s">
        <v>104</v>
      </c>
      <c r="C98">
        <f>AVERAGE(C84:C89)</f>
        <v>1.010709006626819</v>
      </c>
      <c r="D98">
        <f t="shared" ref="D98:I98" si="6">AVERAGE(D84:D89)</f>
        <v>3.536247370338965E-3</v>
      </c>
      <c r="E98">
        <f t="shared" si="6"/>
        <v>0.3851237805398437</v>
      </c>
      <c r="F98">
        <f t="shared" si="6"/>
        <v>-10.873433582550561</v>
      </c>
      <c r="G98">
        <f t="shared" si="6"/>
        <v>1.0180187424573985</v>
      </c>
      <c r="H98">
        <f t="shared" si="6"/>
        <v>1.4023489731580673E-2</v>
      </c>
      <c r="I98">
        <f t="shared" si="6"/>
        <v>1.2681955716664859</v>
      </c>
      <c r="J98">
        <f>AVERAGE(J84:J89)</f>
        <v>19.918014069395436</v>
      </c>
    </row>
    <row r="99" spans="1:12" x14ac:dyDescent="0.2">
      <c r="B99" s="33" t="s">
        <v>109</v>
      </c>
      <c r="C99">
        <f>_xlfn.STDEV.P(C84:C89)/SQRT(COUNT(C84:C89))</f>
        <v>2.0211403313754512E-3</v>
      </c>
      <c r="D99">
        <f t="shared" ref="D99:J99" si="7">_xlfn.STDEV.P(D84:D89)/SQRT(COUNT(D84:D89))</f>
        <v>1.1313692237420604E-3</v>
      </c>
      <c r="E99">
        <f t="shared" si="7"/>
        <v>0.10566822918022067</v>
      </c>
      <c r="F99">
        <f t="shared" si="7"/>
        <v>11.488837194102869</v>
      </c>
      <c r="G99">
        <f t="shared" si="7"/>
        <v>3.1142769436198303E-3</v>
      </c>
      <c r="H99">
        <f t="shared" si="7"/>
        <v>5.8689112310080609E-3</v>
      </c>
      <c r="I99">
        <f t="shared" si="7"/>
        <v>0.6280300051711537</v>
      </c>
      <c r="J99">
        <f t="shared" si="7"/>
        <v>5.4932935305982777</v>
      </c>
    </row>
    <row r="101" spans="1:12" x14ac:dyDescent="0.2">
      <c r="C101">
        <f>(($C$92-C94)/C94)*100</f>
        <v>0.9795809004930397</v>
      </c>
      <c r="G101">
        <f>(($G$92-G94)/G94)*100</f>
        <v>1.7773953096632353</v>
      </c>
    </row>
    <row r="102" spans="1:12" x14ac:dyDescent="0.2">
      <c r="C102">
        <f t="shared" ref="C102" si="8">(($C$92-C96)/C96)*100</f>
        <v>0.62369655465750651</v>
      </c>
      <c r="G102">
        <f>(($G$92-G96)/G96)*100</f>
        <v>1.189431354338842</v>
      </c>
      <c r="K102">
        <f>C92-C94</f>
        <v>9.9350471109267424E-3</v>
      </c>
      <c r="L102">
        <f>1.038-1.02</f>
        <v>1.8000000000000016E-2</v>
      </c>
    </row>
    <row r="103" spans="1:12" x14ac:dyDescent="0.2">
      <c r="C103">
        <f>(($C$92-C98)/C98)*100</f>
        <v>1.3297684170112458</v>
      </c>
      <c r="G103">
        <f t="shared" ref="G103" si="9">(($G$92-G98)/G98)*100</f>
        <v>1.9942108763770932</v>
      </c>
    </row>
    <row r="105" spans="1:12" x14ac:dyDescent="0.2">
      <c r="C105">
        <f>AVERAGE(C101,C103)</f>
        <v>1.1546746587521428</v>
      </c>
      <c r="G105">
        <f t="shared" ref="G105" si="10">AVERAGE(G101,G103)</f>
        <v>1.8858030930201641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854C-9C0B-FA41-88D4-48B6D98F4783}">
  <dimension ref="A1:L48"/>
  <sheetViews>
    <sheetView tabSelected="1" zoomScale="90" zoomScaleNormal="90" workbookViewId="0">
      <selection activeCell="J19" sqref="A1:J19"/>
    </sheetView>
  </sheetViews>
  <sheetFormatPr baseColWidth="10" defaultRowHeight="15" x14ac:dyDescent="0.2"/>
  <sheetData>
    <row r="1" spans="1:10" x14ac:dyDescent="0.2">
      <c r="A1" s="33" t="s">
        <v>199</v>
      </c>
      <c r="B1" s="33" t="s">
        <v>152</v>
      </c>
      <c r="C1" s="33" t="s">
        <v>114</v>
      </c>
      <c r="D1" s="33" t="s">
        <v>115</v>
      </c>
      <c r="E1" s="33" t="s">
        <v>110</v>
      </c>
      <c r="F1" s="33" t="s">
        <v>111</v>
      </c>
      <c r="G1" s="33" t="s">
        <v>116</v>
      </c>
      <c r="H1" s="33" t="s">
        <v>117</v>
      </c>
      <c r="I1" s="33" t="s">
        <v>112</v>
      </c>
      <c r="J1" s="33" t="s">
        <v>113</v>
      </c>
    </row>
    <row r="2" spans="1:10" x14ac:dyDescent="0.2">
      <c r="A2" s="33" t="s">
        <v>195</v>
      </c>
      <c r="B2" s="33" t="s">
        <v>94</v>
      </c>
      <c r="C2" s="33">
        <v>1.0224822200000001</v>
      </c>
      <c r="D2" s="33">
        <v>7.2700000000000004E-3</v>
      </c>
      <c r="E2" s="33">
        <v>0.30808678</v>
      </c>
      <c r="F2" s="33">
        <v>-7.9997021999999998</v>
      </c>
      <c r="G2" s="33">
        <v>1.01915062</v>
      </c>
      <c r="H2" s="33">
        <v>5.0063E-3</v>
      </c>
      <c r="I2" s="33">
        <v>0.24874658999999999</v>
      </c>
      <c r="J2" s="33">
        <v>12.231362900000001</v>
      </c>
    </row>
    <row r="3" spans="1:10" x14ac:dyDescent="0.2">
      <c r="A3" s="33" t="s">
        <v>195</v>
      </c>
      <c r="B3" s="33" t="s">
        <v>66</v>
      </c>
      <c r="C3" s="33">
        <v>1.02391041</v>
      </c>
      <c r="D3" s="33">
        <v>6.3E-3</v>
      </c>
      <c r="E3" s="33">
        <v>0.24852953</v>
      </c>
      <c r="F3" s="33">
        <v>48.182654900000003</v>
      </c>
      <c r="G3" s="33">
        <v>1.0422105699999999</v>
      </c>
      <c r="H3" s="33">
        <v>1.6407769999999999E-2</v>
      </c>
      <c r="I3" s="33">
        <v>0.36814723999999999</v>
      </c>
      <c r="J3" s="33">
        <v>9.5589600499999996</v>
      </c>
    </row>
    <row r="4" spans="1:10" x14ac:dyDescent="0.2">
      <c r="A4" s="33" t="s">
        <v>195</v>
      </c>
      <c r="B4" s="33" t="s">
        <v>187</v>
      </c>
      <c r="C4" s="33">
        <v>1.0284068099999999</v>
      </c>
      <c r="D4" s="33">
        <v>2.2300000000000002E-3</v>
      </c>
      <c r="E4" s="33">
        <v>3.643644E-2</v>
      </c>
      <c r="F4" s="33">
        <v>10.335553900000001</v>
      </c>
      <c r="G4" s="33">
        <v>1.0603251899999999</v>
      </c>
      <c r="H4" s="33">
        <v>4.4229500000000001E-3</v>
      </c>
      <c r="I4" s="33">
        <v>7.0803350000000001E-2</v>
      </c>
      <c r="J4" s="33">
        <v>5.4826144899999996</v>
      </c>
    </row>
    <row r="5" spans="1:10" x14ac:dyDescent="0.2">
      <c r="A5" s="33" t="s">
        <v>195</v>
      </c>
      <c r="B5" s="33" t="s">
        <v>188</v>
      </c>
      <c r="C5" s="33">
        <v>1.02179694</v>
      </c>
      <c r="D5" s="33">
        <v>2.7100000000000002E-3</v>
      </c>
      <c r="E5" s="33">
        <v>2.3915530000000001E-2</v>
      </c>
      <c r="F5" s="33">
        <v>4.4973258500000002</v>
      </c>
      <c r="G5" s="33">
        <v>1.03159435</v>
      </c>
      <c r="H5" s="33">
        <v>3.7779799999999998E-3</v>
      </c>
      <c r="I5" s="33">
        <v>0.11652142</v>
      </c>
      <c r="J5" s="33">
        <v>11.5843217</v>
      </c>
    </row>
    <row r="6" spans="1:10" x14ac:dyDescent="0.2">
      <c r="A6" s="33" t="s">
        <v>196</v>
      </c>
      <c r="B6" s="33" t="s">
        <v>75</v>
      </c>
      <c r="C6" s="33">
        <v>1.0164770999999999</v>
      </c>
      <c r="D6" s="33">
        <v>5.2700000000000004E-3</v>
      </c>
      <c r="E6" s="33">
        <v>0.29578177</v>
      </c>
      <c r="F6" s="33">
        <v>-89.473360999999997</v>
      </c>
      <c r="G6" s="33">
        <v>1.0225230000000001</v>
      </c>
      <c r="H6" s="33">
        <v>1.1958649999999999E-2</v>
      </c>
      <c r="I6" s="33">
        <v>0.48637469999999999</v>
      </c>
      <c r="J6" s="33">
        <v>23.140630600000001</v>
      </c>
    </row>
    <row r="7" spans="1:10" x14ac:dyDescent="0.2">
      <c r="A7" s="33" t="s">
        <v>196</v>
      </c>
      <c r="B7" s="33" t="s">
        <v>76</v>
      </c>
      <c r="C7" s="33">
        <v>1.0083487200000001</v>
      </c>
      <c r="D7" s="33">
        <v>5.4599999999999996E-3</v>
      </c>
      <c r="E7" s="33">
        <v>0.62577989000000001</v>
      </c>
      <c r="F7" s="33">
        <v>-34.918956999999999</v>
      </c>
      <c r="G7" s="33">
        <v>1.0218054000000001</v>
      </c>
      <c r="H7" s="33">
        <v>8.9841999999999995E-3</v>
      </c>
      <c r="I7" s="33">
        <v>0.39601508000000002</v>
      </c>
      <c r="J7" s="33">
        <v>19.037204200000001</v>
      </c>
    </row>
    <row r="8" spans="1:10" x14ac:dyDescent="0.2">
      <c r="A8" s="33" t="s">
        <v>196</v>
      </c>
      <c r="B8" s="33" t="s">
        <v>93</v>
      </c>
      <c r="C8" s="33">
        <v>1.0146815300000001</v>
      </c>
      <c r="D8" s="33">
        <v>9.6200000000000001E-3</v>
      </c>
      <c r="E8" s="33">
        <v>0.62082219999999999</v>
      </c>
      <c r="F8" s="33">
        <v>22.504230100000001</v>
      </c>
      <c r="G8" s="33">
        <v>1.0180022900000001</v>
      </c>
      <c r="H8" s="33">
        <v>1.6484539999999999E-2</v>
      </c>
      <c r="I8" s="33">
        <v>0.84643740000000001</v>
      </c>
      <c r="J8" s="33">
        <v>25.734068099999998</v>
      </c>
    </row>
    <row r="9" spans="1:10" x14ac:dyDescent="0.2">
      <c r="A9" s="33" t="s">
        <v>196</v>
      </c>
      <c r="B9" s="33" t="s">
        <v>194</v>
      </c>
      <c r="C9" s="33">
        <v>1.0173488399999999</v>
      </c>
      <c r="D9" s="33">
        <v>2.3400000000000001E-3</v>
      </c>
      <c r="E9" s="33">
        <v>0.19094120000000001</v>
      </c>
      <c r="F9" s="33">
        <v>19.771406299999999</v>
      </c>
      <c r="G9" s="33">
        <v>1.01841899</v>
      </c>
      <c r="H9" s="33">
        <v>4.2100200000000001E-3</v>
      </c>
      <c r="I9" s="33">
        <v>0.23810878999999999</v>
      </c>
      <c r="J9" s="33">
        <v>13.5028939</v>
      </c>
    </row>
    <row r="10" spans="1:10" x14ac:dyDescent="0.2">
      <c r="A10" s="33" t="s">
        <v>197</v>
      </c>
      <c r="B10" s="33" t="s">
        <v>89</v>
      </c>
      <c r="C10" s="33">
        <v>1.0167305499999999</v>
      </c>
      <c r="D10" s="33">
        <v>3.0000000000000001E-3</v>
      </c>
      <c r="E10" s="33">
        <v>0.17276463</v>
      </c>
      <c r="F10" s="33">
        <v>-7.3722671999999996</v>
      </c>
      <c r="G10" s="33">
        <v>1.0235969300000001</v>
      </c>
      <c r="H10" s="33">
        <v>4.5204800000000003E-3</v>
      </c>
      <c r="I10" s="33">
        <v>0.20966539000000001</v>
      </c>
      <c r="J10" s="33">
        <v>34.646104000000001</v>
      </c>
    </row>
    <row r="11" spans="1:10" x14ac:dyDescent="0.2">
      <c r="A11" s="33" t="s">
        <v>197</v>
      </c>
      <c r="B11" s="33" t="s">
        <v>181</v>
      </c>
      <c r="C11" s="33">
        <v>1.02433566</v>
      </c>
      <c r="D11" s="33">
        <v>2.5300000000000001E-3</v>
      </c>
      <c r="E11" s="33">
        <v>8.4440189999999998E-2</v>
      </c>
      <c r="F11" s="33">
        <v>46.294057100000003</v>
      </c>
      <c r="G11" s="33">
        <v>1.04616551</v>
      </c>
      <c r="H11" s="33">
        <v>4.9468699999999999E-3</v>
      </c>
      <c r="I11" s="33">
        <v>0.13003602</v>
      </c>
      <c r="J11" s="33">
        <v>14.265694699999999</v>
      </c>
    </row>
    <row r="12" spans="1:10" x14ac:dyDescent="0.2">
      <c r="A12" s="33" t="s">
        <v>197</v>
      </c>
      <c r="B12" s="33" t="s">
        <v>183</v>
      </c>
      <c r="C12" s="33">
        <v>1.0234407299999999</v>
      </c>
      <c r="D12" s="33">
        <v>0</v>
      </c>
      <c r="E12" s="33">
        <v>-5.8053999999999996E-3</v>
      </c>
      <c r="F12" s="33">
        <v>2.30087039</v>
      </c>
      <c r="G12" s="33">
        <v>1.0265249400000001</v>
      </c>
      <c r="H12" s="33">
        <v>4.0926699999999996E-3</v>
      </c>
      <c r="I12" s="33">
        <v>4.1823869999999999E-2</v>
      </c>
      <c r="J12" s="33">
        <v>16.464885500000001</v>
      </c>
    </row>
    <row r="13" spans="1:10" x14ac:dyDescent="0.2">
      <c r="A13" s="33" t="s">
        <v>197</v>
      </c>
      <c r="B13" s="33" t="s">
        <v>90</v>
      </c>
      <c r="C13" s="33">
        <v>1.0066974799999999</v>
      </c>
      <c r="D13" s="33">
        <v>4.96E-3</v>
      </c>
      <c r="E13" s="33">
        <v>0.56684983</v>
      </c>
      <c r="F13" s="33">
        <v>-22.264175000000002</v>
      </c>
      <c r="G13" s="33">
        <v>1.0081736100000001</v>
      </c>
      <c r="H13" s="33">
        <v>6.2347499999999998E-3</v>
      </c>
      <c r="I13" s="33">
        <v>0.65554979999999996</v>
      </c>
      <c r="J13" s="33">
        <v>14.597190599999999</v>
      </c>
    </row>
    <row r="14" spans="1:10" x14ac:dyDescent="0.2">
      <c r="A14" s="33" t="s">
        <v>198</v>
      </c>
      <c r="B14" s="33" t="s">
        <v>87</v>
      </c>
      <c r="C14" s="33">
        <v>1.0048938999999999</v>
      </c>
      <c r="D14" s="33">
        <v>2.1700000000000001E-3</v>
      </c>
      <c r="E14" s="33">
        <v>0.38470283999999999</v>
      </c>
      <c r="F14" s="33">
        <v>9.7764014199999991</v>
      </c>
      <c r="G14" s="33">
        <v>1.01790789</v>
      </c>
      <c r="H14" s="33">
        <v>1.1454890000000001E-2</v>
      </c>
      <c r="I14" s="33">
        <v>0.62342365</v>
      </c>
      <c r="J14" s="33">
        <v>6.3397862299999996</v>
      </c>
    </row>
    <row r="15" spans="1:10" x14ac:dyDescent="0.2">
      <c r="A15" s="33" t="s">
        <v>198</v>
      </c>
      <c r="B15" s="33" t="s">
        <v>88</v>
      </c>
      <c r="C15" s="33">
        <v>1.01033408</v>
      </c>
      <c r="D15" s="33">
        <v>6.2399999999999999E-3</v>
      </c>
      <c r="E15" s="33">
        <v>0.63558236000000001</v>
      </c>
      <c r="F15" s="33">
        <v>17.616921600000001</v>
      </c>
      <c r="G15" s="33">
        <v>1.00629407</v>
      </c>
      <c r="H15" s="33">
        <v>2.5738980000000002E-2</v>
      </c>
      <c r="I15" s="33">
        <v>3.9239282200000001</v>
      </c>
      <c r="J15" s="33">
        <v>46.103782299999999</v>
      </c>
    </row>
    <row r="16" spans="1:10" x14ac:dyDescent="0.2">
      <c r="A16" s="33" t="s">
        <v>198</v>
      </c>
      <c r="B16" s="33" t="s">
        <v>62</v>
      </c>
      <c r="C16" s="33">
        <v>1.01073287</v>
      </c>
      <c r="D16" s="33">
        <v>8.3800000000000003E-3</v>
      </c>
      <c r="E16" s="33">
        <v>0.73810851</v>
      </c>
      <c r="F16" s="33">
        <v>1.30652284</v>
      </c>
      <c r="G16" s="33">
        <v>1.0139265099999999</v>
      </c>
      <c r="H16" s="33">
        <v>4.0057420000000003E-2</v>
      </c>
      <c r="I16" s="33">
        <v>2.8341292899999999</v>
      </c>
      <c r="J16" s="33">
        <v>23.834890999999999</v>
      </c>
    </row>
    <row r="17" spans="1:10" x14ac:dyDescent="0.2">
      <c r="A17" s="33" t="s">
        <v>198</v>
      </c>
      <c r="B17" s="33" t="s">
        <v>184</v>
      </c>
      <c r="C17" s="33">
        <v>1.0150887900000001</v>
      </c>
      <c r="D17" s="33">
        <v>1.64E-3</v>
      </c>
      <c r="E17" s="33">
        <v>0.11127506</v>
      </c>
      <c r="F17" s="33">
        <v>-31.826215999999999</v>
      </c>
      <c r="G17" s="33">
        <v>1.0184580400000001</v>
      </c>
      <c r="H17" s="33">
        <v>3.28218E-3</v>
      </c>
      <c r="I17" s="33">
        <v>0.16818501</v>
      </c>
      <c r="J17" s="33">
        <v>19.0073151</v>
      </c>
    </row>
    <row r="18" spans="1:10" x14ac:dyDescent="0.2">
      <c r="A18" s="33" t="s">
        <v>198</v>
      </c>
      <c r="B18" s="33" t="s">
        <v>185</v>
      </c>
      <c r="C18" s="33">
        <v>1.00480788</v>
      </c>
      <c r="D18" s="33">
        <v>1.9599999999999999E-3</v>
      </c>
      <c r="E18" s="33">
        <v>0.42726047</v>
      </c>
      <c r="F18" s="33">
        <v>1.4352924300000001</v>
      </c>
      <c r="G18" s="33">
        <v>1.0196479000000001</v>
      </c>
      <c r="H18" s="33">
        <v>3.2867999999999998E-4</v>
      </c>
      <c r="I18" s="33">
        <v>8.7116999999999993E-3</v>
      </c>
      <c r="J18" s="33">
        <v>5.8574467099999996</v>
      </c>
    </row>
    <row r="19" spans="1:10" x14ac:dyDescent="0.2">
      <c r="A19" s="33" t="s">
        <v>198</v>
      </c>
      <c r="B19" s="33" t="s">
        <v>186</v>
      </c>
      <c r="C19" s="33">
        <v>1.01839652</v>
      </c>
      <c r="D19" s="33">
        <v>8.3000000000000001E-4</v>
      </c>
      <c r="E19" s="33">
        <v>1.381344E-2</v>
      </c>
      <c r="F19" s="33">
        <v>-63.549523999999998</v>
      </c>
      <c r="G19" s="33">
        <v>1.0318780400000001</v>
      </c>
      <c r="H19" s="33">
        <v>3.2787900000000002E-3</v>
      </c>
      <c r="I19" s="33">
        <v>5.0795569999999998E-2</v>
      </c>
      <c r="J19" s="33">
        <v>18.364863199999998</v>
      </c>
    </row>
    <row r="20" spans="1:10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</row>
    <row r="21" spans="1:10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">
      <c r="A22" s="33" t="s">
        <v>195</v>
      </c>
      <c r="B22" s="33" t="s">
        <v>104</v>
      </c>
      <c r="C22" s="33">
        <v>1.0241491</v>
      </c>
      <c r="D22" s="33">
        <v>4.6299999999999996E-3</v>
      </c>
      <c r="E22" s="33">
        <v>0.15424207000000001</v>
      </c>
      <c r="F22" s="33">
        <v>13.7539581</v>
      </c>
      <c r="G22" s="33">
        <v>1.0383201799999999</v>
      </c>
      <c r="H22" s="33">
        <v>7.4037499999999997E-3</v>
      </c>
      <c r="I22" s="33">
        <v>0.20105465</v>
      </c>
      <c r="J22" s="33">
        <v>9.7143147699999997</v>
      </c>
    </row>
    <row r="23" spans="1:10" x14ac:dyDescent="0.2">
      <c r="A23" s="33"/>
      <c r="B23" s="33" t="s">
        <v>109</v>
      </c>
      <c r="C23" s="34">
        <v>1.49E-3</v>
      </c>
      <c r="D23" s="34">
        <v>1.2700000000000001E-3</v>
      </c>
      <c r="E23" s="34">
        <v>7.2700000000000001E-2</v>
      </c>
      <c r="F23" s="34">
        <v>12.1</v>
      </c>
      <c r="G23" s="34">
        <v>8.7200000000000003E-3</v>
      </c>
      <c r="H23" s="34">
        <v>3.0100000000000001E-3</v>
      </c>
      <c r="I23" s="34">
        <v>6.7299999999999999E-2</v>
      </c>
      <c r="J23" s="34">
        <v>1.52</v>
      </c>
    </row>
    <row r="24" spans="1:10" x14ac:dyDescent="0.2">
      <c r="A24" s="33" t="s">
        <v>196</v>
      </c>
      <c r="B24" s="33" t="s">
        <v>104</v>
      </c>
      <c r="C24" s="33">
        <v>1.0142140500000001</v>
      </c>
      <c r="D24" s="33">
        <v>5.6699999999999997E-3</v>
      </c>
      <c r="E24" s="33">
        <v>0.43333126</v>
      </c>
      <c r="F24" s="33">
        <v>20.529171000000002</v>
      </c>
      <c r="G24" s="33">
        <v>1.0201874200000001</v>
      </c>
      <c r="H24" s="33">
        <v>1.040935E-2</v>
      </c>
      <c r="I24" s="33">
        <v>0.49173399000000001</v>
      </c>
      <c r="J24" s="33">
        <v>20.353699200000001</v>
      </c>
    </row>
    <row r="25" spans="1:10" x14ac:dyDescent="0.2">
      <c r="A25" s="33"/>
      <c r="B25" s="33" t="s">
        <v>109</v>
      </c>
      <c r="C25" s="33">
        <v>1.7601299999999999E-3</v>
      </c>
      <c r="D25" s="33">
        <v>1.2999999999999999E-3</v>
      </c>
      <c r="E25" s="33">
        <v>9.6780080000000004E-2</v>
      </c>
      <c r="F25" s="33">
        <v>22.9624387</v>
      </c>
      <c r="G25" s="33">
        <v>9.992200000000001E-4</v>
      </c>
      <c r="H25" s="33">
        <v>2.2328700000000001E-3</v>
      </c>
      <c r="I25" s="33">
        <v>0.11161627</v>
      </c>
      <c r="J25" s="33">
        <v>2.3100601900000002</v>
      </c>
    </row>
    <row r="26" spans="1:10" x14ac:dyDescent="0.2">
      <c r="A26" s="33" t="s">
        <v>197</v>
      </c>
      <c r="B26" s="33" t="s">
        <v>104</v>
      </c>
      <c r="C26" s="33">
        <v>1.01780111</v>
      </c>
      <c r="D26" s="33">
        <v>2.6199999999999999E-3</v>
      </c>
      <c r="E26" s="33">
        <v>0.20456231</v>
      </c>
      <c r="F26" s="33">
        <v>4.7396212999999996</v>
      </c>
      <c r="G26" s="33">
        <v>1.0261152499999999</v>
      </c>
      <c r="H26" s="33">
        <v>4.9486900000000004E-3</v>
      </c>
      <c r="I26" s="33">
        <v>0.25926876999999998</v>
      </c>
      <c r="J26" s="33">
        <v>19.993468700000001</v>
      </c>
    </row>
    <row r="27" spans="1:10" x14ac:dyDescent="0.2">
      <c r="A27" s="33"/>
      <c r="B27" s="33" t="s">
        <v>109</v>
      </c>
      <c r="C27" s="33">
        <v>3.5261699999999999E-3</v>
      </c>
      <c r="D27" s="33">
        <v>8.8000000000000003E-4</v>
      </c>
      <c r="E27" s="33">
        <v>0.10924378</v>
      </c>
      <c r="F27" s="33">
        <v>12.7686665</v>
      </c>
      <c r="G27" s="33">
        <v>6.7565899999999998E-3</v>
      </c>
      <c r="H27" s="33">
        <v>4.0078999999999999E-4</v>
      </c>
      <c r="I27" s="33">
        <v>0.11818484999999999</v>
      </c>
      <c r="J27" s="33">
        <v>4.2505722600000002</v>
      </c>
    </row>
    <row r="28" spans="1:10" x14ac:dyDescent="0.2">
      <c r="A28" s="33" t="s">
        <v>198</v>
      </c>
      <c r="B28" s="33" t="s">
        <v>104</v>
      </c>
      <c r="C28" s="33">
        <f>C31</f>
        <v>1.0086249433333332</v>
      </c>
      <c r="D28" s="33">
        <f t="shared" ref="D28:J28" si="0">D31</f>
        <v>5.5266666666666667E-3</v>
      </c>
      <c r="E28" s="33">
        <f t="shared" si="0"/>
        <v>0.60031711333333326</v>
      </c>
      <c r="F28" s="33">
        <f>F31</f>
        <v>6.7862456233333335</v>
      </c>
      <c r="G28" s="33">
        <f t="shared" si="0"/>
        <v>1.0132894933333334</v>
      </c>
      <c r="H28" s="33">
        <f t="shared" si="0"/>
        <v>2.2041693333333334E-2</v>
      </c>
      <c r="I28" s="33">
        <f t="shared" si="0"/>
        <v>2.2555897366666668</v>
      </c>
      <c r="J28" s="33">
        <f t="shared" si="0"/>
        <v>25.26537333666667</v>
      </c>
    </row>
    <row r="29" spans="1:10" x14ac:dyDescent="0.2">
      <c r="A29" s="33"/>
      <c r="B29" s="33" t="s">
        <v>109</v>
      </c>
      <c r="C29" s="33">
        <f>C32</f>
        <v>3.3116820098000707E-3</v>
      </c>
      <c r="D29" s="33">
        <f t="shared" ref="D29:J29" si="1">D32</f>
        <v>3.2689039957351654E-3</v>
      </c>
      <c r="E29" s="33">
        <f t="shared" si="1"/>
        <v>0.15839619379835476</v>
      </c>
      <c r="F29" s="33">
        <f t="shared" si="1"/>
        <v>9.379861512063254</v>
      </c>
      <c r="G29" s="33">
        <f t="shared" si="1"/>
        <v>6.699666901602893E-3</v>
      </c>
      <c r="H29" s="33">
        <f t="shared" si="1"/>
        <v>2.0120776377131517E-2</v>
      </c>
      <c r="I29" s="33">
        <f t="shared" si="1"/>
        <v>2.0207080716171189</v>
      </c>
      <c r="J29" s="33">
        <f t="shared" si="1"/>
        <v>20.161264640204525</v>
      </c>
    </row>
    <row r="31" spans="1:10" x14ac:dyDescent="0.2">
      <c r="C31">
        <f>AVERAGE(C15,C16,C18)</f>
        <v>1.0086249433333332</v>
      </c>
      <c r="D31">
        <f t="shared" ref="D31:J31" si="2">AVERAGE(D15,D16,D18)</f>
        <v>5.5266666666666667E-3</v>
      </c>
      <c r="E31">
        <f t="shared" si="2"/>
        <v>0.60031711333333326</v>
      </c>
      <c r="F31">
        <f>AVERAGE(F15,F16,F18)</f>
        <v>6.7862456233333335</v>
      </c>
      <c r="G31">
        <f t="shared" si="2"/>
        <v>1.0132894933333334</v>
      </c>
      <c r="H31">
        <f t="shared" si="2"/>
        <v>2.2041693333333334E-2</v>
      </c>
      <c r="I31">
        <f t="shared" si="2"/>
        <v>2.2555897366666668</v>
      </c>
      <c r="J31">
        <f t="shared" si="2"/>
        <v>25.26537333666667</v>
      </c>
    </row>
    <row r="32" spans="1:10" x14ac:dyDescent="0.2">
      <c r="C32">
        <f>_xlfn.STDEV.S(C15,C16,C18)</f>
        <v>3.3116820098000707E-3</v>
      </c>
      <c r="D32">
        <f t="shared" ref="D32:J32" si="3">_xlfn.STDEV.S(D15,D16,D18)</f>
        <v>3.2689039957351654E-3</v>
      </c>
      <c r="E32">
        <f t="shared" si="3"/>
        <v>0.15839619379835476</v>
      </c>
      <c r="F32">
        <f t="shared" si="3"/>
        <v>9.379861512063254</v>
      </c>
      <c r="G32">
        <f t="shared" si="3"/>
        <v>6.699666901602893E-3</v>
      </c>
      <c r="H32">
        <f t="shared" si="3"/>
        <v>2.0120776377131517E-2</v>
      </c>
      <c r="I32">
        <f t="shared" si="3"/>
        <v>2.0207080716171189</v>
      </c>
      <c r="J32">
        <f t="shared" si="3"/>
        <v>20.161264640204525</v>
      </c>
    </row>
    <row r="34" spans="1:12" x14ac:dyDescent="0.2">
      <c r="A34" t="s">
        <v>152</v>
      </c>
      <c r="B34" t="s">
        <v>203</v>
      </c>
      <c r="C34" t="s">
        <v>11</v>
      </c>
      <c r="D34" t="s">
        <v>16</v>
      </c>
      <c r="E34" t="s">
        <v>17</v>
      </c>
      <c r="F34" t="s">
        <v>14</v>
      </c>
      <c r="G34" t="s">
        <v>15</v>
      </c>
      <c r="H34" t="s">
        <v>17</v>
      </c>
      <c r="I34" t="s">
        <v>21</v>
      </c>
      <c r="J34" t="s">
        <v>22</v>
      </c>
      <c r="K34" t="s">
        <v>23</v>
      </c>
      <c r="L34" t="s">
        <v>204</v>
      </c>
    </row>
    <row r="35" spans="1:12" x14ac:dyDescent="0.2">
      <c r="A35" t="s">
        <v>94</v>
      </c>
      <c r="B35" t="s">
        <v>95</v>
      </c>
      <c r="C35">
        <v>1.7905969172716099E-2</v>
      </c>
      <c r="D35">
        <v>20.0127754211425</v>
      </c>
      <c r="E35">
        <v>1811.5078125</v>
      </c>
      <c r="F35">
        <v>0.34623563289642301</v>
      </c>
      <c r="G35">
        <v>1.85081839561462</v>
      </c>
      <c r="H35">
        <v>0.36868315935134799</v>
      </c>
      <c r="I35">
        <v>22679.33984375</v>
      </c>
      <c r="J35">
        <v>0.41964840888977001</v>
      </c>
      <c r="K35">
        <v>0.10702355206012699</v>
      </c>
      <c r="L35" t="s">
        <v>96</v>
      </c>
    </row>
    <row r="36" spans="1:12" x14ac:dyDescent="0.2">
      <c r="A36" t="s">
        <v>193</v>
      </c>
      <c r="B36" t="s">
        <v>95</v>
      </c>
      <c r="C36">
        <v>2.0819127559661799E-2</v>
      </c>
      <c r="D36">
        <v>8.9957974851131405E-3</v>
      </c>
      <c r="E36">
        <v>100.392807006835</v>
      </c>
      <c r="F36">
        <v>6.4103929325938199E-3</v>
      </c>
      <c r="G36">
        <v>4.2793817520141602</v>
      </c>
      <c r="H36">
        <v>31.0315437316894</v>
      </c>
      <c r="I36">
        <v>133.59860229492099</v>
      </c>
      <c r="J36">
        <v>0.35204845666885298</v>
      </c>
      <c r="K36">
        <v>1.53266513347625</v>
      </c>
      <c r="L36" t="s">
        <v>180</v>
      </c>
    </row>
    <row r="37" spans="1:12" x14ac:dyDescent="0.2">
      <c r="A37" t="s">
        <v>187</v>
      </c>
      <c r="B37" t="s">
        <v>95</v>
      </c>
      <c r="C37">
        <v>4.1707651689648602E-3</v>
      </c>
      <c r="D37">
        <v>20.9033107757568</v>
      </c>
      <c r="E37">
        <v>1721.34289550781</v>
      </c>
      <c r="F37">
        <v>0.35841003060340798</v>
      </c>
      <c r="G37">
        <v>-1.21785056591033</v>
      </c>
      <c r="H37">
        <v>0.23019377887248901</v>
      </c>
      <c r="I37">
        <v>21891.71484375</v>
      </c>
      <c r="J37">
        <v>0.41006723046302701</v>
      </c>
      <c r="K37">
        <v>9.8773784637451101</v>
      </c>
      <c r="L37" t="s">
        <v>182</v>
      </c>
    </row>
    <row r="38" spans="1:12" x14ac:dyDescent="0.2">
      <c r="A38" t="s">
        <v>188</v>
      </c>
      <c r="B38" t="s">
        <v>95</v>
      </c>
      <c r="C38">
        <v>7.2698816657066302E-3</v>
      </c>
      <c r="D38">
        <v>33.463935852050703</v>
      </c>
      <c r="E38">
        <v>13757.0791015625</v>
      </c>
      <c r="F38">
        <v>0.35844725370407099</v>
      </c>
      <c r="G38">
        <v>-8.8125508045777603E-4</v>
      </c>
      <c r="H38">
        <v>5.1854081451892797E-2</v>
      </c>
      <c r="I38">
        <v>87912.4375</v>
      </c>
      <c r="J38">
        <v>0.39621892571449202</v>
      </c>
      <c r="K38">
        <v>8.2015946507453905E-2</v>
      </c>
      <c r="L38" t="s">
        <v>182</v>
      </c>
    </row>
    <row r="39" spans="1:12" x14ac:dyDescent="0.2">
      <c r="A39" t="s">
        <v>75</v>
      </c>
      <c r="B39" t="s">
        <v>98</v>
      </c>
      <c r="C39">
        <v>2.1267434931360101E-4</v>
      </c>
      <c r="D39">
        <v>1.9765584147535199E-4</v>
      </c>
      <c r="E39">
        <v>1.0713823139667501E-2</v>
      </c>
      <c r="F39" s="1">
        <v>7.0794281782582402E-5</v>
      </c>
      <c r="G39">
        <v>-1.5557045117020599E-4</v>
      </c>
      <c r="H39">
        <v>1.8266207189299101E-4</v>
      </c>
      <c r="I39">
        <v>6.1074872501194399E-3</v>
      </c>
      <c r="J39" s="1">
        <v>7.3918403359129998E-5</v>
      </c>
      <c r="K39">
        <v>0.110267333686351</v>
      </c>
      <c r="L39" t="s">
        <v>97</v>
      </c>
    </row>
    <row r="40" spans="1:12" x14ac:dyDescent="0.2">
      <c r="A40" t="s">
        <v>76</v>
      </c>
      <c r="B40" t="s">
        <v>98</v>
      </c>
      <c r="C40">
        <v>5.6863878853619099E-4</v>
      </c>
      <c r="D40">
        <v>5.9787009377032497E-4</v>
      </c>
      <c r="E40">
        <v>2.0677093416452401E-2</v>
      </c>
      <c r="F40">
        <v>2.7216342277824797E-4</v>
      </c>
      <c r="G40">
        <v>3.1376050319522602E-3</v>
      </c>
      <c r="H40">
        <v>6.3832802698016102E-4</v>
      </c>
      <c r="I40">
        <v>1.9918531179428101E-2</v>
      </c>
      <c r="J40">
        <v>2.4883999140001801E-4</v>
      </c>
      <c r="K40">
        <v>1.0029441118240301</v>
      </c>
      <c r="L40" t="s">
        <v>97</v>
      </c>
    </row>
    <row r="41" spans="1:12" x14ac:dyDescent="0.2">
      <c r="A41" t="s">
        <v>93</v>
      </c>
      <c r="B41" t="s">
        <v>98</v>
      </c>
      <c r="C41">
        <v>3.6261830246075901E-4</v>
      </c>
      <c r="D41">
        <v>3.25615052133798E-4</v>
      </c>
      <c r="E41">
        <v>8.9242625981569203E-3</v>
      </c>
      <c r="F41">
        <v>1.45200130646117E-4</v>
      </c>
      <c r="G41">
        <v>0.96380770206451405</v>
      </c>
      <c r="H41">
        <v>3.7418672582134599E-4</v>
      </c>
      <c r="I41">
        <v>1.21884271502494E-2</v>
      </c>
      <c r="J41">
        <v>1.15870076115243E-4</v>
      </c>
      <c r="K41">
        <v>0.99367481470107999</v>
      </c>
      <c r="L41" t="s">
        <v>96</v>
      </c>
    </row>
    <row r="42" spans="1:12" x14ac:dyDescent="0.2">
      <c r="A42" t="s">
        <v>201</v>
      </c>
      <c r="B42" t="s">
        <v>98</v>
      </c>
      <c r="C42">
        <v>2.62723478954285E-4</v>
      </c>
      <c r="D42">
        <v>2.5846241624094502E-4</v>
      </c>
      <c r="E42">
        <v>7.4513377621769896E-3</v>
      </c>
      <c r="F42" s="1">
        <v>8.2114565884694403E-5</v>
      </c>
      <c r="G42">
        <v>5.17741777002811E-3</v>
      </c>
      <c r="H42">
        <v>2.4719425709918098E-4</v>
      </c>
      <c r="I42">
        <v>6.9778645411133697E-3</v>
      </c>
      <c r="J42" s="1">
        <v>7.8843193477950895E-5</v>
      </c>
      <c r="K42">
        <v>2.8831152915954501</v>
      </c>
      <c r="L42" t="s">
        <v>180</v>
      </c>
    </row>
    <row r="43" spans="1:12" x14ac:dyDescent="0.2">
      <c r="A43" t="s">
        <v>181</v>
      </c>
      <c r="B43" t="s">
        <v>84</v>
      </c>
      <c r="C43">
        <v>8.6670797318220104E-3</v>
      </c>
      <c r="D43">
        <v>6.6011687740683504E-3</v>
      </c>
      <c r="E43">
        <v>1854.52783203125</v>
      </c>
      <c r="F43">
        <v>0.52450978755950906</v>
      </c>
      <c r="G43">
        <v>-0.86635553836822499</v>
      </c>
      <c r="H43">
        <v>2.58728619664907E-2</v>
      </c>
      <c r="I43">
        <v>2.5627911090850799</v>
      </c>
      <c r="J43">
        <v>0.32011359930038402</v>
      </c>
      <c r="K43">
        <v>1.4656623601913401</v>
      </c>
    </row>
    <row r="44" spans="1:12" x14ac:dyDescent="0.2">
      <c r="A44" t="s">
        <v>183</v>
      </c>
      <c r="B44" t="s">
        <v>84</v>
      </c>
      <c r="C44">
        <v>5.7971460046246604E-4</v>
      </c>
      <c r="D44">
        <v>1.94906182587146E-2</v>
      </c>
      <c r="E44">
        <v>292.12902832031199</v>
      </c>
      <c r="F44">
        <v>1.1248530820012001E-2</v>
      </c>
      <c r="G44">
        <v>-1.0792076587677</v>
      </c>
      <c r="H44">
        <v>41.748916625976499</v>
      </c>
      <c r="I44">
        <v>1.42859458923339</v>
      </c>
      <c r="J44">
        <v>0.356332957744598</v>
      </c>
      <c r="K44">
        <v>13.299644470214799</v>
      </c>
    </row>
    <row r="45" spans="1:12" x14ac:dyDescent="0.2">
      <c r="A45" t="s">
        <v>90</v>
      </c>
      <c r="B45" t="s">
        <v>84</v>
      </c>
      <c r="C45">
        <v>0.12969234585761999</v>
      </c>
      <c r="D45">
        <v>396.80108642578102</v>
      </c>
      <c r="E45">
        <v>69784.3671875</v>
      </c>
      <c r="F45">
        <v>0.34163275361061002</v>
      </c>
      <c r="G45">
        <v>3.1474809646606401</v>
      </c>
      <c r="H45">
        <v>2.4462803266942501E-3</v>
      </c>
      <c r="I45">
        <v>2254.41064453125</v>
      </c>
      <c r="J45">
        <v>0.61482262611389105</v>
      </c>
      <c r="K45">
        <v>1.01262378692626</v>
      </c>
    </row>
    <row r="46" spans="1:12" x14ac:dyDescent="0.2">
      <c r="A46" t="s">
        <v>88</v>
      </c>
      <c r="B46" t="s">
        <v>202</v>
      </c>
      <c r="C46" s="1">
        <v>8.7438704213127494E-5</v>
      </c>
      <c r="D46">
        <v>27.206779479980401</v>
      </c>
      <c r="E46">
        <v>1491608.25</v>
      </c>
      <c r="F46">
        <v>0.36198735237121499</v>
      </c>
      <c r="G46">
        <v>0.86023354530334395</v>
      </c>
      <c r="H46">
        <v>200.77484130859301</v>
      </c>
      <c r="I46">
        <v>269868.75</v>
      </c>
      <c r="J46">
        <v>0.32792788743972701</v>
      </c>
      <c r="K46">
        <v>0.219781279563903</v>
      </c>
      <c r="L46" t="s">
        <v>96</v>
      </c>
    </row>
    <row r="47" spans="1:12" x14ac:dyDescent="0.2">
      <c r="A47" t="s">
        <v>62</v>
      </c>
      <c r="B47" t="s">
        <v>202</v>
      </c>
      <c r="C47">
        <v>2.4189797113649501E-4</v>
      </c>
      <c r="D47">
        <v>666.75573730468705</v>
      </c>
      <c r="E47">
        <v>17465.03515625</v>
      </c>
      <c r="F47">
        <v>0.34119719266891402</v>
      </c>
      <c r="G47">
        <v>2.8320527635514701E-3</v>
      </c>
      <c r="H47">
        <v>25.1930751800537</v>
      </c>
      <c r="I47">
        <v>86895.0703125</v>
      </c>
      <c r="J47">
        <v>0.378908932209014</v>
      </c>
      <c r="K47">
        <v>8.7473697662353498</v>
      </c>
      <c r="L47" t="s">
        <v>97</v>
      </c>
    </row>
    <row r="48" spans="1:12" x14ac:dyDescent="0.2">
      <c r="A48" t="s">
        <v>185</v>
      </c>
      <c r="B48" t="s">
        <v>202</v>
      </c>
      <c r="C48">
        <v>2.2289836779236698E-3</v>
      </c>
      <c r="D48">
        <v>4.72015291452407E-2</v>
      </c>
      <c r="E48">
        <v>2806.5458984375</v>
      </c>
      <c r="F48">
        <v>0.49271762371063199</v>
      </c>
      <c r="G48">
        <v>2.1185531616210902</v>
      </c>
      <c r="H48">
        <v>0.300513535737991</v>
      </c>
      <c r="I48">
        <v>35.279937744140597</v>
      </c>
      <c r="J48">
        <v>0.404571533203125</v>
      </c>
      <c r="K48">
        <v>35.1973876953125</v>
      </c>
      <c r="L48" t="s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B6E1-D583-1945-BB9B-4B3849C2E9AA}">
  <dimension ref="A1:J29"/>
  <sheetViews>
    <sheetView workbookViewId="0">
      <selection sqref="A1:J16"/>
    </sheetView>
  </sheetViews>
  <sheetFormatPr baseColWidth="10" defaultRowHeight="15" x14ac:dyDescent="0.2"/>
  <sheetData>
    <row r="1" spans="1:10" x14ac:dyDescent="0.2">
      <c r="A1" s="33" t="s">
        <v>199</v>
      </c>
      <c r="B1" s="33" t="s">
        <v>152</v>
      </c>
      <c r="C1" t="s">
        <v>114</v>
      </c>
      <c r="D1" t="s">
        <v>115</v>
      </c>
      <c r="E1" t="s">
        <v>110</v>
      </c>
      <c r="F1" t="s">
        <v>111</v>
      </c>
      <c r="G1" t="s">
        <v>116</v>
      </c>
      <c r="H1" t="s">
        <v>117</v>
      </c>
      <c r="I1" t="s">
        <v>112</v>
      </c>
      <c r="J1" t="s">
        <v>113</v>
      </c>
    </row>
    <row r="2" spans="1:10" x14ac:dyDescent="0.2">
      <c r="A2" s="37" t="s">
        <v>195</v>
      </c>
      <c r="B2" s="33" t="s">
        <v>94</v>
      </c>
      <c r="C2">
        <v>1.03294478955683</v>
      </c>
      <c r="D2">
        <v>3.9154480085730201E-3</v>
      </c>
      <c r="E2">
        <v>0.12792649441000914</v>
      </c>
      <c r="F2">
        <v>8.6821061436993361</v>
      </c>
      <c r="G2">
        <v>1.0140187492228101</v>
      </c>
      <c r="H2">
        <v>4.4480463735522696E-3</v>
      </c>
      <c r="I2">
        <v>0.33839759180910756</v>
      </c>
      <c r="J2">
        <v>-8.8904910758626148</v>
      </c>
    </row>
    <row r="3" spans="1:10" x14ac:dyDescent="0.2">
      <c r="A3" s="37" t="s">
        <v>195</v>
      </c>
      <c r="B3" s="33" t="s">
        <v>66</v>
      </c>
      <c r="C3">
        <v>1.0618315460773999</v>
      </c>
      <c r="D3">
        <v>4.9910360991659002E-3</v>
      </c>
      <c r="E3">
        <v>8.8149561753143521E-2</v>
      </c>
      <c r="F3">
        <v>8.4831586752305395</v>
      </c>
      <c r="G3">
        <v>1.03272621582733</v>
      </c>
      <c r="H3">
        <v>5.8569215425383599E-3</v>
      </c>
      <c r="I3">
        <v>0.1354741293837444</v>
      </c>
      <c r="J3">
        <v>31.916970830301427</v>
      </c>
    </row>
    <row r="4" spans="1:10" x14ac:dyDescent="0.2">
      <c r="A4" s="37" t="s">
        <v>195</v>
      </c>
      <c r="B4" s="33" t="s">
        <v>193</v>
      </c>
      <c r="C4">
        <v>1.02825355969916</v>
      </c>
      <c r="D4">
        <v>4.4719206332381302E-3</v>
      </c>
      <c r="E4">
        <v>0.10970603637387213</v>
      </c>
      <c r="F4">
        <v>7.0591025602109392</v>
      </c>
      <c r="G4">
        <v>1.0061535031908</v>
      </c>
      <c r="H4">
        <v>9.6256294319405905E-5</v>
      </c>
      <c r="I4">
        <v>4.3849072184782456E-2</v>
      </c>
      <c r="J4">
        <v>4.0752408708341505</v>
      </c>
    </row>
    <row r="5" spans="1:10" x14ac:dyDescent="0.2">
      <c r="A5" s="37" t="s">
        <v>195</v>
      </c>
      <c r="B5" s="33" t="s">
        <v>187</v>
      </c>
      <c r="C5">
        <v>1.05436462520094</v>
      </c>
      <c r="D5">
        <v>3.08908350496339E-3</v>
      </c>
      <c r="E5">
        <v>2.8292991497588016E-2</v>
      </c>
      <c r="F5">
        <v>16.378070531112954</v>
      </c>
      <c r="G5">
        <v>1.0233153812725799</v>
      </c>
      <c r="H5">
        <v>3.4480247275513799E-3</v>
      </c>
      <c r="I5">
        <v>0.14345145718848806</v>
      </c>
      <c r="J5">
        <v>-12.22044159918299</v>
      </c>
    </row>
    <row r="6" spans="1:10" x14ac:dyDescent="0.2">
      <c r="A6" s="37" t="s">
        <v>196</v>
      </c>
      <c r="B6" s="33" t="s">
        <v>75</v>
      </c>
      <c r="C6">
        <v>1.0462893777823801</v>
      </c>
      <c r="D6">
        <v>3.4201168995956301E-3</v>
      </c>
      <c r="E6">
        <v>8.1766106505229419E-2</v>
      </c>
      <c r="F6">
        <v>8.8101986465454161</v>
      </c>
      <c r="G6">
        <v>1.0246643412276799</v>
      </c>
      <c r="H6">
        <v>9.2293448866540093E-3</v>
      </c>
      <c r="I6">
        <v>0.29425646975948394</v>
      </c>
      <c r="J6">
        <v>68.942763510122205</v>
      </c>
    </row>
    <row r="7" spans="1:10" x14ac:dyDescent="0.2">
      <c r="A7" s="37" t="s">
        <v>196</v>
      </c>
      <c r="B7" s="33" t="s">
        <v>76</v>
      </c>
      <c r="C7">
        <v>1.0226507715595301</v>
      </c>
      <c r="D7">
        <v>1.4410509296219501E-3</v>
      </c>
      <c r="E7">
        <v>0.1608950611661096</v>
      </c>
      <c r="F7">
        <v>7.6508025459847406</v>
      </c>
      <c r="G7">
        <v>1.01007028827183</v>
      </c>
      <c r="H7">
        <v>2.9054418662022899E-3</v>
      </c>
      <c r="I7">
        <v>0.14411854490265869</v>
      </c>
      <c r="J7">
        <v>-54.184441396958007</v>
      </c>
    </row>
    <row r="8" spans="1:10" x14ac:dyDescent="0.2">
      <c r="A8" s="37" t="s">
        <v>196</v>
      </c>
      <c r="B8" s="33" t="s">
        <v>93</v>
      </c>
      <c r="C8">
        <v>1.02829269088679</v>
      </c>
      <c r="D8">
        <v>4.1826777772980403E-3</v>
      </c>
      <c r="E8">
        <v>0.16894031323317182</v>
      </c>
      <c r="F8">
        <v>15.20418858222053</v>
      </c>
      <c r="G8">
        <v>1.0094144064985799</v>
      </c>
      <c r="H8">
        <v>5.2224915301900196E-3</v>
      </c>
      <c r="I8">
        <v>0.44141430568883022</v>
      </c>
      <c r="J8">
        <v>-14.511379989150171</v>
      </c>
    </row>
    <row r="9" spans="1:10" x14ac:dyDescent="0.2">
      <c r="A9" s="37" t="s">
        <v>196</v>
      </c>
      <c r="B9" s="33" t="s">
        <v>194</v>
      </c>
      <c r="C9">
        <v>1.0361572015045799</v>
      </c>
      <c r="D9">
        <v>2.9011960850367398E-3</v>
      </c>
      <c r="E9">
        <v>0.11331050212564356</v>
      </c>
      <c r="F9">
        <v>18.12375966511734</v>
      </c>
      <c r="G9">
        <v>1.0127476516025999</v>
      </c>
      <c r="H9">
        <v>3.1165099025735302E-3</v>
      </c>
      <c r="I9">
        <v>0.27374480661935369</v>
      </c>
      <c r="J9">
        <v>19.179771820656065</v>
      </c>
    </row>
    <row r="10" spans="1:10" x14ac:dyDescent="0.2">
      <c r="A10" s="37" t="s">
        <v>197</v>
      </c>
      <c r="B10" s="33" t="s">
        <v>89</v>
      </c>
      <c r="C10">
        <v>1.0332344101536499</v>
      </c>
      <c r="D10">
        <v>3.7599356299020201E-3</v>
      </c>
      <c r="E10">
        <v>0.12148331819426088</v>
      </c>
      <c r="F10">
        <v>5.5011065198581077</v>
      </c>
      <c r="G10">
        <v>1.01160964948409</v>
      </c>
      <c r="H10">
        <v>2.9287493849626299E-3</v>
      </c>
      <c r="I10">
        <v>0.27945877657060758</v>
      </c>
      <c r="J10">
        <v>10.883068088732834</v>
      </c>
    </row>
    <row r="11" spans="1:10" x14ac:dyDescent="0.2">
      <c r="A11" s="37" t="s">
        <v>197</v>
      </c>
      <c r="B11" s="33" t="s">
        <v>181</v>
      </c>
      <c r="C11">
        <v>1.05172498866416</v>
      </c>
      <c r="D11">
        <v>1.79985252285328E-3</v>
      </c>
      <c r="E11">
        <v>4.5220519192104458E-2</v>
      </c>
      <c r="F11">
        <v>3.1704164559418846</v>
      </c>
      <c r="G11">
        <v>1.0213621079231701</v>
      </c>
      <c r="H11">
        <v>3.47824970194076E-3</v>
      </c>
      <c r="I11">
        <v>0.13662520467968409</v>
      </c>
      <c r="J11">
        <v>-7.7803867616343769</v>
      </c>
    </row>
    <row r="12" spans="1:10" x14ac:dyDescent="0.2">
      <c r="A12" s="37" t="s">
        <v>197</v>
      </c>
      <c r="B12" s="33" t="s">
        <v>183</v>
      </c>
      <c r="C12">
        <v>1.0296228685252999</v>
      </c>
      <c r="D12">
        <v>0</v>
      </c>
      <c r="E12">
        <v>5.864428968817665E-2</v>
      </c>
      <c r="F12">
        <v>4.2710122290277264</v>
      </c>
      <c r="G12">
        <v>1.01285589755135</v>
      </c>
      <c r="H12">
        <v>4.0116581758187896E-3</v>
      </c>
      <c r="I12">
        <v>0.22700323116305157</v>
      </c>
      <c r="J12">
        <v>-28.178517485362072</v>
      </c>
    </row>
    <row r="13" spans="1:10" x14ac:dyDescent="0.2">
      <c r="A13" s="37" t="s">
        <v>197</v>
      </c>
      <c r="B13" s="33" t="s">
        <v>90</v>
      </c>
      <c r="C13">
        <v>1.0122389837760299</v>
      </c>
      <c r="D13">
        <v>4.0654515524758301E-3</v>
      </c>
      <c r="E13">
        <v>0.29924606946082116</v>
      </c>
      <c r="F13">
        <v>20.880054324701931</v>
      </c>
      <c r="G13">
        <v>1.0038089325595301</v>
      </c>
      <c r="H13">
        <v>4.4656254019062903E-3</v>
      </c>
      <c r="I13">
        <v>1.5897336761085015</v>
      </c>
      <c r="J13">
        <v>25.967779562511662</v>
      </c>
    </row>
    <row r="14" spans="1:10" x14ac:dyDescent="0.2">
      <c r="A14" s="37" t="s">
        <v>198</v>
      </c>
      <c r="B14" s="33" t="s">
        <v>62</v>
      </c>
      <c r="C14">
        <v>1.0282245037386</v>
      </c>
      <c r="D14">
        <v>4.73667685578488E-3</v>
      </c>
      <c r="E14">
        <v>0.18780852124149333</v>
      </c>
      <c r="F14">
        <v>12.098697598135182</v>
      </c>
      <c r="G14">
        <v>1.0110651813932801</v>
      </c>
      <c r="H14">
        <v>4.49025954319506E-3</v>
      </c>
      <c r="I14">
        <v>0.28285100122474588</v>
      </c>
      <c r="J14">
        <v>37.116421362519205</v>
      </c>
    </row>
    <row r="15" spans="1:10" x14ac:dyDescent="0.2">
      <c r="A15" s="37" t="s">
        <v>198</v>
      </c>
      <c r="B15" s="33" t="s">
        <v>184</v>
      </c>
      <c r="C15">
        <v>1.0245403423667001</v>
      </c>
      <c r="D15">
        <v>2.8028866462421901E-3</v>
      </c>
      <c r="E15">
        <v>0.15203036823067659</v>
      </c>
      <c r="F15">
        <v>11.356504994502844</v>
      </c>
      <c r="G15">
        <v>1.0098889693198601</v>
      </c>
      <c r="H15">
        <v>7.5742580256837997E-4</v>
      </c>
      <c r="I15">
        <v>5.2898657305679393E-2</v>
      </c>
      <c r="J15">
        <v>30.499524540800397</v>
      </c>
    </row>
    <row r="16" spans="1:10" x14ac:dyDescent="0.2">
      <c r="A16" s="37" t="s">
        <v>198</v>
      </c>
      <c r="B16" s="33" t="s">
        <v>185</v>
      </c>
      <c r="C16">
        <v>1.02478760479332</v>
      </c>
      <c r="D16">
        <v>2.57343858452055E-3</v>
      </c>
      <c r="E16">
        <v>9.0798196012504495E-2</v>
      </c>
      <c r="F16">
        <v>1.2366015930286953</v>
      </c>
      <c r="G16">
        <v>1.0155443578777399</v>
      </c>
      <c r="H16">
        <v>-3.2868001317875402E-4</v>
      </c>
      <c r="I16">
        <v>1.3828295242892389E-2</v>
      </c>
      <c r="J16">
        <v>1.964694101202251</v>
      </c>
    </row>
    <row r="17" spans="1:10" x14ac:dyDescent="0.2">
      <c r="A17" s="37"/>
      <c r="B17" s="33"/>
    </row>
    <row r="18" spans="1:10" x14ac:dyDescent="0.2">
      <c r="A18" s="37"/>
      <c r="B18" s="33"/>
    </row>
    <row r="19" spans="1:10" x14ac:dyDescent="0.2">
      <c r="A19" s="37"/>
      <c r="B19" s="33"/>
    </row>
    <row r="22" spans="1:10" x14ac:dyDescent="0.2">
      <c r="A22" s="33" t="s">
        <v>195</v>
      </c>
      <c r="B22" s="33" t="s">
        <v>104</v>
      </c>
      <c r="C22" s="33">
        <f>AVERAGE(C2:C5)</f>
        <v>1.0443486301335825</v>
      </c>
      <c r="D22" s="33">
        <f>AVERAGE(D2:D5)</f>
        <v>4.1168720614851101E-3</v>
      </c>
      <c r="E22" s="33">
        <f>AVERAGE(E2:E5)</f>
        <v>8.8518771008653213E-2</v>
      </c>
      <c r="F22" s="33">
        <f>AVERAGE(F2:F5)</f>
        <v>10.150609477563442</v>
      </c>
      <c r="G22" s="33">
        <f>AVERAGE(G2:G5)</f>
        <v>1.01905346237838</v>
      </c>
      <c r="H22" s="33">
        <f>AVERAGE(H2:H5)</f>
        <v>3.4623122344903533E-3</v>
      </c>
      <c r="I22" s="33">
        <f>AVERAGE(I2:I5)</f>
        <v>0.16529306264153062</v>
      </c>
      <c r="J22" s="33">
        <f>AVERAGE(J2:J5)</f>
        <v>3.7203197565224926</v>
      </c>
    </row>
    <row r="23" spans="1:10" x14ac:dyDescent="0.2">
      <c r="A23" s="33"/>
      <c r="B23" s="33" t="s">
        <v>109</v>
      </c>
      <c r="C23" s="34">
        <f>_xlfn.STDEV.S(C2:C5)/SQRT(COUNT(C2:C5))</f>
        <v>8.1397756893588271E-3</v>
      </c>
      <c r="D23" s="34">
        <f>_xlfn.STDEV.S(D2:D5)/SQRT(COUNT(D2:D5))</f>
        <v>4.0693398513423677E-4</v>
      </c>
      <c r="E23" s="34">
        <f>_xlfn.STDEV.S(E2:E5)/SQRT(COUNT(E2:E5))</f>
        <v>2.1658619743887508E-2</v>
      </c>
      <c r="F23" s="34">
        <f>_xlfn.STDEV.S(F2:F5)/SQRT(COUNT(F2:F5))</f>
        <v>2.107043355298388</v>
      </c>
      <c r="G23" s="34">
        <f>_xlfn.STDEV.S(G2:G5)/SQRT(COUNT(G2:G5))</f>
        <v>5.7508363387178451E-3</v>
      </c>
      <c r="H23" s="34">
        <f>_xlfn.STDEV.S(H2:H5)/SQRT(COUNT(H2:H5))</f>
        <v>1.225981316344753E-3</v>
      </c>
      <c r="I23" s="34">
        <f>_xlfn.STDEV.S(I2:I5)/SQRT(COUNT(I2:I5))</f>
        <v>6.1967764029497559E-2</v>
      </c>
      <c r="J23" s="34">
        <f>_xlfn.STDEV.S(J2:J5)/SQRT(COUNT(J2:J5))</f>
        <v>10.034596500871281</v>
      </c>
    </row>
    <row r="24" spans="1:10" x14ac:dyDescent="0.2">
      <c r="A24" s="33" t="s">
        <v>196</v>
      </c>
      <c r="B24" s="33" t="s">
        <v>104</v>
      </c>
      <c r="C24" s="33">
        <f>AVERAGE(C6:C9)</f>
        <v>1.0333475104333201</v>
      </c>
      <c r="D24" s="33">
        <f>AVERAGE(D6:D9)</f>
        <v>2.9862604228880901E-3</v>
      </c>
      <c r="E24" s="33">
        <f>AVERAGE(E6:E9)</f>
        <v>0.1312279957575386</v>
      </c>
      <c r="F24" s="33">
        <f>AVERAGE(F6:F9)</f>
        <v>12.447237359967007</v>
      </c>
      <c r="G24" s="33">
        <f>AVERAGE(G6:G9)</f>
        <v>1.0142241719001723</v>
      </c>
      <c r="H24" s="33">
        <f>AVERAGE(H6:H9)</f>
        <v>5.1184470464049623E-3</v>
      </c>
      <c r="I24" s="33">
        <f>AVERAGE(I6:I9)</f>
        <v>0.28838353174258163</v>
      </c>
      <c r="J24" s="33">
        <f>AVERAGE(J6:J9)</f>
        <v>4.8566784861675227</v>
      </c>
    </row>
    <row r="25" spans="1:10" x14ac:dyDescent="0.2">
      <c r="A25" s="33"/>
      <c r="B25" s="33" t="s">
        <v>109</v>
      </c>
      <c r="C25" s="33">
        <f>_xlfn.STDEV.S(C6:C9)/SQRT(COUNT(C6:C9))</f>
        <v>5.1263836959613051E-3</v>
      </c>
      <c r="D25" s="33">
        <f>_xlfn.STDEV.S(D6:D9)/SQRT(COUNT(D6:D9))</f>
        <v>5.7839967784455886E-4</v>
      </c>
      <c r="E25" s="33">
        <f>_xlfn.STDEV.S(E6:E9)/SQRT(COUNT(E6:E9))</f>
        <v>2.0554538683293447E-2</v>
      </c>
      <c r="F25" s="33">
        <f>_xlfn.STDEV.S(F6:F9)/SQRT(COUNT(F6:F9))</f>
        <v>2.5175636875503091</v>
      </c>
      <c r="G25" s="33">
        <f>_xlfn.STDEV.S(G6:G9)/SQRT(COUNT(G6:G9))</f>
        <v>3.5539396003160945E-3</v>
      </c>
      <c r="H25" s="33">
        <f>_xlfn.STDEV.S(H6:H9)/SQRT(COUNT(H6:H9))</f>
        <v>1.4667268140041787E-3</v>
      </c>
      <c r="I25" s="33">
        <f>_xlfn.STDEV.S(I6:I9)/SQRT(COUNT(I6:I9))</f>
        <v>6.0882118253703169E-2</v>
      </c>
      <c r="J25" s="33">
        <f>_xlfn.STDEV.S(J6:J9)/SQRT(COUNT(J6:J9))</f>
        <v>26.097817313782752</v>
      </c>
    </row>
    <row r="26" spans="1:10" x14ac:dyDescent="0.2">
      <c r="A26" s="33" t="s">
        <v>197</v>
      </c>
      <c r="B26" s="33" t="s">
        <v>104</v>
      </c>
      <c r="C26" s="33">
        <f>AVERAGE(C10:C13)</f>
        <v>1.0317053127797848</v>
      </c>
      <c r="D26" s="33">
        <f>AVERAGE(D10:D13)</f>
        <v>2.4063099263077828E-3</v>
      </c>
      <c r="E26" s="33">
        <f>AVERAGE(E10:E13)</f>
        <v>0.13114854913384077</v>
      </c>
      <c r="F26" s="33">
        <f>AVERAGE(F10:F13)</f>
        <v>8.4556473823824128</v>
      </c>
      <c r="G26" s="33">
        <f>AVERAGE(G10:G13)</f>
        <v>1.0124091468795351</v>
      </c>
      <c r="H26" s="33">
        <f>AVERAGE(H10:H13)</f>
        <v>3.7210706661571172E-3</v>
      </c>
      <c r="I26" s="33">
        <f>AVERAGE(I10:I13)</f>
        <v>0.5582052221304612</v>
      </c>
      <c r="J26" s="33">
        <f>AVERAGE(J10:J13)</f>
        <v>0.22298585106201241</v>
      </c>
    </row>
    <row r="27" spans="1:10" x14ac:dyDescent="0.2">
      <c r="A27" s="33"/>
      <c r="B27" s="33" t="s">
        <v>109</v>
      </c>
      <c r="C27" s="33">
        <f>_xlfn.STDEV.S(C10:C13)/SQRT(COUNT(C10:C13))</f>
        <v>8.0952666223832025E-3</v>
      </c>
      <c r="D27" s="33">
        <f>_xlfn.STDEV.S(D10:D13)/SQRT(COUNT(D10:D13))</f>
        <v>9.4618406968758337E-4</v>
      </c>
      <c r="E27" s="33">
        <f>_xlfn.STDEV.S(E10:E13)/SQRT(COUNT(E10:E13))</f>
        <v>5.8445620734596193E-2</v>
      </c>
      <c r="F27" s="33">
        <f>_xlfn.STDEV.S(F10:F13)/SQRT(COUNT(F10:F13))</f>
        <v>4.1687331897629933</v>
      </c>
      <c r="G27" s="33">
        <f>_xlfn.STDEV.S(G10:G13)/SQRT(COUNT(G10:G13))</f>
        <v>3.593489251954558E-3</v>
      </c>
      <c r="H27" s="33">
        <f>_xlfn.STDEV.S(H10:H13)/SQRT(COUNT(H10:H13))</f>
        <v>3.323574742896731E-4</v>
      </c>
      <c r="I27" s="33">
        <f>_xlfn.STDEV.S(I10:I13)/SQRT(COUNT(I10:I13))</f>
        <v>0.34510566041590213</v>
      </c>
      <c r="J27" s="33">
        <f>_xlfn.STDEV.S(J10:J13)/SQRT(COUNT(J10:J13))</f>
        <v>11.715840848702699</v>
      </c>
    </row>
    <row r="28" spans="1:10" x14ac:dyDescent="0.2">
      <c r="A28" s="33" t="s">
        <v>198</v>
      </c>
      <c r="B28" s="33" t="s">
        <v>104</v>
      </c>
      <c r="C28" s="33">
        <f>AVERAGE(C14:C16)</f>
        <v>1.0258508169662068</v>
      </c>
      <c r="D28" s="33">
        <f>AVERAGE(D14:D16)</f>
        <v>3.3710006955158731E-3</v>
      </c>
      <c r="E28" s="33">
        <f>AVERAGE(E14:E16)</f>
        <v>0.14354569516155813</v>
      </c>
      <c r="F28" s="33">
        <f>AVERAGE(F14:F16)</f>
        <v>8.230601395222239</v>
      </c>
      <c r="G28" s="33">
        <f>AVERAGE(G14:G16)</f>
        <v>1.0121661695302935</v>
      </c>
      <c r="H28" s="33">
        <f>AVERAGE(H14:H16)</f>
        <v>1.6396684441948954E-3</v>
      </c>
      <c r="I28" s="33">
        <f>AVERAGE(I14:I16)</f>
        <v>0.11652598459110587</v>
      </c>
      <c r="J28" s="33">
        <f>AVERAGE(J14:J16)</f>
        <v>23.193546668173951</v>
      </c>
    </row>
    <row r="29" spans="1:10" x14ac:dyDescent="0.2">
      <c r="A29" s="33"/>
      <c r="B29" s="33" t="s">
        <v>109</v>
      </c>
      <c r="C29" s="33">
        <f>_xlfn.STDEV.S(C14:C16)/SQRT(COUNT(C14:C16))</f>
        <v>1.188987853453603E-3</v>
      </c>
      <c r="D29" s="33">
        <f>_xlfn.STDEV.S(D14:D16)/SQRT(COUNT(D14:D16))</f>
        <v>6.8604303419495915E-4</v>
      </c>
      <c r="E29" s="33">
        <f>_xlfn.STDEV.S(E14:E16)/SQRT(COUNT(E14:E16))</f>
        <v>2.832397722823022E-2</v>
      </c>
      <c r="F29" s="33">
        <f>_xlfn.STDEV.S(F14:F16)/SQRT(COUNT(F14:F16))</f>
        <v>3.5035571157531771</v>
      </c>
      <c r="G29" s="33">
        <f>_xlfn.STDEV.S(G14:G16)/SQRT(COUNT(G14:G16))</f>
        <v>1.7228838317902267E-3</v>
      </c>
      <c r="H29" s="33">
        <f>_xlfn.STDEV.S(H14:H16)/SQRT(COUNT(H14:H16))</f>
        <v>1.4593730013290139E-3</v>
      </c>
      <c r="I29" s="33">
        <f>_xlfn.STDEV.S(I14:I16)/SQRT(COUNT(I14:I16))</f>
        <v>8.3923837826457834E-2</v>
      </c>
      <c r="J29" s="33">
        <f>_xlfn.STDEV.S(J14:J16)/SQRT(COUNT(J14:J16))</f>
        <v>10.784927242375256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stats</vt:lpstr>
      <vt:lpstr>R01</vt:lpstr>
      <vt:lpstr>R01_12</vt:lpstr>
      <vt:lpstr>R01_11</vt:lpstr>
      <vt:lpstr>PSF2</vt:lpstr>
      <vt:lpstr>present</vt:lpstr>
      <vt:lpstr>Sheet2</vt:lpstr>
      <vt:lpstr>GRAPHS2</vt:lpstr>
      <vt:lpstr>ForYdir2</vt:lpstr>
      <vt:lpstr>ForYdir</vt:lpstr>
      <vt:lpstr>GRAPHS</vt:lpstr>
      <vt:lpstr>read</vt:lpstr>
      <vt:lpstr>PSF3</vt:lpstr>
      <vt:lpstr>error12</vt:lpstr>
      <vt:lpstr>error</vt:lpstr>
      <vt:lpstr>mu3XAAA1</vt:lpstr>
      <vt:lpstr>mu3XTPA1</vt:lpstr>
      <vt:lpstr>mu5XCR</vt:lpstr>
      <vt:lpstr>mu5XDAAA1</vt:lpstr>
      <vt:lpstr>mu5XDAAC1</vt:lpstr>
      <vt:lpstr>mu5XDTPB1</vt:lpstr>
      <vt:lpstr>mu5XDTPC1</vt:lpstr>
      <vt:lpstr>mu5XTPA1</vt:lpstr>
      <vt:lpstr>mu5XTPB1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Nunez Alvarez</dc:creator>
  <cp:lastModifiedBy>Nunez Alvarez, Laura Maria</cp:lastModifiedBy>
  <dcterms:created xsi:type="dcterms:W3CDTF">2021-11-15T00:29:47Z</dcterms:created>
  <dcterms:modified xsi:type="dcterms:W3CDTF">2023-07-03T05:06:16Z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2023-01-10T19:37:18Z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b7f71bb6-d27f-454f-a38e-8f31579c30e9</vt:lpwstr>
  </property>
  <property fmtid="{D5CDD505-2E9C-101B-9397-08002B2CF9AE}" pid="8" name="MSIP_Label_4044bd30-2ed7-4c9d-9d12-46200872a97b_ContentBits">
    <vt:lpwstr>0</vt:lpwstr>
  </property>
</Properties>
</file>