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ben\Documents\Dev\Payment\"/>
    </mc:Choice>
  </mc:AlternateContent>
  <xr:revisionPtr revIDLastSave="18300" documentId="13_ncr:1_{16BA4A53-D17A-4364-BB70-37D216C48D8E}" xr6:coauthVersionLast="47" xr6:coauthVersionMax="47" xr10:uidLastSave="{9CD0B323-493F-46B3-8E02-1DDDD71354DC}"/>
  <bookViews>
    <workbookView xWindow="28680" yWindow="-120" windowWidth="29040" windowHeight="15840" firstSheet="15" activeTab="1" xr2:uid="{00000000-000D-0000-FFFF-FFFF00000000}"/>
  </bookViews>
  <sheets>
    <sheet name="Mon AM" sheetId="9" r:id="rId1"/>
    <sheet name="Mon PM" sheetId="10" r:id="rId2"/>
    <sheet name="Tues AM" sheetId="4" r:id="rId3"/>
    <sheet name="Tues PM" sheetId="5" r:id="rId4"/>
    <sheet name="Wed AM" sheetId="11" r:id="rId5"/>
    <sheet name="Wed PM" sheetId="12" r:id="rId6"/>
    <sheet name="Thurs AM" sheetId="13" r:id="rId7"/>
    <sheet name="Thurs PM" sheetId="14" r:id="rId8"/>
    <sheet name="Fri AM" sheetId="6" r:id="rId9"/>
    <sheet name="Fri PM" sheetId="7" r:id="rId10"/>
    <sheet name="Sat AM" sheetId="15" r:id="rId11"/>
    <sheet name="Sat PM" sheetId="16" r:id="rId12"/>
    <sheet name="Sun AM" sheetId="17" r:id="rId13"/>
    <sheet name="Sun PM" sheetId="18" r:id="rId14"/>
    <sheet name="Weekly Summary" sheetId="8" r:id="rId15"/>
    <sheet name="Weekly Gross" sheetId="19" r:id="rId16"/>
    <sheet name="Sheet1" sheetId="20" r:id="rId17"/>
  </sheets>
  <definedNames>
    <definedName name="_xlnm._FilterDatabase" localSheetId="8" hidden="1">'Fri AM'!$A$3:$N$3</definedName>
    <definedName name="_xlnm._FilterDatabase" localSheetId="0" hidden="1">'Mon AM'!$A$3:$N$3</definedName>
    <definedName name="_xlnm._FilterDatabase" localSheetId="6" hidden="1">'Thurs AM'!$A$3:$N$3</definedName>
    <definedName name="_xlnm._FilterDatabase" localSheetId="2" hidden="1">'Tues AM'!$A$3:$O$3</definedName>
    <definedName name="_xlnm._FilterDatabase" localSheetId="3" hidden="1">'Tues PM'!$A$3:$N$3</definedName>
    <definedName name="_xlnm._FilterDatabase" localSheetId="4" hidden="1">'Wed AM'!$A$3:$N$3</definedName>
    <definedName name="_xlnm.Print_Area" localSheetId="16">Sheet1!$B$3:$E$12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" i="9" l="1"/>
  <c r="E19" i="17"/>
  <c r="F46" i="9"/>
  <c r="F17" i="15"/>
  <c r="F25" i="11"/>
  <c r="F42" i="9"/>
  <c r="E42" i="9"/>
  <c r="L42" i="9" s="1"/>
  <c r="F28" i="15"/>
  <c r="F36" i="15"/>
  <c r="F41" i="11"/>
  <c r="F47" i="4"/>
  <c r="E24" i="9"/>
  <c r="F28" i="11"/>
  <c r="E31" i="9"/>
  <c r="E15" i="15"/>
  <c r="E9" i="20"/>
  <c r="E8" i="20"/>
  <c r="E7" i="20"/>
  <c r="E6" i="20"/>
  <c r="E5" i="20"/>
  <c r="E4" i="20"/>
  <c r="N48" i="18"/>
  <c r="S12" i="18" s="1"/>
  <c r="K48" i="18"/>
  <c r="S11" i="18" s="1"/>
  <c r="J48" i="18"/>
  <c r="S10" i="18" s="1"/>
  <c r="I48" i="18"/>
  <c r="S9" i="18" s="1"/>
  <c r="H48" i="18"/>
  <c r="S8" i="18" s="1"/>
  <c r="C44" i="8" s="1"/>
  <c r="L34" i="19" s="1"/>
  <c r="G48" i="18"/>
  <c r="S7" i="18" s="1"/>
  <c r="D48" i="18"/>
  <c r="S4" i="18" s="1"/>
  <c r="F47" i="18"/>
  <c r="E47" i="18"/>
  <c r="L47" i="18" s="1"/>
  <c r="F46" i="18"/>
  <c r="E46" i="18"/>
  <c r="L46" i="18" s="1"/>
  <c r="F45" i="18"/>
  <c r="E45" i="18"/>
  <c r="L45" i="18" s="1"/>
  <c r="F44" i="18"/>
  <c r="E44" i="18"/>
  <c r="L44" i="18" s="1"/>
  <c r="F43" i="18"/>
  <c r="E43" i="18"/>
  <c r="L43" i="18" s="1"/>
  <c r="F42" i="18"/>
  <c r="E42" i="18"/>
  <c r="L42" i="18" s="1"/>
  <c r="F41" i="18"/>
  <c r="E41" i="18"/>
  <c r="L41" i="18" s="1"/>
  <c r="F40" i="18"/>
  <c r="E40" i="18"/>
  <c r="L40" i="18" s="1"/>
  <c r="F39" i="18"/>
  <c r="E39" i="18"/>
  <c r="L39" i="18" s="1"/>
  <c r="F38" i="18"/>
  <c r="E38" i="18"/>
  <c r="L38" i="18" s="1"/>
  <c r="F37" i="18"/>
  <c r="E37" i="18"/>
  <c r="L37" i="18" s="1"/>
  <c r="F36" i="18"/>
  <c r="E36" i="18"/>
  <c r="L36" i="18" s="1"/>
  <c r="F35" i="18"/>
  <c r="E35" i="18"/>
  <c r="L35" i="18" s="1"/>
  <c r="F34" i="18"/>
  <c r="E34" i="18"/>
  <c r="L34" i="18" s="1"/>
  <c r="F33" i="18"/>
  <c r="E33" i="18"/>
  <c r="L33" i="18" s="1"/>
  <c r="F32" i="18"/>
  <c r="E32" i="18"/>
  <c r="L32" i="18" s="1"/>
  <c r="F31" i="18"/>
  <c r="E31" i="18"/>
  <c r="L31" i="18" s="1"/>
  <c r="F30" i="18"/>
  <c r="E30" i="18"/>
  <c r="L30" i="18" s="1"/>
  <c r="F29" i="18"/>
  <c r="E29" i="18"/>
  <c r="L29" i="18" s="1"/>
  <c r="F28" i="18"/>
  <c r="E28" i="18"/>
  <c r="L28" i="18" s="1"/>
  <c r="F27" i="18"/>
  <c r="E27" i="18"/>
  <c r="L27" i="18" s="1"/>
  <c r="F26" i="18"/>
  <c r="E26" i="18"/>
  <c r="L26" i="18" s="1"/>
  <c r="F25" i="18"/>
  <c r="E25" i="18"/>
  <c r="L25" i="18" s="1"/>
  <c r="F24" i="18"/>
  <c r="E24" i="18"/>
  <c r="L24" i="18" s="1"/>
  <c r="F23" i="18"/>
  <c r="E23" i="18"/>
  <c r="L23" i="18" s="1"/>
  <c r="F22" i="18"/>
  <c r="E22" i="18"/>
  <c r="L22" i="18" s="1"/>
  <c r="F21" i="18"/>
  <c r="E21" i="18"/>
  <c r="L21" i="18" s="1"/>
  <c r="F20" i="18"/>
  <c r="E20" i="18"/>
  <c r="L20" i="18" s="1"/>
  <c r="S19" i="18" a="1"/>
  <c r="S19" i="18" s="1"/>
  <c r="O34" i="19" s="1"/>
  <c r="F19" i="18"/>
  <c r="E19" i="18"/>
  <c r="L19" i="18" s="1"/>
  <c r="S18" i="18" a="1"/>
  <c r="S18" i="18" s="1"/>
  <c r="F18" i="18"/>
  <c r="E18" i="18"/>
  <c r="L18" i="18" s="1"/>
  <c r="F17" i="18"/>
  <c r="E17" i="18"/>
  <c r="L17" i="18" s="1"/>
  <c r="F16" i="18"/>
  <c r="E16" i="18"/>
  <c r="L16" i="18" s="1"/>
  <c r="F15" i="18"/>
  <c r="E15" i="18"/>
  <c r="L15" i="18" s="1"/>
  <c r="F14" i="18"/>
  <c r="E14" i="18"/>
  <c r="F13" i="18"/>
  <c r="E13" i="18"/>
  <c r="L13" i="18" s="1"/>
  <c r="F12" i="18"/>
  <c r="E12" i="18"/>
  <c r="L12" i="18" s="1"/>
  <c r="F11" i="18"/>
  <c r="E11" i="18"/>
  <c r="L11" i="18" s="1"/>
  <c r="F10" i="18"/>
  <c r="E10" i="18"/>
  <c r="F9" i="18"/>
  <c r="E9" i="18"/>
  <c r="L9" i="18" s="1"/>
  <c r="F8" i="18"/>
  <c r="E8" i="18"/>
  <c r="F7" i="18"/>
  <c r="E7" i="18"/>
  <c r="L7" i="18" s="1"/>
  <c r="F6" i="18"/>
  <c r="E6" i="18"/>
  <c r="F5" i="18"/>
  <c r="E5" i="18"/>
  <c r="L5" i="18" s="1"/>
  <c r="F4" i="18"/>
  <c r="E4" i="18"/>
  <c r="N48" i="16"/>
  <c r="S12" i="16" s="1"/>
  <c r="K48" i="16"/>
  <c r="J48" i="16"/>
  <c r="S10" i="16" s="1"/>
  <c r="I48" i="16"/>
  <c r="S9" i="16" s="1"/>
  <c r="H48" i="16"/>
  <c r="S8" i="16" s="1"/>
  <c r="O26" i="8" s="1"/>
  <c r="L29" i="19" s="1"/>
  <c r="G48" i="16"/>
  <c r="S7" i="16" s="1"/>
  <c r="D48" i="16"/>
  <c r="S4" i="16" s="1"/>
  <c r="F47" i="16"/>
  <c r="E47" i="16"/>
  <c r="L47" i="16" s="1"/>
  <c r="F46" i="16"/>
  <c r="E46" i="16"/>
  <c r="L46" i="16" s="1"/>
  <c r="F45" i="16"/>
  <c r="E45" i="16"/>
  <c r="L45" i="16" s="1"/>
  <c r="F44" i="16"/>
  <c r="E44" i="16"/>
  <c r="L44" i="16" s="1"/>
  <c r="F43" i="16"/>
  <c r="E43" i="16"/>
  <c r="L43" i="16" s="1"/>
  <c r="F42" i="16"/>
  <c r="E42" i="16"/>
  <c r="L42" i="16" s="1"/>
  <c r="F41" i="16"/>
  <c r="E41" i="16"/>
  <c r="L41" i="16" s="1"/>
  <c r="F40" i="16"/>
  <c r="E40" i="16"/>
  <c r="L40" i="16" s="1"/>
  <c r="F39" i="16"/>
  <c r="E39" i="16"/>
  <c r="L39" i="16" s="1"/>
  <c r="F38" i="16"/>
  <c r="E38" i="16"/>
  <c r="L38" i="16" s="1"/>
  <c r="F37" i="16"/>
  <c r="E37" i="16"/>
  <c r="L37" i="16" s="1"/>
  <c r="F36" i="16"/>
  <c r="E36" i="16"/>
  <c r="L36" i="16" s="1"/>
  <c r="F35" i="16"/>
  <c r="E35" i="16"/>
  <c r="L35" i="16" s="1"/>
  <c r="F34" i="16"/>
  <c r="E34" i="16"/>
  <c r="L34" i="16" s="1"/>
  <c r="F33" i="16"/>
  <c r="E33" i="16"/>
  <c r="L33" i="16" s="1"/>
  <c r="F32" i="16"/>
  <c r="E32" i="16"/>
  <c r="L32" i="16" s="1"/>
  <c r="F31" i="16"/>
  <c r="E31" i="16"/>
  <c r="L31" i="16" s="1"/>
  <c r="F30" i="16"/>
  <c r="E30" i="16"/>
  <c r="L30" i="16" s="1"/>
  <c r="F29" i="16"/>
  <c r="E29" i="16"/>
  <c r="L29" i="16" s="1"/>
  <c r="F28" i="16"/>
  <c r="E28" i="16"/>
  <c r="L28" i="16" s="1"/>
  <c r="F27" i="16"/>
  <c r="E27" i="16"/>
  <c r="L27" i="16" s="1"/>
  <c r="F26" i="16"/>
  <c r="E26" i="16"/>
  <c r="L26" i="16" s="1"/>
  <c r="F25" i="16"/>
  <c r="E25" i="16"/>
  <c r="L25" i="16" s="1"/>
  <c r="F24" i="16"/>
  <c r="E24" i="16"/>
  <c r="L24" i="16" s="1"/>
  <c r="F23" i="16"/>
  <c r="E23" i="16"/>
  <c r="L23" i="16" s="1"/>
  <c r="F22" i="16"/>
  <c r="E22" i="16"/>
  <c r="L22" i="16" s="1"/>
  <c r="F21" i="16"/>
  <c r="E21" i="16"/>
  <c r="L21" i="16" s="1"/>
  <c r="F20" i="16"/>
  <c r="E20" i="16"/>
  <c r="L20" i="16" s="1"/>
  <c r="S19" i="16" a="1"/>
  <c r="S19" i="16" s="1"/>
  <c r="O29" i="19" s="1"/>
  <c r="F19" i="16"/>
  <c r="E19" i="16"/>
  <c r="L19" i="16" s="1"/>
  <c r="S18" i="16" a="1"/>
  <c r="S18" i="16" s="1"/>
  <c r="F18" i="16"/>
  <c r="E18" i="16"/>
  <c r="L18" i="16" s="1"/>
  <c r="F17" i="16"/>
  <c r="E17" i="16"/>
  <c r="L17" i="16" s="1"/>
  <c r="F16" i="16"/>
  <c r="E16" i="16"/>
  <c r="L16" i="16" s="1"/>
  <c r="F15" i="16"/>
  <c r="E15" i="16"/>
  <c r="L15" i="16" s="1"/>
  <c r="F14" i="16"/>
  <c r="E14" i="16"/>
  <c r="L14" i="16" s="1"/>
  <c r="F13" i="16"/>
  <c r="E13" i="16"/>
  <c r="L13" i="16" s="1"/>
  <c r="F12" i="16"/>
  <c r="E12" i="16"/>
  <c r="L12" i="16" s="1"/>
  <c r="S11" i="16"/>
  <c r="F11" i="16"/>
  <c r="E11" i="16"/>
  <c r="L11" i="16" s="1"/>
  <c r="F10" i="16"/>
  <c r="E10" i="16"/>
  <c r="L10" i="16" s="1"/>
  <c r="F9" i="16"/>
  <c r="E9" i="16"/>
  <c r="L9" i="16" s="1"/>
  <c r="F8" i="16"/>
  <c r="E8" i="16"/>
  <c r="L8" i="16" s="1"/>
  <c r="F7" i="16"/>
  <c r="E7" i="16"/>
  <c r="L7" i="16" s="1"/>
  <c r="F6" i="16"/>
  <c r="E6" i="16"/>
  <c r="L6" i="16" s="1"/>
  <c r="F5" i="16"/>
  <c r="E5" i="16"/>
  <c r="L5" i="16" s="1"/>
  <c r="F4" i="16"/>
  <c r="E4" i="16"/>
  <c r="N48" i="7"/>
  <c r="K48" i="7"/>
  <c r="J48" i="7"/>
  <c r="I48" i="7"/>
  <c r="H48" i="7"/>
  <c r="G48" i="7"/>
  <c r="D48" i="7"/>
  <c r="F47" i="7"/>
  <c r="E47" i="7"/>
  <c r="L47" i="7" s="1"/>
  <c r="F46" i="7"/>
  <c r="E46" i="7"/>
  <c r="L46" i="7" s="1"/>
  <c r="F45" i="7"/>
  <c r="E45" i="7"/>
  <c r="L45" i="7" s="1"/>
  <c r="F44" i="7"/>
  <c r="E44" i="7"/>
  <c r="L44" i="7" s="1"/>
  <c r="F43" i="7"/>
  <c r="E43" i="7"/>
  <c r="L43" i="7" s="1"/>
  <c r="F42" i="7"/>
  <c r="E42" i="7"/>
  <c r="L42" i="7" s="1"/>
  <c r="F41" i="7"/>
  <c r="E41" i="7"/>
  <c r="L41" i="7" s="1"/>
  <c r="F40" i="7"/>
  <c r="E40" i="7"/>
  <c r="L40" i="7" s="1"/>
  <c r="F39" i="7"/>
  <c r="E39" i="7"/>
  <c r="L39" i="7" s="1"/>
  <c r="F38" i="7"/>
  <c r="E38" i="7"/>
  <c r="L38" i="7" s="1"/>
  <c r="F37" i="7"/>
  <c r="E37" i="7"/>
  <c r="L37" i="7" s="1"/>
  <c r="F36" i="7"/>
  <c r="E36" i="7"/>
  <c r="L36" i="7" s="1"/>
  <c r="F35" i="7"/>
  <c r="E35" i="7"/>
  <c r="L35" i="7" s="1"/>
  <c r="F34" i="7"/>
  <c r="E34" i="7"/>
  <c r="L34" i="7" s="1"/>
  <c r="F33" i="7"/>
  <c r="E33" i="7"/>
  <c r="L33" i="7" s="1"/>
  <c r="F32" i="7"/>
  <c r="E32" i="7"/>
  <c r="L32" i="7" s="1"/>
  <c r="F31" i="7"/>
  <c r="E31" i="7"/>
  <c r="L31" i="7" s="1"/>
  <c r="F30" i="7"/>
  <c r="E30" i="7"/>
  <c r="L30" i="7" s="1"/>
  <c r="F29" i="7"/>
  <c r="E29" i="7"/>
  <c r="L29" i="7" s="1"/>
  <c r="F28" i="7"/>
  <c r="E28" i="7"/>
  <c r="L28" i="7" s="1"/>
  <c r="M48" i="7" s="1"/>
  <c r="F27" i="7"/>
  <c r="E27" i="7"/>
  <c r="L27" i="7" s="1"/>
  <c r="F26" i="7"/>
  <c r="E26" i="7"/>
  <c r="L26" i="7" s="1"/>
  <c r="F25" i="7"/>
  <c r="E25" i="7"/>
  <c r="L25" i="7" s="1"/>
  <c r="F24" i="7"/>
  <c r="E24" i="7"/>
  <c r="L24" i="7" s="1"/>
  <c r="F23" i="7"/>
  <c r="E23" i="7"/>
  <c r="L23" i="7" s="1"/>
  <c r="F22" i="7"/>
  <c r="E22" i="7"/>
  <c r="L22" i="7" s="1"/>
  <c r="F21" i="7"/>
  <c r="E21" i="7"/>
  <c r="L21" i="7" s="1"/>
  <c r="F20" i="7"/>
  <c r="E20" i="7"/>
  <c r="L20" i="7" s="1"/>
  <c r="S19" i="7" a="1"/>
  <c r="S19" i="7" s="1"/>
  <c r="O24" i="19" s="1"/>
  <c r="F19" i="7"/>
  <c r="E19" i="7"/>
  <c r="L19" i="7" s="1"/>
  <c r="S18" i="7" a="1"/>
  <c r="S18" i="7" s="1"/>
  <c r="F18" i="7"/>
  <c r="E18" i="7"/>
  <c r="L18" i="7" s="1"/>
  <c r="F17" i="7"/>
  <c r="E17" i="7"/>
  <c r="L17" i="7" s="1"/>
  <c r="F16" i="7"/>
  <c r="E16" i="7"/>
  <c r="L16" i="7" s="1"/>
  <c r="F15" i="7"/>
  <c r="E15" i="7"/>
  <c r="L15" i="7" s="1"/>
  <c r="S14" i="7"/>
  <c r="F14" i="7"/>
  <c r="E14" i="7"/>
  <c r="L14" i="7" s="1"/>
  <c r="F13" i="7"/>
  <c r="E13" i="7"/>
  <c r="L13" i="7" s="1"/>
  <c r="S12" i="7"/>
  <c r="F12" i="7"/>
  <c r="E12" i="7"/>
  <c r="L12" i="7" s="1"/>
  <c r="S11" i="7"/>
  <c r="F11" i="7"/>
  <c r="E11" i="7"/>
  <c r="L11" i="7" s="1"/>
  <c r="S10" i="7"/>
  <c r="F10" i="7"/>
  <c r="E10" i="7"/>
  <c r="L10" i="7" s="1"/>
  <c r="S9" i="7"/>
  <c r="F9" i="7"/>
  <c r="E9" i="7"/>
  <c r="L9" i="7" s="1"/>
  <c r="S8" i="7"/>
  <c r="F8" i="7"/>
  <c r="E8" i="7"/>
  <c r="L8" i="7" s="1"/>
  <c r="S7" i="7"/>
  <c r="F7" i="7"/>
  <c r="E7" i="7"/>
  <c r="L7" i="7" s="1"/>
  <c r="F6" i="7"/>
  <c r="E6" i="7"/>
  <c r="L6" i="7" s="1"/>
  <c r="F5" i="7"/>
  <c r="E5" i="7"/>
  <c r="L5" i="7" s="1"/>
  <c r="S4" i="7"/>
  <c r="F4" i="7"/>
  <c r="F48" i="7" s="1"/>
  <c r="S6" i="7" s="1"/>
  <c r="E4" i="7"/>
  <c r="N48" i="14"/>
  <c r="K48" i="14"/>
  <c r="J48" i="14"/>
  <c r="I48" i="14"/>
  <c r="H48" i="14"/>
  <c r="G48" i="14"/>
  <c r="D48" i="14"/>
  <c r="F47" i="14"/>
  <c r="E47" i="14"/>
  <c r="L47" i="14" s="1"/>
  <c r="F46" i="14"/>
  <c r="E46" i="14"/>
  <c r="L46" i="14" s="1"/>
  <c r="F45" i="14"/>
  <c r="E45" i="14"/>
  <c r="L45" i="14" s="1"/>
  <c r="F44" i="14"/>
  <c r="E44" i="14"/>
  <c r="L44" i="14" s="1"/>
  <c r="F43" i="14"/>
  <c r="E43" i="14"/>
  <c r="L43" i="14" s="1"/>
  <c r="F42" i="14"/>
  <c r="E42" i="14"/>
  <c r="L42" i="14" s="1"/>
  <c r="F41" i="14"/>
  <c r="E41" i="14"/>
  <c r="L41" i="14" s="1"/>
  <c r="F40" i="14"/>
  <c r="E40" i="14"/>
  <c r="L40" i="14" s="1"/>
  <c r="F39" i="14"/>
  <c r="E39" i="14"/>
  <c r="L39" i="14" s="1"/>
  <c r="F38" i="14"/>
  <c r="E38" i="14"/>
  <c r="L38" i="14" s="1"/>
  <c r="F37" i="14"/>
  <c r="E37" i="14"/>
  <c r="L37" i="14" s="1"/>
  <c r="F36" i="14"/>
  <c r="E36" i="14"/>
  <c r="L36" i="14" s="1"/>
  <c r="F35" i="14"/>
  <c r="E35" i="14"/>
  <c r="L35" i="14" s="1"/>
  <c r="F34" i="14"/>
  <c r="E34" i="14"/>
  <c r="L34" i="14" s="1"/>
  <c r="F33" i="14"/>
  <c r="E33" i="14"/>
  <c r="L33" i="14" s="1"/>
  <c r="F32" i="14"/>
  <c r="E32" i="14"/>
  <c r="L32" i="14" s="1"/>
  <c r="F31" i="14"/>
  <c r="E31" i="14"/>
  <c r="L31" i="14" s="1"/>
  <c r="F30" i="14"/>
  <c r="E30" i="14"/>
  <c r="L30" i="14" s="1"/>
  <c r="F29" i="14"/>
  <c r="E29" i="14"/>
  <c r="L29" i="14" s="1"/>
  <c r="F28" i="14"/>
  <c r="E28" i="14"/>
  <c r="L28" i="14" s="1"/>
  <c r="F27" i="14"/>
  <c r="E27" i="14"/>
  <c r="L27" i="14" s="1"/>
  <c r="F26" i="14"/>
  <c r="E26" i="14"/>
  <c r="L26" i="14" s="1"/>
  <c r="F25" i="14"/>
  <c r="E25" i="14"/>
  <c r="L25" i="14" s="1"/>
  <c r="M48" i="14" s="1"/>
  <c r="F24" i="14"/>
  <c r="E24" i="14"/>
  <c r="L24" i="14" s="1"/>
  <c r="F23" i="14"/>
  <c r="E23" i="14"/>
  <c r="L23" i="14" s="1"/>
  <c r="F22" i="14"/>
  <c r="E22" i="14"/>
  <c r="L22" i="14" s="1"/>
  <c r="F21" i="14"/>
  <c r="E21" i="14"/>
  <c r="L21" i="14" s="1"/>
  <c r="F20" i="14"/>
  <c r="E20" i="14"/>
  <c r="L20" i="14" s="1"/>
  <c r="S19" i="14" a="1"/>
  <c r="S19" i="14" s="1"/>
  <c r="O19" i="19" s="1"/>
  <c r="F19" i="14"/>
  <c r="E19" i="14"/>
  <c r="L19" i="14" s="1"/>
  <c r="S18" i="14" a="1"/>
  <c r="S18" i="14" s="1"/>
  <c r="F18" i="14"/>
  <c r="E18" i="14"/>
  <c r="L18" i="14" s="1"/>
  <c r="F17" i="14"/>
  <c r="E17" i="14"/>
  <c r="L17" i="14" s="1"/>
  <c r="F16" i="14"/>
  <c r="E16" i="14"/>
  <c r="L16" i="14" s="1"/>
  <c r="F15" i="14"/>
  <c r="E15" i="14"/>
  <c r="L15" i="14" s="1"/>
  <c r="S14" i="14"/>
  <c r="F14" i="14"/>
  <c r="E14" i="14"/>
  <c r="L14" i="14" s="1"/>
  <c r="F13" i="14"/>
  <c r="E13" i="14"/>
  <c r="L13" i="14" s="1"/>
  <c r="S12" i="14"/>
  <c r="F12" i="14"/>
  <c r="E12" i="14"/>
  <c r="L12" i="14" s="1"/>
  <c r="S11" i="14"/>
  <c r="F11" i="14"/>
  <c r="E11" i="14"/>
  <c r="L11" i="14" s="1"/>
  <c r="S10" i="14"/>
  <c r="F10" i="14"/>
  <c r="E10" i="14"/>
  <c r="L10" i="14" s="1"/>
  <c r="S9" i="14"/>
  <c r="F9" i="14"/>
  <c r="E9" i="14"/>
  <c r="L9" i="14" s="1"/>
  <c r="S8" i="14"/>
  <c r="F8" i="14"/>
  <c r="E8" i="14"/>
  <c r="L8" i="14" s="1"/>
  <c r="S7" i="14"/>
  <c r="F7" i="14"/>
  <c r="E7" i="14"/>
  <c r="L7" i="14" s="1"/>
  <c r="F6" i="14"/>
  <c r="E6" i="14"/>
  <c r="L6" i="14" s="1"/>
  <c r="F5" i="14"/>
  <c r="E5" i="14"/>
  <c r="L5" i="14" s="1"/>
  <c r="S4" i="14"/>
  <c r="F4" i="14"/>
  <c r="F48" i="14" s="1"/>
  <c r="S6" i="14" s="1"/>
  <c r="E4" i="14"/>
  <c r="N48" i="12"/>
  <c r="M48" i="12"/>
  <c r="S14" i="12" s="1"/>
  <c r="K48" i="12"/>
  <c r="J48" i="12"/>
  <c r="I48" i="12"/>
  <c r="H48" i="12"/>
  <c r="G48" i="12"/>
  <c r="D48" i="12"/>
  <c r="F47" i="12"/>
  <c r="E47" i="12"/>
  <c r="L47" i="12" s="1"/>
  <c r="F46" i="12"/>
  <c r="E46" i="12"/>
  <c r="L46" i="12" s="1"/>
  <c r="F45" i="12"/>
  <c r="E45" i="12"/>
  <c r="L45" i="12" s="1"/>
  <c r="F44" i="12"/>
  <c r="E44" i="12"/>
  <c r="L44" i="12" s="1"/>
  <c r="F43" i="12"/>
  <c r="E43" i="12"/>
  <c r="L43" i="12" s="1"/>
  <c r="F42" i="12"/>
  <c r="E42" i="12"/>
  <c r="L42" i="12" s="1"/>
  <c r="F41" i="12"/>
  <c r="E41" i="12"/>
  <c r="L41" i="12" s="1"/>
  <c r="F40" i="12"/>
  <c r="E40" i="12"/>
  <c r="L40" i="12" s="1"/>
  <c r="F39" i="12"/>
  <c r="E39" i="12"/>
  <c r="L39" i="12" s="1"/>
  <c r="F38" i="12"/>
  <c r="E38" i="12"/>
  <c r="L38" i="12" s="1"/>
  <c r="F37" i="12"/>
  <c r="E37" i="12"/>
  <c r="L37" i="12" s="1"/>
  <c r="F36" i="12"/>
  <c r="E36" i="12"/>
  <c r="L36" i="12" s="1"/>
  <c r="F35" i="12"/>
  <c r="E35" i="12"/>
  <c r="L35" i="12" s="1"/>
  <c r="F34" i="12"/>
  <c r="E34" i="12"/>
  <c r="L34" i="12" s="1"/>
  <c r="F33" i="12"/>
  <c r="E33" i="12"/>
  <c r="L33" i="12" s="1"/>
  <c r="F32" i="12"/>
  <c r="E32" i="12"/>
  <c r="L32" i="12" s="1"/>
  <c r="F31" i="12"/>
  <c r="E31" i="12"/>
  <c r="L31" i="12" s="1"/>
  <c r="F30" i="12"/>
  <c r="E30" i="12"/>
  <c r="L30" i="12" s="1"/>
  <c r="F29" i="12"/>
  <c r="E29" i="12"/>
  <c r="L29" i="12" s="1"/>
  <c r="F28" i="12"/>
  <c r="E28" i="12"/>
  <c r="L28" i="12" s="1"/>
  <c r="F27" i="12"/>
  <c r="E27" i="12"/>
  <c r="L27" i="12" s="1"/>
  <c r="F26" i="12"/>
  <c r="E26" i="12"/>
  <c r="L26" i="12" s="1"/>
  <c r="F25" i="12"/>
  <c r="E25" i="12"/>
  <c r="L25" i="12" s="1"/>
  <c r="F24" i="12"/>
  <c r="E24" i="12"/>
  <c r="L24" i="12" s="1"/>
  <c r="F23" i="12"/>
  <c r="E23" i="12"/>
  <c r="L23" i="12" s="1"/>
  <c r="F22" i="12"/>
  <c r="E22" i="12"/>
  <c r="L22" i="12" s="1"/>
  <c r="F21" i="12"/>
  <c r="E21" i="12"/>
  <c r="L21" i="12" s="1"/>
  <c r="F20" i="12"/>
  <c r="E20" i="12"/>
  <c r="L20" i="12" s="1"/>
  <c r="S19" i="12" a="1"/>
  <c r="S19" i="12" s="1"/>
  <c r="O14" i="19" s="1"/>
  <c r="F19" i="12"/>
  <c r="E19" i="12"/>
  <c r="L19" i="12" s="1"/>
  <c r="S18" i="12" a="1"/>
  <c r="S18" i="12" s="1"/>
  <c r="F18" i="12"/>
  <c r="E18" i="12"/>
  <c r="L18" i="12" s="1"/>
  <c r="F17" i="12"/>
  <c r="E17" i="12"/>
  <c r="L17" i="12" s="1"/>
  <c r="F16" i="12"/>
  <c r="E16" i="12"/>
  <c r="L16" i="12" s="1"/>
  <c r="F15" i="12"/>
  <c r="E15" i="12"/>
  <c r="L15" i="12" s="1"/>
  <c r="F14" i="12"/>
  <c r="E14" i="12"/>
  <c r="L14" i="12" s="1"/>
  <c r="F13" i="12"/>
  <c r="E13" i="12"/>
  <c r="L13" i="12" s="1"/>
  <c r="S12" i="12"/>
  <c r="F12" i="12"/>
  <c r="E12" i="12"/>
  <c r="L12" i="12" s="1"/>
  <c r="S11" i="12"/>
  <c r="F11" i="12"/>
  <c r="E11" i="12"/>
  <c r="L11" i="12" s="1"/>
  <c r="S10" i="12"/>
  <c r="F10" i="12"/>
  <c r="E10" i="12"/>
  <c r="L10" i="12" s="1"/>
  <c r="S9" i="12"/>
  <c r="F9" i="12"/>
  <c r="E9" i="12"/>
  <c r="L9" i="12" s="1"/>
  <c r="S8" i="12"/>
  <c r="F8" i="12"/>
  <c r="E8" i="12"/>
  <c r="L8" i="12" s="1"/>
  <c r="S7" i="12"/>
  <c r="F7" i="12"/>
  <c r="E7" i="12"/>
  <c r="L7" i="12" s="1"/>
  <c r="F6" i="12"/>
  <c r="E6" i="12"/>
  <c r="L6" i="12" s="1"/>
  <c r="F5" i="12"/>
  <c r="E5" i="12"/>
  <c r="L5" i="12" s="1"/>
  <c r="S4" i="12"/>
  <c r="F4" i="12"/>
  <c r="F48" i="12" s="1"/>
  <c r="S6" i="12" s="1"/>
  <c r="E4" i="12"/>
  <c r="N48" i="5"/>
  <c r="K48" i="5"/>
  <c r="J48" i="5"/>
  <c r="I48" i="5"/>
  <c r="H48" i="5"/>
  <c r="G48" i="5"/>
  <c r="D48" i="5"/>
  <c r="F47" i="5"/>
  <c r="E47" i="5"/>
  <c r="L47" i="5" s="1"/>
  <c r="F46" i="5"/>
  <c r="E46" i="5"/>
  <c r="L46" i="5" s="1"/>
  <c r="F45" i="5"/>
  <c r="E45" i="5"/>
  <c r="L45" i="5" s="1"/>
  <c r="F44" i="5"/>
  <c r="E44" i="5"/>
  <c r="L44" i="5" s="1"/>
  <c r="F43" i="5"/>
  <c r="E43" i="5"/>
  <c r="L43" i="5" s="1"/>
  <c r="F42" i="5"/>
  <c r="E42" i="5"/>
  <c r="L42" i="5" s="1"/>
  <c r="F41" i="5"/>
  <c r="E41" i="5"/>
  <c r="L41" i="5" s="1"/>
  <c r="F40" i="5"/>
  <c r="E40" i="5"/>
  <c r="L40" i="5" s="1"/>
  <c r="F39" i="5"/>
  <c r="E39" i="5"/>
  <c r="L39" i="5" s="1"/>
  <c r="F38" i="5"/>
  <c r="E38" i="5"/>
  <c r="L38" i="5" s="1"/>
  <c r="F37" i="5"/>
  <c r="E37" i="5"/>
  <c r="L37" i="5" s="1"/>
  <c r="F36" i="5"/>
  <c r="E36" i="5"/>
  <c r="L36" i="5" s="1"/>
  <c r="F35" i="5"/>
  <c r="E35" i="5"/>
  <c r="L35" i="5" s="1"/>
  <c r="F34" i="5"/>
  <c r="E34" i="5"/>
  <c r="L34" i="5" s="1"/>
  <c r="F33" i="5"/>
  <c r="E33" i="5"/>
  <c r="L33" i="5" s="1"/>
  <c r="F32" i="5"/>
  <c r="E32" i="5"/>
  <c r="L32" i="5" s="1"/>
  <c r="F31" i="5"/>
  <c r="E31" i="5"/>
  <c r="L31" i="5" s="1"/>
  <c r="F30" i="5"/>
  <c r="E30" i="5"/>
  <c r="L30" i="5" s="1"/>
  <c r="F29" i="5"/>
  <c r="E29" i="5"/>
  <c r="L29" i="5" s="1"/>
  <c r="F28" i="5"/>
  <c r="E28" i="5"/>
  <c r="L28" i="5" s="1"/>
  <c r="F27" i="5"/>
  <c r="E27" i="5"/>
  <c r="L27" i="5" s="1"/>
  <c r="F26" i="5"/>
  <c r="E26" i="5"/>
  <c r="L26" i="5" s="1"/>
  <c r="F25" i="5"/>
  <c r="E25" i="5"/>
  <c r="L25" i="5" s="1"/>
  <c r="F24" i="5"/>
  <c r="E24" i="5"/>
  <c r="L24" i="5" s="1"/>
  <c r="F23" i="5"/>
  <c r="E23" i="5"/>
  <c r="L23" i="5" s="1"/>
  <c r="F22" i="5"/>
  <c r="E22" i="5"/>
  <c r="L22" i="5" s="1"/>
  <c r="F21" i="5"/>
  <c r="E21" i="5"/>
  <c r="L21" i="5" s="1"/>
  <c r="F20" i="5"/>
  <c r="E20" i="5"/>
  <c r="L20" i="5" s="1"/>
  <c r="S19" i="5" a="1"/>
  <c r="S19" i="5" s="1"/>
  <c r="O9" i="19" s="1"/>
  <c r="F19" i="5"/>
  <c r="E19" i="5"/>
  <c r="L19" i="5" s="1"/>
  <c r="S18" i="5" a="1"/>
  <c r="S18" i="5" s="1"/>
  <c r="F18" i="5"/>
  <c r="E18" i="5"/>
  <c r="L18" i="5" s="1"/>
  <c r="F17" i="5"/>
  <c r="E17" i="5"/>
  <c r="L17" i="5" s="1"/>
  <c r="F16" i="5"/>
  <c r="E16" i="5"/>
  <c r="L16" i="5" s="1"/>
  <c r="F15" i="5"/>
  <c r="E15" i="5"/>
  <c r="L15" i="5" s="1"/>
  <c r="F14" i="5"/>
  <c r="E14" i="5"/>
  <c r="L14" i="5" s="1"/>
  <c r="F13" i="5"/>
  <c r="E13" i="5"/>
  <c r="L13" i="5" s="1"/>
  <c r="S12" i="5"/>
  <c r="F12" i="5"/>
  <c r="E12" i="5"/>
  <c r="L12" i="5" s="1"/>
  <c r="S11" i="5"/>
  <c r="F11" i="5"/>
  <c r="E11" i="5"/>
  <c r="L11" i="5" s="1"/>
  <c r="S10" i="5"/>
  <c r="F10" i="5"/>
  <c r="E10" i="5"/>
  <c r="L10" i="5" s="1"/>
  <c r="M48" i="5" s="1"/>
  <c r="S14" i="5" s="1"/>
  <c r="S9" i="5"/>
  <c r="F9" i="5"/>
  <c r="E9" i="5"/>
  <c r="L9" i="5" s="1"/>
  <c r="S8" i="5"/>
  <c r="F8" i="5"/>
  <c r="E8" i="5"/>
  <c r="L8" i="5" s="1"/>
  <c r="S7" i="5"/>
  <c r="F7" i="5"/>
  <c r="E7" i="5"/>
  <c r="L7" i="5" s="1"/>
  <c r="F6" i="5"/>
  <c r="E6" i="5"/>
  <c r="L6" i="5" s="1"/>
  <c r="F5" i="5"/>
  <c r="E5" i="5"/>
  <c r="L5" i="5" s="1"/>
  <c r="S4" i="5"/>
  <c r="F4" i="5"/>
  <c r="F48" i="5" s="1"/>
  <c r="S6" i="5" s="1"/>
  <c r="E4" i="5"/>
  <c r="N48" i="17"/>
  <c r="S12" i="17" s="1"/>
  <c r="K48" i="17"/>
  <c r="S11" i="17" s="1"/>
  <c r="J48" i="17"/>
  <c r="S10" i="17" s="1"/>
  <c r="I48" i="17"/>
  <c r="S9" i="17" s="1"/>
  <c r="H48" i="17"/>
  <c r="S8" i="17" s="1"/>
  <c r="B44" i="8" s="1"/>
  <c r="G48" i="17"/>
  <c r="S7" i="17" s="1"/>
  <c r="D48" i="17"/>
  <c r="S4" i="17" s="1"/>
  <c r="F47" i="17"/>
  <c r="E47" i="17"/>
  <c r="L47" i="17" s="1"/>
  <c r="F46" i="17"/>
  <c r="E46" i="17"/>
  <c r="L46" i="17" s="1"/>
  <c r="F45" i="17"/>
  <c r="E45" i="17"/>
  <c r="L45" i="17" s="1"/>
  <c r="F44" i="17"/>
  <c r="E44" i="17"/>
  <c r="L44" i="17" s="1"/>
  <c r="F43" i="17"/>
  <c r="E43" i="17"/>
  <c r="L43" i="17" s="1"/>
  <c r="F42" i="17"/>
  <c r="E42" i="17"/>
  <c r="L42" i="17" s="1"/>
  <c r="F41" i="17"/>
  <c r="E41" i="17"/>
  <c r="L41" i="17" s="1"/>
  <c r="F40" i="17"/>
  <c r="E40" i="17"/>
  <c r="L40" i="17" s="1"/>
  <c r="F39" i="17"/>
  <c r="E39" i="17"/>
  <c r="L39" i="17" s="1"/>
  <c r="F38" i="17"/>
  <c r="E38" i="17"/>
  <c r="F37" i="17"/>
  <c r="E37" i="17"/>
  <c r="L37" i="17" s="1"/>
  <c r="F36" i="17"/>
  <c r="E36" i="17"/>
  <c r="L36" i="17" s="1"/>
  <c r="F35" i="17"/>
  <c r="E35" i="17"/>
  <c r="L35" i="17" s="1"/>
  <c r="F34" i="17"/>
  <c r="E34" i="17"/>
  <c r="L34" i="17" s="1"/>
  <c r="F33" i="17"/>
  <c r="E33" i="17"/>
  <c r="L33" i="17" s="1"/>
  <c r="F32" i="17"/>
  <c r="E32" i="17"/>
  <c r="F31" i="17"/>
  <c r="E31" i="17"/>
  <c r="L31" i="17" s="1"/>
  <c r="F30" i="17"/>
  <c r="E30" i="17"/>
  <c r="F29" i="17"/>
  <c r="E29" i="17"/>
  <c r="L29" i="17" s="1"/>
  <c r="F28" i="17"/>
  <c r="E28" i="17"/>
  <c r="L28" i="17" s="1"/>
  <c r="F27" i="17"/>
  <c r="E27" i="17"/>
  <c r="L27" i="17" s="1"/>
  <c r="F26" i="17"/>
  <c r="E26" i="17"/>
  <c r="F25" i="17"/>
  <c r="E25" i="17"/>
  <c r="F24" i="17"/>
  <c r="E24" i="17"/>
  <c r="F23" i="17"/>
  <c r="E23" i="17"/>
  <c r="L23" i="17" s="1"/>
  <c r="F22" i="17"/>
  <c r="E22" i="17"/>
  <c r="L22" i="17" s="1"/>
  <c r="F21" i="17"/>
  <c r="E21" i="17"/>
  <c r="L21" i="17" s="1"/>
  <c r="F20" i="17"/>
  <c r="E20" i="17"/>
  <c r="S19" i="17" a="1"/>
  <c r="S19" i="17" s="1"/>
  <c r="O33" i="19" s="1"/>
  <c r="F19" i="17"/>
  <c r="L19" i="17"/>
  <c r="S18" i="17" a="1"/>
  <c r="S18" i="17" s="1"/>
  <c r="F18" i="17"/>
  <c r="E18" i="17"/>
  <c r="F17" i="17"/>
  <c r="E17" i="17"/>
  <c r="L17" i="17" s="1"/>
  <c r="F16" i="17"/>
  <c r="E16" i="17"/>
  <c r="F15" i="17"/>
  <c r="E15" i="17"/>
  <c r="L15" i="17" s="1"/>
  <c r="F14" i="17"/>
  <c r="E14" i="17"/>
  <c r="F13" i="17"/>
  <c r="E13" i="17"/>
  <c r="L13" i="17" s="1"/>
  <c r="F12" i="17"/>
  <c r="E12" i="17"/>
  <c r="F11" i="17"/>
  <c r="E11" i="17"/>
  <c r="L11" i="17" s="1"/>
  <c r="F10" i="17"/>
  <c r="E10" i="17"/>
  <c r="L10" i="17" s="1"/>
  <c r="F9" i="17"/>
  <c r="E9" i="17"/>
  <c r="L9" i="17" s="1"/>
  <c r="F8" i="17"/>
  <c r="E8" i="17"/>
  <c r="L8" i="17" s="1"/>
  <c r="F7" i="17"/>
  <c r="E7" i="17"/>
  <c r="L7" i="17" s="1"/>
  <c r="F6" i="17"/>
  <c r="E6" i="17"/>
  <c r="F5" i="17"/>
  <c r="E5" i="17"/>
  <c r="L5" i="17" s="1"/>
  <c r="F4" i="17"/>
  <c r="E4" i="17"/>
  <c r="N48" i="15"/>
  <c r="S12" i="15" s="1"/>
  <c r="K48" i="15"/>
  <c r="S11" i="15" s="1"/>
  <c r="J48" i="15"/>
  <c r="S10" i="15" s="1"/>
  <c r="I48" i="15"/>
  <c r="S9" i="15" s="1"/>
  <c r="H48" i="15"/>
  <c r="S8" i="15" s="1"/>
  <c r="N26" i="8" s="1"/>
  <c r="G48" i="15"/>
  <c r="S7" i="15" s="1"/>
  <c r="D48" i="15"/>
  <c r="S4" i="15" s="1"/>
  <c r="F47" i="15"/>
  <c r="E47" i="15"/>
  <c r="L47" i="15" s="1"/>
  <c r="F46" i="15"/>
  <c r="E46" i="15"/>
  <c r="L46" i="15" s="1"/>
  <c r="F45" i="15"/>
  <c r="E45" i="15"/>
  <c r="L45" i="15" s="1"/>
  <c r="F44" i="15"/>
  <c r="E44" i="15"/>
  <c r="F43" i="15"/>
  <c r="E43" i="15"/>
  <c r="L43" i="15" s="1"/>
  <c r="F42" i="15"/>
  <c r="E42" i="15"/>
  <c r="L42" i="15" s="1"/>
  <c r="F41" i="15"/>
  <c r="E41" i="15"/>
  <c r="L41" i="15" s="1"/>
  <c r="F40" i="15"/>
  <c r="E40" i="15"/>
  <c r="F39" i="15"/>
  <c r="E39" i="15"/>
  <c r="L39" i="15" s="1"/>
  <c r="F38" i="15"/>
  <c r="E38" i="15"/>
  <c r="L38" i="15" s="1"/>
  <c r="F37" i="15"/>
  <c r="E37" i="15"/>
  <c r="L37" i="15" s="1"/>
  <c r="E36" i="15"/>
  <c r="F35" i="15"/>
  <c r="E35" i="15"/>
  <c r="L35" i="15" s="1"/>
  <c r="F34" i="15"/>
  <c r="E34" i="15"/>
  <c r="L34" i="15" s="1"/>
  <c r="F33" i="15"/>
  <c r="E33" i="15"/>
  <c r="L33" i="15" s="1"/>
  <c r="F32" i="15"/>
  <c r="E32" i="15"/>
  <c r="L32" i="15" s="1"/>
  <c r="F31" i="15"/>
  <c r="E31" i="15"/>
  <c r="L31" i="15" s="1"/>
  <c r="F30" i="15"/>
  <c r="E30" i="15"/>
  <c r="L30" i="15" s="1"/>
  <c r="F29" i="15"/>
  <c r="E29" i="15"/>
  <c r="L29" i="15" s="1"/>
  <c r="E28" i="15"/>
  <c r="L28" i="15" s="1"/>
  <c r="F27" i="15"/>
  <c r="E27" i="15"/>
  <c r="L27" i="15" s="1"/>
  <c r="F26" i="15"/>
  <c r="E26" i="15"/>
  <c r="F25" i="15"/>
  <c r="E25" i="15"/>
  <c r="L25" i="15" s="1"/>
  <c r="F24" i="15"/>
  <c r="E24" i="15"/>
  <c r="F23" i="15"/>
  <c r="E23" i="15"/>
  <c r="L23" i="15" s="1"/>
  <c r="F22" i="15"/>
  <c r="E22" i="15"/>
  <c r="F21" i="15"/>
  <c r="E21" i="15"/>
  <c r="L21" i="15" s="1"/>
  <c r="F20" i="15"/>
  <c r="E20" i="15"/>
  <c r="L20" i="15" s="1"/>
  <c r="S19" i="15" a="1"/>
  <c r="S19" i="15" s="1"/>
  <c r="O28" i="19" s="1"/>
  <c r="F19" i="15"/>
  <c r="E19" i="15"/>
  <c r="L19" i="15" s="1"/>
  <c r="S18" i="15" a="1"/>
  <c r="S18" i="15" s="1"/>
  <c r="F18" i="15"/>
  <c r="E18" i="15"/>
  <c r="E17" i="15"/>
  <c r="L17" i="15" s="1"/>
  <c r="F16" i="15"/>
  <c r="E16" i="15"/>
  <c r="F15" i="15"/>
  <c r="L15" i="15"/>
  <c r="F14" i="15"/>
  <c r="E14" i="15"/>
  <c r="L14" i="15" s="1"/>
  <c r="F13" i="15"/>
  <c r="E13" i="15"/>
  <c r="L13" i="15" s="1"/>
  <c r="F12" i="15"/>
  <c r="E12" i="15"/>
  <c r="F11" i="15"/>
  <c r="E11" i="15"/>
  <c r="L11" i="15" s="1"/>
  <c r="F10" i="15"/>
  <c r="E10" i="15"/>
  <c r="F9" i="15"/>
  <c r="E9" i="15"/>
  <c r="L9" i="15" s="1"/>
  <c r="F8" i="15"/>
  <c r="E8" i="15"/>
  <c r="L8" i="15" s="1"/>
  <c r="F7" i="15"/>
  <c r="E7" i="15"/>
  <c r="F6" i="15"/>
  <c r="E6" i="15"/>
  <c r="F5" i="15"/>
  <c r="E5" i="15"/>
  <c r="L5" i="15" s="1"/>
  <c r="F4" i="15"/>
  <c r="E4" i="15"/>
  <c r="N48" i="6"/>
  <c r="K48" i="6"/>
  <c r="J48" i="6"/>
  <c r="I48" i="6"/>
  <c r="H48" i="6"/>
  <c r="G48" i="6"/>
  <c r="D48" i="6"/>
  <c r="F47" i="6"/>
  <c r="E47" i="6"/>
  <c r="L47" i="6" s="1"/>
  <c r="F46" i="6"/>
  <c r="E46" i="6"/>
  <c r="L46" i="6" s="1"/>
  <c r="F45" i="6"/>
  <c r="E45" i="6"/>
  <c r="L45" i="6" s="1"/>
  <c r="F44" i="6"/>
  <c r="E44" i="6"/>
  <c r="L44" i="6" s="1"/>
  <c r="F43" i="6"/>
  <c r="E43" i="6"/>
  <c r="L43" i="6" s="1"/>
  <c r="F42" i="6"/>
  <c r="E42" i="6"/>
  <c r="L42" i="6" s="1"/>
  <c r="F41" i="6"/>
  <c r="E41" i="6"/>
  <c r="L41" i="6" s="1"/>
  <c r="F40" i="6"/>
  <c r="E40" i="6"/>
  <c r="L40" i="6" s="1"/>
  <c r="F39" i="6"/>
  <c r="E39" i="6"/>
  <c r="L39" i="6" s="1"/>
  <c r="F38" i="6"/>
  <c r="E38" i="6"/>
  <c r="L38" i="6" s="1"/>
  <c r="F37" i="6"/>
  <c r="E37" i="6"/>
  <c r="L37" i="6" s="1"/>
  <c r="F36" i="6"/>
  <c r="E36" i="6"/>
  <c r="L36" i="6" s="1"/>
  <c r="F35" i="6"/>
  <c r="E35" i="6"/>
  <c r="L35" i="6" s="1"/>
  <c r="F34" i="6"/>
  <c r="E34" i="6"/>
  <c r="L34" i="6" s="1"/>
  <c r="F33" i="6"/>
  <c r="E33" i="6"/>
  <c r="L33" i="6" s="1"/>
  <c r="F32" i="6"/>
  <c r="E32" i="6"/>
  <c r="L32" i="6" s="1"/>
  <c r="F31" i="6"/>
  <c r="E31" i="6"/>
  <c r="L31" i="6" s="1"/>
  <c r="F30" i="6"/>
  <c r="E30" i="6"/>
  <c r="L30" i="6" s="1"/>
  <c r="F29" i="6"/>
  <c r="E29" i="6"/>
  <c r="L29" i="6" s="1"/>
  <c r="F28" i="6"/>
  <c r="E28" i="6"/>
  <c r="L28" i="6" s="1"/>
  <c r="F27" i="6"/>
  <c r="E27" i="6"/>
  <c r="L27" i="6" s="1"/>
  <c r="F26" i="6"/>
  <c r="E26" i="6"/>
  <c r="L26" i="6" s="1"/>
  <c r="F25" i="6"/>
  <c r="E25" i="6"/>
  <c r="L25" i="6" s="1"/>
  <c r="M48" i="6" s="1"/>
  <c r="S14" i="6" s="1"/>
  <c r="F24" i="6"/>
  <c r="E24" i="6"/>
  <c r="L24" i="6" s="1"/>
  <c r="F23" i="6"/>
  <c r="E23" i="6"/>
  <c r="L23" i="6" s="1"/>
  <c r="F22" i="6"/>
  <c r="E22" i="6"/>
  <c r="L22" i="6" s="1"/>
  <c r="F21" i="6"/>
  <c r="E21" i="6"/>
  <c r="L21" i="6" s="1"/>
  <c r="F20" i="6"/>
  <c r="E20" i="6"/>
  <c r="L20" i="6" s="1"/>
  <c r="S19" i="6" a="1"/>
  <c r="S19" i="6" s="1"/>
  <c r="O23" i="19" s="1"/>
  <c r="F19" i="6"/>
  <c r="E19" i="6"/>
  <c r="L19" i="6" s="1"/>
  <c r="S18" i="6" a="1"/>
  <c r="S18" i="6" s="1"/>
  <c r="F18" i="6"/>
  <c r="E18" i="6"/>
  <c r="L18" i="6" s="1"/>
  <c r="F17" i="6"/>
  <c r="E17" i="6"/>
  <c r="L17" i="6" s="1"/>
  <c r="F16" i="6"/>
  <c r="E16" i="6"/>
  <c r="L16" i="6" s="1"/>
  <c r="F15" i="6"/>
  <c r="E15" i="6"/>
  <c r="L15" i="6" s="1"/>
  <c r="F14" i="6"/>
  <c r="E14" i="6"/>
  <c r="L14" i="6" s="1"/>
  <c r="F13" i="6"/>
  <c r="E13" i="6"/>
  <c r="L13" i="6" s="1"/>
  <c r="S12" i="6"/>
  <c r="F12" i="6"/>
  <c r="E12" i="6"/>
  <c r="L12" i="6" s="1"/>
  <c r="S11" i="6"/>
  <c r="F11" i="6"/>
  <c r="E11" i="6"/>
  <c r="L11" i="6" s="1"/>
  <c r="S10" i="6"/>
  <c r="F10" i="6"/>
  <c r="E10" i="6"/>
  <c r="L10" i="6" s="1"/>
  <c r="S9" i="6"/>
  <c r="F9" i="6"/>
  <c r="E9" i="6"/>
  <c r="L9" i="6" s="1"/>
  <c r="S8" i="6"/>
  <c r="F8" i="6"/>
  <c r="E8" i="6"/>
  <c r="L8" i="6" s="1"/>
  <c r="S7" i="6"/>
  <c r="F7" i="6"/>
  <c r="E7" i="6"/>
  <c r="L7" i="6" s="1"/>
  <c r="F6" i="6"/>
  <c r="E6" i="6"/>
  <c r="L6" i="6" s="1"/>
  <c r="F5" i="6"/>
  <c r="E5" i="6"/>
  <c r="L5" i="6" s="1"/>
  <c r="S4" i="6"/>
  <c r="F4" i="6"/>
  <c r="F48" i="6" s="1"/>
  <c r="S6" i="6" s="1"/>
  <c r="E4" i="6"/>
  <c r="N48" i="13"/>
  <c r="M48" i="13"/>
  <c r="K48" i="13"/>
  <c r="J48" i="13"/>
  <c r="I48" i="13"/>
  <c r="H48" i="13"/>
  <c r="G48" i="13"/>
  <c r="D48" i="13"/>
  <c r="F47" i="13"/>
  <c r="E47" i="13"/>
  <c r="L47" i="13" s="1"/>
  <c r="F46" i="13"/>
  <c r="E46" i="13"/>
  <c r="L46" i="13" s="1"/>
  <c r="F45" i="13"/>
  <c r="E45" i="13"/>
  <c r="L45" i="13" s="1"/>
  <c r="F44" i="13"/>
  <c r="E44" i="13"/>
  <c r="L44" i="13" s="1"/>
  <c r="F43" i="13"/>
  <c r="E43" i="13"/>
  <c r="L43" i="13" s="1"/>
  <c r="F42" i="13"/>
  <c r="E42" i="13"/>
  <c r="L42" i="13" s="1"/>
  <c r="F41" i="13"/>
  <c r="E41" i="13"/>
  <c r="L41" i="13" s="1"/>
  <c r="F40" i="13"/>
  <c r="E40" i="13"/>
  <c r="L40" i="13" s="1"/>
  <c r="F39" i="13"/>
  <c r="E39" i="13"/>
  <c r="L39" i="13" s="1"/>
  <c r="F38" i="13"/>
  <c r="E38" i="13"/>
  <c r="L38" i="13" s="1"/>
  <c r="F37" i="13"/>
  <c r="E37" i="13"/>
  <c r="L37" i="13" s="1"/>
  <c r="F36" i="13"/>
  <c r="E36" i="13"/>
  <c r="L36" i="13" s="1"/>
  <c r="F35" i="13"/>
  <c r="E35" i="13"/>
  <c r="L35" i="13" s="1"/>
  <c r="F34" i="13"/>
  <c r="E34" i="13"/>
  <c r="L34" i="13" s="1"/>
  <c r="F33" i="13"/>
  <c r="E33" i="13"/>
  <c r="L33" i="13" s="1"/>
  <c r="F32" i="13"/>
  <c r="E32" i="13"/>
  <c r="L32" i="13" s="1"/>
  <c r="F31" i="13"/>
  <c r="E31" i="13"/>
  <c r="L31" i="13" s="1"/>
  <c r="F30" i="13"/>
  <c r="E30" i="13"/>
  <c r="L30" i="13" s="1"/>
  <c r="F29" i="13"/>
  <c r="E29" i="13"/>
  <c r="L29" i="13" s="1"/>
  <c r="F28" i="13"/>
  <c r="E28" i="13"/>
  <c r="L28" i="13" s="1"/>
  <c r="F27" i="13"/>
  <c r="E27" i="13"/>
  <c r="L27" i="13" s="1"/>
  <c r="F26" i="13"/>
  <c r="E26" i="13"/>
  <c r="L26" i="13" s="1"/>
  <c r="F25" i="13"/>
  <c r="E25" i="13"/>
  <c r="L25" i="13" s="1"/>
  <c r="F24" i="13"/>
  <c r="E24" i="13"/>
  <c r="L24" i="13" s="1"/>
  <c r="F23" i="13"/>
  <c r="E23" i="13"/>
  <c r="L23" i="13" s="1"/>
  <c r="F22" i="13"/>
  <c r="E22" i="13"/>
  <c r="L22" i="13" s="1"/>
  <c r="F21" i="13"/>
  <c r="E21" i="13"/>
  <c r="L21" i="13" s="1"/>
  <c r="F20" i="13"/>
  <c r="E20" i="13"/>
  <c r="L20" i="13" s="1"/>
  <c r="S19" i="13" a="1"/>
  <c r="S19" i="13" s="1"/>
  <c r="O18" i="19" s="1"/>
  <c r="F19" i="13"/>
  <c r="E19" i="13"/>
  <c r="L19" i="13" s="1"/>
  <c r="S18" i="13" a="1"/>
  <c r="S18" i="13" s="1"/>
  <c r="F18" i="13"/>
  <c r="E18" i="13"/>
  <c r="L18" i="13" s="1"/>
  <c r="F17" i="13"/>
  <c r="E17" i="13"/>
  <c r="L17" i="13" s="1"/>
  <c r="F16" i="13"/>
  <c r="E16" i="13"/>
  <c r="L16" i="13" s="1"/>
  <c r="F15" i="13"/>
  <c r="E15" i="13"/>
  <c r="L15" i="13" s="1"/>
  <c r="S14" i="13"/>
  <c r="F14" i="13"/>
  <c r="E14" i="13"/>
  <c r="L14" i="13" s="1"/>
  <c r="F13" i="13"/>
  <c r="E13" i="13"/>
  <c r="L13" i="13" s="1"/>
  <c r="S12" i="13"/>
  <c r="F12" i="13"/>
  <c r="E12" i="13"/>
  <c r="L12" i="13" s="1"/>
  <c r="S11" i="13"/>
  <c r="F11" i="13"/>
  <c r="E11" i="13"/>
  <c r="L11" i="13" s="1"/>
  <c r="S10" i="13"/>
  <c r="F10" i="13"/>
  <c r="E10" i="13"/>
  <c r="L10" i="13" s="1"/>
  <c r="S9" i="13"/>
  <c r="F9" i="13"/>
  <c r="E9" i="13"/>
  <c r="L9" i="13" s="1"/>
  <c r="S8" i="13"/>
  <c r="F8" i="13"/>
  <c r="E8" i="13"/>
  <c r="L8" i="13" s="1"/>
  <c r="S7" i="13"/>
  <c r="F7" i="13"/>
  <c r="E7" i="13"/>
  <c r="L7" i="13" s="1"/>
  <c r="F6" i="13"/>
  <c r="E6" i="13"/>
  <c r="L6" i="13" s="1"/>
  <c r="F5" i="13"/>
  <c r="E5" i="13"/>
  <c r="L5" i="13" s="1"/>
  <c r="S4" i="13"/>
  <c r="F4" i="13"/>
  <c r="F48" i="13" s="1"/>
  <c r="S6" i="13" s="1"/>
  <c r="E4" i="13"/>
  <c r="N48" i="11"/>
  <c r="S12" i="11" s="1"/>
  <c r="M48" i="11"/>
  <c r="K48" i="11"/>
  <c r="J48" i="11"/>
  <c r="I48" i="11"/>
  <c r="H48" i="11"/>
  <c r="G48" i="11"/>
  <c r="D48" i="11"/>
  <c r="F47" i="11"/>
  <c r="E47" i="11"/>
  <c r="L47" i="11" s="1"/>
  <c r="F46" i="11"/>
  <c r="E46" i="11"/>
  <c r="L46" i="11" s="1"/>
  <c r="F45" i="11"/>
  <c r="E45" i="11"/>
  <c r="L45" i="11" s="1"/>
  <c r="F44" i="11"/>
  <c r="E44" i="11"/>
  <c r="L44" i="11" s="1"/>
  <c r="F43" i="11"/>
  <c r="E43" i="11"/>
  <c r="L43" i="11" s="1"/>
  <c r="F42" i="11"/>
  <c r="E42" i="11"/>
  <c r="L42" i="11" s="1"/>
  <c r="E41" i="11"/>
  <c r="L41" i="11" s="1"/>
  <c r="F40" i="11"/>
  <c r="E40" i="11"/>
  <c r="L40" i="11" s="1"/>
  <c r="F39" i="11"/>
  <c r="E39" i="11"/>
  <c r="L39" i="11" s="1"/>
  <c r="F38" i="11"/>
  <c r="E38" i="11"/>
  <c r="L38" i="11" s="1"/>
  <c r="F37" i="11"/>
  <c r="E37" i="11"/>
  <c r="L37" i="11" s="1"/>
  <c r="F36" i="11"/>
  <c r="E36" i="11"/>
  <c r="L36" i="11" s="1"/>
  <c r="F35" i="11"/>
  <c r="E35" i="11"/>
  <c r="L35" i="11" s="1"/>
  <c r="F34" i="11"/>
  <c r="E34" i="11"/>
  <c r="L34" i="11" s="1"/>
  <c r="F33" i="11"/>
  <c r="E33" i="11"/>
  <c r="L33" i="11" s="1"/>
  <c r="F32" i="11"/>
  <c r="E32" i="11"/>
  <c r="L32" i="11" s="1"/>
  <c r="F31" i="11"/>
  <c r="E31" i="11"/>
  <c r="L31" i="11" s="1"/>
  <c r="F30" i="11"/>
  <c r="E30" i="11"/>
  <c r="L30" i="11" s="1"/>
  <c r="F29" i="11"/>
  <c r="E29" i="11"/>
  <c r="L29" i="11" s="1"/>
  <c r="E28" i="11"/>
  <c r="L28" i="11" s="1"/>
  <c r="F27" i="11"/>
  <c r="E27" i="11"/>
  <c r="L27" i="11" s="1"/>
  <c r="F26" i="11"/>
  <c r="E26" i="11"/>
  <c r="L26" i="11" s="1"/>
  <c r="E25" i="11"/>
  <c r="L25" i="11" s="1"/>
  <c r="F24" i="11"/>
  <c r="E24" i="11"/>
  <c r="L24" i="11" s="1"/>
  <c r="F23" i="11"/>
  <c r="E23" i="11"/>
  <c r="L23" i="11" s="1"/>
  <c r="F22" i="11"/>
  <c r="E22" i="11"/>
  <c r="L22" i="11" s="1"/>
  <c r="F21" i="11"/>
  <c r="E21" i="11"/>
  <c r="L21" i="11" s="1"/>
  <c r="F20" i="11"/>
  <c r="E20" i="11"/>
  <c r="L20" i="11" s="1"/>
  <c r="S19" i="11" a="1"/>
  <c r="S19" i="11" s="1"/>
  <c r="O13" i="19" s="1"/>
  <c r="F19" i="11"/>
  <c r="E19" i="11"/>
  <c r="L19" i="11" s="1"/>
  <c r="S18" i="11" a="1"/>
  <c r="S18" i="11" s="1"/>
  <c r="F18" i="11"/>
  <c r="E18" i="11"/>
  <c r="L18" i="11" s="1"/>
  <c r="F17" i="11"/>
  <c r="E17" i="11"/>
  <c r="L17" i="11" s="1"/>
  <c r="F16" i="11"/>
  <c r="E16" i="11"/>
  <c r="L16" i="11" s="1"/>
  <c r="F15" i="11"/>
  <c r="E15" i="11"/>
  <c r="L15" i="11" s="1"/>
  <c r="S14" i="11"/>
  <c r="F14" i="11"/>
  <c r="E14" i="11"/>
  <c r="L14" i="11" s="1"/>
  <c r="F13" i="11"/>
  <c r="E13" i="11"/>
  <c r="L13" i="11" s="1"/>
  <c r="F12" i="11"/>
  <c r="E12" i="11"/>
  <c r="L12" i="11" s="1"/>
  <c r="S11" i="11"/>
  <c r="F11" i="11"/>
  <c r="E11" i="11"/>
  <c r="L11" i="11" s="1"/>
  <c r="S10" i="11"/>
  <c r="F10" i="11"/>
  <c r="E10" i="11"/>
  <c r="L10" i="11" s="1"/>
  <c r="S9" i="11"/>
  <c r="F9" i="11"/>
  <c r="E9" i="11"/>
  <c r="L9" i="11" s="1"/>
  <c r="S8" i="11"/>
  <c r="F8" i="11"/>
  <c r="E8" i="11"/>
  <c r="L8" i="11" s="1"/>
  <c r="S7" i="11"/>
  <c r="F7" i="11"/>
  <c r="E7" i="11"/>
  <c r="L7" i="11" s="1"/>
  <c r="F6" i="11"/>
  <c r="E6" i="11"/>
  <c r="L6" i="11" s="1"/>
  <c r="F5" i="11"/>
  <c r="E5" i="11"/>
  <c r="L5" i="11" s="1"/>
  <c r="S4" i="11"/>
  <c r="F4" i="11"/>
  <c r="F48" i="11" s="1"/>
  <c r="S6" i="11" s="1"/>
  <c r="E4" i="11"/>
  <c r="N48" i="4"/>
  <c r="S12" i="4" s="1"/>
  <c r="K48" i="4"/>
  <c r="J48" i="4"/>
  <c r="I48" i="4"/>
  <c r="H48" i="4"/>
  <c r="G48" i="4"/>
  <c r="D48" i="4"/>
  <c r="E47" i="4"/>
  <c r="L47" i="4" s="1"/>
  <c r="F46" i="4"/>
  <c r="E46" i="4"/>
  <c r="L46" i="4" s="1"/>
  <c r="F45" i="4"/>
  <c r="E45" i="4"/>
  <c r="L45" i="4" s="1"/>
  <c r="F44" i="4"/>
  <c r="E44" i="4"/>
  <c r="L44" i="4" s="1"/>
  <c r="F43" i="4"/>
  <c r="E43" i="4"/>
  <c r="L43" i="4" s="1"/>
  <c r="F42" i="4"/>
  <c r="E42" i="4"/>
  <c r="F41" i="4"/>
  <c r="E41" i="4"/>
  <c r="L41" i="4" s="1"/>
  <c r="F40" i="4"/>
  <c r="E40" i="4"/>
  <c r="L40" i="4" s="1"/>
  <c r="F39" i="4"/>
  <c r="E39" i="4"/>
  <c r="L39" i="4" s="1"/>
  <c r="F38" i="4"/>
  <c r="E38" i="4"/>
  <c r="L38" i="4" s="1"/>
  <c r="F37" i="4"/>
  <c r="E37" i="4"/>
  <c r="L37" i="4" s="1"/>
  <c r="F36" i="4"/>
  <c r="E36" i="4"/>
  <c r="L36" i="4" s="1"/>
  <c r="F35" i="4"/>
  <c r="E35" i="4"/>
  <c r="L35" i="4" s="1"/>
  <c r="F34" i="4"/>
  <c r="E34" i="4"/>
  <c r="L34" i="4" s="1"/>
  <c r="F33" i="4"/>
  <c r="E33" i="4"/>
  <c r="L33" i="4" s="1"/>
  <c r="F32" i="4"/>
  <c r="E32" i="4"/>
  <c r="L32" i="4" s="1"/>
  <c r="F31" i="4"/>
  <c r="E31" i="4"/>
  <c r="L31" i="4" s="1"/>
  <c r="F30" i="4"/>
  <c r="E30" i="4"/>
  <c r="L30" i="4" s="1"/>
  <c r="F29" i="4"/>
  <c r="E29" i="4"/>
  <c r="L29" i="4" s="1"/>
  <c r="F28" i="4"/>
  <c r="E28" i="4"/>
  <c r="L28" i="4" s="1"/>
  <c r="F27" i="4"/>
  <c r="E27" i="4"/>
  <c r="L27" i="4" s="1"/>
  <c r="F26" i="4"/>
  <c r="E26" i="4"/>
  <c r="L26" i="4" s="1"/>
  <c r="F25" i="4"/>
  <c r="E25" i="4"/>
  <c r="L25" i="4" s="1"/>
  <c r="F24" i="4"/>
  <c r="E24" i="4"/>
  <c r="L24" i="4" s="1"/>
  <c r="F23" i="4"/>
  <c r="E23" i="4"/>
  <c r="L23" i="4" s="1"/>
  <c r="F22" i="4"/>
  <c r="E22" i="4"/>
  <c r="L22" i="4" s="1"/>
  <c r="F21" i="4"/>
  <c r="E21" i="4"/>
  <c r="L21" i="4" s="1"/>
  <c r="F20" i="4"/>
  <c r="E20" i="4"/>
  <c r="L20" i="4" s="1"/>
  <c r="S19" i="4" a="1"/>
  <c r="S19" i="4" s="1"/>
  <c r="O8" i="19" s="1"/>
  <c r="F19" i="4"/>
  <c r="E19" i="4"/>
  <c r="L19" i="4" s="1"/>
  <c r="S18" i="4" a="1"/>
  <c r="S18" i="4" s="1"/>
  <c r="F18" i="4"/>
  <c r="E18" i="4"/>
  <c r="L18" i="4" s="1"/>
  <c r="F17" i="4"/>
  <c r="E17" i="4"/>
  <c r="L17" i="4" s="1"/>
  <c r="F16" i="4"/>
  <c r="E16" i="4"/>
  <c r="L16" i="4" s="1"/>
  <c r="F15" i="4"/>
  <c r="E15" i="4"/>
  <c r="L15" i="4" s="1"/>
  <c r="F14" i="4"/>
  <c r="E14" i="4"/>
  <c r="L14" i="4" s="1"/>
  <c r="F13" i="4"/>
  <c r="E13" i="4"/>
  <c r="L13" i="4" s="1"/>
  <c r="F12" i="4"/>
  <c r="E12" i="4"/>
  <c r="L12" i="4" s="1"/>
  <c r="S11" i="4"/>
  <c r="F11" i="4"/>
  <c r="E11" i="4"/>
  <c r="L11" i="4" s="1"/>
  <c r="S10" i="4"/>
  <c r="F10" i="4"/>
  <c r="E10" i="4"/>
  <c r="L10" i="4" s="1"/>
  <c r="S9" i="4"/>
  <c r="F9" i="4"/>
  <c r="E9" i="4"/>
  <c r="L9" i="4" s="1"/>
  <c r="S8" i="4"/>
  <c r="F8" i="4"/>
  <c r="E8" i="4"/>
  <c r="L8" i="4" s="1"/>
  <c r="S7" i="4"/>
  <c r="F7" i="4"/>
  <c r="E7" i="4"/>
  <c r="L7" i="4" s="1"/>
  <c r="F6" i="4"/>
  <c r="E6" i="4"/>
  <c r="L6" i="4" s="1"/>
  <c r="F5" i="4"/>
  <c r="E5" i="4"/>
  <c r="L5" i="4" s="1"/>
  <c r="S4" i="4"/>
  <c r="F4" i="4"/>
  <c r="F48" i="4" s="1"/>
  <c r="S6" i="4" s="1"/>
  <c r="E4" i="4"/>
  <c r="S19" i="10" a="1"/>
  <c r="S19" i="10" s="1"/>
  <c r="O4" i="19" s="1"/>
  <c r="S18" i="10" a="1"/>
  <c r="S18" i="10" s="1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4" i="10"/>
  <c r="F15" i="10"/>
  <c r="F13" i="10"/>
  <c r="F12" i="10"/>
  <c r="F11" i="10"/>
  <c r="F10" i="10"/>
  <c r="F9" i="10"/>
  <c r="F8" i="10"/>
  <c r="F7" i="10"/>
  <c r="F6" i="10"/>
  <c r="F5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L26" i="10" s="1"/>
  <c r="E25" i="10"/>
  <c r="E24" i="10"/>
  <c r="E23" i="10"/>
  <c r="E22" i="10"/>
  <c r="L22" i="10" s="1"/>
  <c r="E21" i="10"/>
  <c r="E20" i="10"/>
  <c r="E19" i="10"/>
  <c r="E18" i="10"/>
  <c r="L18" i="10" s="1"/>
  <c r="E17" i="10"/>
  <c r="L17" i="10" s="1"/>
  <c r="E16" i="10"/>
  <c r="E14" i="10"/>
  <c r="E15" i="10"/>
  <c r="E13" i="10"/>
  <c r="E12" i="10"/>
  <c r="E11" i="10"/>
  <c r="E10" i="10"/>
  <c r="E9" i="10"/>
  <c r="E8" i="10"/>
  <c r="E7" i="10"/>
  <c r="E6" i="10"/>
  <c r="E5" i="10"/>
  <c r="F4" i="10"/>
  <c r="F4" i="9"/>
  <c r="E4" i="10"/>
  <c r="S19" i="9" a="1"/>
  <c r="S19" i="9"/>
  <c r="O3" i="19" s="1"/>
  <c r="S18" i="9" a="1"/>
  <c r="S18" i="9"/>
  <c r="N3" i="19" s="1"/>
  <c r="F47" i="9"/>
  <c r="F45" i="9"/>
  <c r="F44" i="9"/>
  <c r="F43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E47" i="9"/>
  <c r="E46" i="9"/>
  <c r="E45" i="9"/>
  <c r="E44" i="9"/>
  <c r="E43" i="9"/>
  <c r="E41" i="9"/>
  <c r="E40" i="9"/>
  <c r="E39" i="9"/>
  <c r="E38" i="9"/>
  <c r="E37" i="9"/>
  <c r="E36" i="9"/>
  <c r="E35" i="9"/>
  <c r="E34" i="9"/>
  <c r="E33" i="9"/>
  <c r="E32" i="9"/>
  <c r="E30" i="9"/>
  <c r="E29" i="9"/>
  <c r="E28" i="9"/>
  <c r="E27" i="9"/>
  <c r="E26" i="9"/>
  <c r="E25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N48" i="10"/>
  <c r="S12" i="10" s="1"/>
  <c r="K48" i="10"/>
  <c r="S11" i="10" s="1"/>
  <c r="J48" i="10"/>
  <c r="S10" i="10" s="1"/>
  <c r="I48" i="10"/>
  <c r="S9" i="10" s="1"/>
  <c r="H48" i="10"/>
  <c r="S8" i="10" s="1"/>
  <c r="G48" i="10"/>
  <c r="S7" i="10" s="1"/>
  <c r="D48" i="10"/>
  <c r="S4" i="10" s="1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7" i="10"/>
  <c r="L25" i="10"/>
  <c r="L28" i="10"/>
  <c r="L23" i="10"/>
  <c r="L24" i="10"/>
  <c r="L27" i="10"/>
  <c r="L20" i="10"/>
  <c r="L14" i="10"/>
  <c r="M48" i="10" s="1"/>
  <c r="S14" i="10" s="1"/>
  <c r="L19" i="10"/>
  <c r="L15" i="10"/>
  <c r="L21" i="10"/>
  <c r="L12" i="10"/>
  <c r="L16" i="10"/>
  <c r="L11" i="10"/>
  <c r="L13" i="10"/>
  <c r="L10" i="10"/>
  <c r="L8" i="10"/>
  <c r="L6" i="10"/>
  <c r="L9" i="10"/>
  <c r="L5" i="10"/>
  <c r="F48" i="10"/>
  <c r="S6" i="10" s="1"/>
  <c r="N48" i="9"/>
  <c r="K48" i="9"/>
  <c r="J48" i="9"/>
  <c r="I48" i="9"/>
  <c r="H48" i="9"/>
  <c r="G48" i="9"/>
  <c r="D48" i="9"/>
  <c r="L45" i="9"/>
  <c r="L44" i="9"/>
  <c r="L43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47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F48" i="9"/>
  <c r="B1" i="4"/>
  <c r="B1" i="5"/>
  <c r="B1" i="6"/>
  <c r="B1" i="13"/>
  <c r="B1" i="11"/>
  <c r="B1" i="18"/>
  <c r="B1" i="17"/>
  <c r="B1" i="16"/>
  <c r="B1" i="15"/>
  <c r="B1" i="7"/>
  <c r="B1" i="14"/>
  <c r="B1" i="12"/>
  <c r="B1" i="10"/>
  <c r="B2" i="8"/>
  <c r="A3" i="19" s="1"/>
  <c r="I26" i="8"/>
  <c r="L24" i="19" s="1"/>
  <c r="B26" i="8"/>
  <c r="O8" i="8"/>
  <c r="L14" i="19" s="1"/>
  <c r="N8" i="8"/>
  <c r="I8" i="8"/>
  <c r="L9" i="19" s="1"/>
  <c r="H8" i="8"/>
  <c r="C8" i="8"/>
  <c r="L4" i="19" s="1"/>
  <c r="S8" i="9"/>
  <c r="M48" i="4" l="1"/>
  <c r="S14" i="4" s="1"/>
  <c r="L42" i="4"/>
  <c r="L10" i="18"/>
  <c r="E11" i="20"/>
  <c r="L26" i="17"/>
  <c r="L8" i="18"/>
  <c r="L14" i="18"/>
  <c r="F48" i="18"/>
  <c r="S6" i="18" s="1"/>
  <c r="L6" i="18"/>
  <c r="L20" i="17"/>
  <c r="L32" i="17"/>
  <c r="L14" i="17"/>
  <c r="L12" i="17"/>
  <c r="L6" i="17"/>
  <c r="L38" i="17"/>
  <c r="L18" i="17"/>
  <c r="L16" i="17"/>
  <c r="L30" i="17"/>
  <c r="L25" i="17"/>
  <c r="F48" i="17"/>
  <c r="S6" i="17" s="1"/>
  <c r="L24" i="17"/>
  <c r="L24" i="15"/>
  <c r="F48" i="16"/>
  <c r="S6" i="16" s="1"/>
  <c r="L26" i="15"/>
  <c r="L12" i="15"/>
  <c r="L10" i="15"/>
  <c r="L40" i="15"/>
  <c r="L16" i="15"/>
  <c r="L22" i="15"/>
  <c r="L36" i="15"/>
  <c r="L44" i="15"/>
  <c r="L6" i="15"/>
  <c r="L18" i="15"/>
  <c r="L7" i="15"/>
  <c r="F48" i="15"/>
  <c r="S6" i="15" s="1"/>
  <c r="S20" i="18"/>
  <c r="N34" i="19"/>
  <c r="S20" i="17"/>
  <c r="N33" i="19"/>
  <c r="S20" i="16"/>
  <c r="N29" i="19"/>
  <c r="S20" i="15"/>
  <c r="N28" i="19"/>
  <c r="S20" i="7"/>
  <c r="N24" i="19"/>
  <c r="S20" i="6"/>
  <c r="N23" i="19"/>
  <c r="S20" i="14"/>
  <c r="N19" i="19"/>
  <c r="S20" i="13"/>
  <c r="N18" i="19"/>
  <c r="S20" i="12"/>
  <c r="N14" i="19"/>
  <c r="S20" i="11"/>
  <c r="N13" i="19"/>
  <c r="S20" i="5"/>
  <c r="N9" i="19"/>
  <c r="S20" i="4"/>
  <c r="N8" i="19"/>
  <c r="S20" i="10"/>
  <c r="N4" i="19"/>
  <c r="E48" i="18"/>
  <c r="S5" i="18" s="1"/>
  <c r="S13" i="18" s="1"/>
  <c r="L4" i="18"/>
  <c r="E48" i="16"/>
  <c r="S5" i="16" s="1"/>
  <c r="L4" i="16"/>
  <c r="E48" i="7"/>
  <c r="S5" i="7" s="1"/>
  <c r="S13" i="7" s="1"/>
  <c r="L4" i="7"/>
  <c r="L48" i="7" s="1"/>
  <c r="E48" i="14"/>
  <c r="S5" i="14" s="1"/>
  <c r="S13" i="14" s="1"/>
  <c r="L4" i="14"/>
  <c r="L48" i="14" s="1"/>
  <c r="E48" i="12"/>
  <c r="S5" i="12" s="1"/>
  <c r="S13" i="12" s="1"/>
  <c r="L4" i="12"/>
  <c r="L48" i="12" s="1"/>
  <c r="E48" i="5"/>
  <c r="S5" i="5" s="1"/>
  <c r="S13" i="5" s="1"/>
  <c r="L4" i="5"/>
  <c r="L48" i="5" s="1"/>
  <c r="E48" i="17"/>
  <c r="S5" i="17" s="1"/>
  <c r="L4" i="17"/>
  <c r="E48" i="15"/>
  <c r="S5" i="15" s="1"/>
  <c r="L4" i="15"/>
  <c r="E48" i="6"/>
  <c r="S5" i="6" s="1"/>
  <c r="S13" i="6" s="1"/>
  <c r="L4" i="6"/>
  <c r="L48" i="6" s="1"/>
  <c r="E48" i="13"/>
  <c r="S5" i="13" s="1"/>
  <c r="S13" i="13" s="1"/>
  <c r="L4" i="13"/>
  <c r="L48" i="13" s="1"/>
  <c r="E48" i="11"/>
  <c r="S5" i="11" s="1"/>
  <c r="S13" i="11" s="1"/>
  <c r="L4" i="11"/>
  <c r="L48" i="11" s="1"/>
  <c r="E48" i="4"/>
  <c r="S5" i="4" s="1"/>
  <c r="S13" i="4" s="1"/>
  <c r="L4" i="4"/>
  <c r="L48" i="4" s="1"/>
  <c r="E48" i="10"/>
  <c r="S5" i="10" s="1"/>
  <c r="S13" i="10" s="1"/>
  <c r="L4" i="10"/>
  <c r="L48" i="10" s="1"/>
  <c r="E48" i="9"/>
  <c r="L4" i="9"/>
  <c r="L18" i="19"/>
  <c r="H26" i="8"/>
  <c r="C26" i="8"/>
  <c r="L19" i="19" s="1"/>
  <c r="L21" i="19" s="1"/>
  <c r="D44" i="8"/>
  <c r="L33" i="19"/>
  <c r="L36" i="19" s="1"/>
  <c r="P26" i="8"/>
  <c r="L28" i="19"/>
  <c r="L31" i="19" s="1"/>
  <c r="J26" i="8"/>
  <c r="L23" i="19"/>
  <c r="L26" i="19" s="1"/>
  <c r="P8" i="8"/>
  <c r="L13" i="19"/>
  <c r="L16" i="19" s="1"/>
  <c r="J8" i="8"/>
  <c r="L8" i="19"/>
  <c r="L11" i="19" s="1"/>
  <c r="A33" i="19"/>
  <c r="A28" i="19"/>
  <c r="A23" i="19"/>
  <c r="A18" i="19"/>
  <c r="A13" i="19"/>
  <c r="A8" i="19"/>
  <c r="B38" i="8"/>
  <c r="N20" i="8"/>
  <c r="H20" i="8"/>
  <c r="B20" i="8"/>
  <c r="H2" i="8"/>
  <c r="N2" i="8"/>
  <c r="D26" i="8"/>
  <c r="S13" i="17" l="1"/>
  <c r="S13" i="16"/>
  <c r="S13" i="15"/>
  <c r="L48" i="15"/>
  <c r="M48" i="15"/>
  <c r="S14" i="15" s="1"/>
  <c r="L48" i="17"/>
  <c r="M48" i="17"/>
  <c r="S14" i="17" s="1"/>
  <c r="L48" i="16"/>
  <c r="M48" i="16"/>
  <c r="S14" i="16" s="1"/>
  <c r="L48" i="18"/>
  <c r="M48" i="18"/>
  <c r="S14" i="18" s="1"/>
  <c r="L48" i="9"/>
  <c r="M48" i="9"/>
  <c r="S14" i="9" s="1"/>
  <c r="S20" i="9"/>
  <c r="J39" i="8" l="1"/>
  <c r="B25" i="8" l="1"/>
  <c r="C25" i="8"/>
  <c r="O25" i="8"/>
  <c r="K29" i="19" s="1"/>
  <c r="H7" i="8"/>
  <c r="K8" i="19" s="1"/>
  <c r="H25" i="8"/>
  <c r="S7" i="9"/>
  <c r="C49" i="8"/>
  <c r="I34" i="19" s="1"/>
  <c r="C48" i="8"/>
  <c r="H34" i="19" s="1"/>
  <c r="C47" i="8"/>
  <c r="G34" i="19" s="1"/>
  <c r="B49" i="8"/>
  <c r="I33" i="19" s="1"/>
  <c r="B48" i="8"/>
  <c r="H33" i="19" s="1"/>
  <c r="B47" i="8"/>
  <c r="G33" i="19" s="1"/>
  <c r="C40" i="8"/>
  <c r="C34" i="19" s="1"/>
  <c r="B40" i="8"/>
  <c r="C33" i="19" s="1"/>
  <c r="O31" i="8"/>
  <c r="I29" i="19" s="1"/>
  <c r="O30" i="8"/>
  <c r="H29" i="19" s="1"/>
  <c r="O29" i="8"/>
  <c r="G29" i="19" s="1"/>
  <c r="O22" i="8"/>
  <c r="C29" i="19" s="1"/>
  <c r="N31" i="8"/>
  <c r="I28" i="19" s="1"/>
  <c r="N30" i="8"/>
  <c r="H28" i="19" s="1"/>
  <c r="N29" i="8"/>
  <c r="G28" i="19" s="1"/>
  <c r="N22" i="8"/>
  <c r="C28" i="19" s="1"/>
  <c r="S11" i="9"/>
  <c r="C13" i="8"/>
  <c r="I4" i="19" s="1"/>
  <c r="H13" i="8"/>
  <c r="I8" i="19" s="1"/>
  <c r="I13" i="8"/>
  <c r="I9" i="19" s="1"/>
  <c r="N13" i="8"/>
  <c r="I13" i="19" s="1"/>
  <c r="O13" i="8"/>
  <c r="I14" i="19" s="1"/>
  <c r="H31" i="8"/>
  <c r="I31" i="8"/>
  <c r="I24" i="19" s="1"/>
  <c r="S10" i="9"/>
  <c r="C12" i="8"/>
  <c r="H4" i="19" s="1"/>
  <c r="H12" i="8"/>
  <c r="H8" i="19" s="1"/>
  <c r="I12" i="8"/>
  <c r="H9" i="19" s="1"/>
  <c r="N12" i="8"/>
  <c r="H13" i="19" s="1"/>
  <c r="O12" i="8"/>
  <c r="H14" i="19" s="1"/>
  <c r="H30" i="8"/>
  <c r="I30" i="8"/>
  <c r="H24" i="19" s="1"/>
  <c r="S9" i="9"/>
  <c r="C11" i="8"/>
  <c r="G4" i="19" s="1"/>
  <c r="H11" i="8"/>
  <c r="G8" i="19" s="1"/>
  <c r="I11" i="8"/>
  <c r="G9" i="19" s="1"/>
  <c r="N11" i="8"/>
  <c r="G13" i="19" s="1"/>
  <c r="O11" i="8"/>
  <c r="G14" i="19" s="1"/>
  <c r="H29" i="8"/>
  <c r="I29" i="8"/>
  <c r="G24" i="19" s="1"/>
  <c r="S4" i="9"/>
  <c r="C4" i="8"/>
  <c r="C4" i="19" s="1"/>
  <c r="H4" i="8"/>
  <c r="C8" i="19" s="1"/>
  <c r="I4" i="8"/>
  <c r="C9" i="19" s="1"/>
  <c r="N4" i="8"/>
  <c r="C13" i="19" s="1"/>
  <c r="O4" i="8"/>
  <c r="C14" i="19" s="1"/>
  <c r="H22" i="8"/>
  <c r="I22" i="8"/>
  <c r="C24" i="19" s="1"/>
  <c r="H6" i="8"/>
  <c r="E8" i="19" s="1"/>
  <c r="Q36" i="19"/>
  <c r="Q31" i="19"/>
  <c r="Q21" i="19"/>
  <c r="Q6" i="19"/>
  <c r="S12" i="9"/>
  <c r="B8" i="8" s="1"/>
  <c r="H24" i="8"/>
  <c r="Q26" i="19"/>
  <c r="Q11" i="19"/>
  <c r="B42" i="8"/>
  <c r="E33" i="19" s="1"/>
  <c r="C6" i="8"/>
  <c r="E4" i="19" s="1"/>
  <c r="N24" i="8"/>
  <c r="E28" i="19" s="1"/>
  <c r="I6" i="8"/>
  <c r="E9" i="19" s="1"/>
  <c r="C36" i="19" l="1"/>
  <c r="H36" i="19"/>
  <c r="G36" i="19"/>
  <c r="I36" i="19"/>
  <c r="C31" i="19"/>
  <c r="G31" i="19"/>
  <c r="I31" i="19"/>
  <c r="H31" i="19"/>
  <c r="Q16" i="19"/>
  <c r="D8" i="8"/>
  <c r="I44" i="8" s="1"/>
  <c r="L3" i="19"/>
  <c r="L6" i="19" s="1"/>
  <c r="L39" i="19" s="1"/>
  <c r="M41" i="19"/>
  <c r="E13" i="20" s="1"/>
  <c r="E15" i="20" s="1"/>
  <c r="I23" i="19"/>
  <c r="B31" i="8"/>
  <c r="I18" i="19" s="1"/>
  <c r="H23" i="19"/>
  <c r="B30" i="8"/>
  <c r="H18" i="19" s="1"/>
  <c r="G23" i="19"/>
  <c r="B29" i="8"/>
  <c r="G18" i="19" s="1"/>
  <c r="C23" i="19"/>
  <c r="B22" i="8"/>
  <c r="C18" i="19" s="1"/>
  <c r="E23" i="19"/>
  <c r="B24" i="8"/>
  <c r="E18" i="19"/>
  <c r="C31" i="8"/>
  <c r="I19" i="19" s="1"/>
  <c r="I21" i="19" s="1"/>
  <c r="C30" i="8"/>
  <c r="H19" i="19" s="1"/>
  <c r="H21" i="19" s="1"/>
  <c r="C29" i="8"/>
  <c r="G19" i="19" s="1"/>
  <c r="G21" i="19" s="1"/>
  <c r="C22" i="8"/>
  <c r="C19" i="19" s="1"/>
  <c r="C21" i="19" s="1"/>
  <c r="C23" i="8"/>
  <c r="D19" i="19" s="1"/>
  <c r="C24" i="8"/>
  <c r="E19" i="19" s="1"/>
  <c r="E21" i="19"/>
  <c r="E11" i="19"/>
  <c r="G26" i="19"/>
  <c r="H26" i="19"/>
  <c r="I26" i="19"/>
  <c r="C26" i="19"/>
  <c r="G16" i="19"/>
  <c r="H16" i="19"/>
  <c r="I16" i="19"/>
  <c r="C16" i="19"/>
  <c r="G11" i="19"/>
  <c r="H11" i="19"/>
  <c r="I11" i="19"/>
  <c r="C11" i="19"/>
  <c r="I25" i="8"/>
  <c r="K24" i="19" s="1"/>
  <c r="K19" i="19"/>
  <c r="O6" i="8"/>
  <c r="E14" i="19" s="1"/>
  <c r="N6" i="8"/>
  <c r="E13" i="19" s="1"/>
  <c r="E16" i="19" s="1"/>
  <c r="C42" i="8"/>
  <c r="E34" i="19" s="1"/>
  <c r="E36" i="19" s="1"/>
  <c r="I24" i="8"/>
  <c r="E24" i="19" s="1"/>
  <c r="E26" i="19" s="1"/>
  <c r="C41" i="8"/>
  <c r="B23" i="8"/>
  <c r="D24" i="8"/>
  <c r="H23" i="8"/>
  <c r="J6" i="8"/>
  <c r="H5" i="8"/>
  <c r="D8" i="19" s="1"/>
  <c r="C5" i="8"/>
  <c r="S6" i="9"/>
  <c r="B7" i="8"/>
  <c r="K3" i="19" s="1"/>
  <c r="S5" i="9"/>
  <c r="C43" i="8"/>
  <c r="K34" i="19" s="1"/>
  <c r="D40" i="8"/>
  <c r="D49" i="8"/>
  <c r="D47" i="8"/>
  <c r="D48" i="8"/>
  <c r="B41" i="8"/>
  <c r="D33" i="19" s="1"/>
  <c r="B43" i="8"/>
  <c r="K33" i="19" s="1"/>
  <c r="P22" i="8"/>
  <c r="P30" i="8"/>
  <c r="P29" i="8"/>
  <c r="P31" i="8"/>
  <c r="N25" i="8"/>
  <c r="K28" i="19" s="1"/>
  <c r="K31" i="19" s="1"/>
  <c r="J30" i="8"/>
  <c r="J24" i="8"/>
  <c r="J22" i="8"/>
  <c r="J29" i="8"/>
  <c r="J31" i="8"/>
  <c r="D23" i="19"/>
  <c r="K23" i="19"/>
  <c r="K26" i="19" s="1"/>
  <c r="D31" i="8"/>
  <c r="D30" i="8"/>
  <c r="I23" i="8"/>
  <c r="D29" i="8"/>
  <c r="D22" i="8"/>
  <c r="D18" i="19"/>
  <c r="O7" i="8"/>
  <c r="K14" i="19" s="1"/>
  <c r="K18" i="19"/>
  <c r="K21" i="19" s="1"/>
  <c r="P4" i="8"/>
  <c r="P11" i="8"/>
  <c r="P12" i="8"/>
  <c r="P13" i="8"/>
  <c r="N7" i="8"/>
  <c r="K13" i="19" s="1"/>
  <c r="K16" i="19" s="1"/>
  <c r="I5" i="8"/>
  <c r="I7" i="8"/>
  <c r="K9" i="19" s="1"/>
  <c r="K11" i="19" s="1"/>
  <c r="J12" i="8"/>
  <c r="J4" i="8"/>
  <c r="J13" i="8"/>
  <c r="J11" i="8"/>
  <c r="C7" i="8"/>
  <c r="K4" i="19" s="1"/>
  <c r="J7" i="8"/>
  <c r="B5" i="8"/>
  <c r="D3" i="19" s="1"/>
  <c r="K36" i="19" l="1"/>
  <c r="D42" i="8"/>
  <c r="S13" i="9"/>
  <c r="B4" i="8"/>
  <c r="B6" i="8"/>
  <c r="B13" i="8"/>
  <c r="F19" i="19"/>
  <c r="J19" i="19" s="1"/>
  <c r="M19" i="19" s="1"/>
  <c r="D6" i="8"/>
  <c r="E3" i="19"/>
  <c r="E6" i="19" s="1"/>
  <c r="C45" i="8"/>
  <c r="C51" i="8" s="1"/>
  <c r="C52" i="8" s="1"/>
  <c r="D34" i="19"/>
  <c r="F34" i="19" s="1"/>
  <c r="J34" i="19" s="1"/>
  <c r="M34" i="19" s="1"/>
  <c r="D36" i="19"/>
  <c r="D37" i="19" s="1"/>
  <c r="F33" i="19"/>
  <c r="I27" i="8"/>
  <c r="I33" i="8" s="1"/>
  <c r="I34" i="8" s="1"/>
  <c r="D24" i="19"/>
  <c r="F24" i="19" s="1"/>
  <c r="J24" i="19" s="1"/>
  <c r="M24" i="19" s="1"/>
  <c r="D26" i="19"/>
  <c r="D27" i="19" s="1"/>
  <c r="F23" i="19"/>
  <c r="D21" i="19"/>
  <c r="D22" i="19" s="1"/>
  <c r="F18" i="19"/>
  <c r="I9" i="8"/>
  <c r="I15" i="8" s="1"/>
  <c r="D9" i="19"/>
  <c r="F9" i="19" s="1"/>
  <c r="J9" i="19" s="1"/>
  <c r="M9" i="19" s="1"/>
  <c r="D11" i="19"/>
  <c r="D12" i="19" s="1"/>
  <c r="F8" i="19"/>
  <c r="K6" i="19"/>
  <c r="C9" i="8"/>
  <c r="C15" i="8" s="1"/>
  <c r="D4" i="19"/>
  <c r="F4" i="19" s="1"/>
  <c r="J4" i="19" s="1"/>
  <c r="M4" i="19" s="1"/>
  <c r="D6" i="19"/>
  <c r="F3" i="19"/>
  <c r="O24" i="8"/>
  <c r="O23" i="8"/>
  <c r="I16" i="8"/>
  <c r="C16" i="8"/>
  <c r="P6" i="8"/>
  <c r="O5" i="8"/>
  <c r="D7" i="8"/>
  <c r="D43" i="8"/>
  <c r="B45" i="8"/>
  <c r="D41" i="8"/>
  <c r="E41" i="8" s="1"/>
  <c r="N23" i="8"/>
  <c r="D28" i="19" s="1"/>
  <c r="P25" i="8"/>
  <c r="C27" i="8"/>
  <c r="C33" i="8" s="1"/>
  <c r="C34" i="8" s="1"/>
  <c r="J25" i="8"/>
  <c r="J23" i="8"/>
  <c r="K23" i="8" s="1"/>
  <c r="H27" i="8"/>
  <c r="D25" i="8"/>
  <c r="B27" i="8"/>
  <c r="D23" i="8"/>
  <c r="E23" i="8" s="1"/>
  <c r="N5" i="8"/>
  <c r="D13" i="19" s="1"/>
  <c r="P7" i="8"/>
  <c r="H9" i="8"/>
  <c r="J5" i="8"/>
  <c r="K5" i="8" s="1"/>
  <c r="B9" i="8"/>
  <c r="D5" i="8"/>
  <c r="K39" i="19" l="1"/>
  <c r="C3" i="19"/>
  <c r="C6" i="19" s="1"/>
  <c r="C39" i="19" s="1"/>
  <c r="D4" i="8"/>
  <c r="I40" i="8" s="1"/>
  <c r="B11" i="8"/>
  <c r="B12" i="8"/>
  <c r="I3" i="19"/>
  <c r="I6" i="19" s="1"/>
  <c r="I39" i="19" s="1"/>
  <c r="D13" i="8"/>
  <c r="I49" i="8" s="1"/>
  <c r="P24" i="8"/>
  <c r="I42" i="8" s="1"/>
  <c r="E29" i="19"/>
  <c r="E31" i="19" s="1"/>
  <c r="E39" i="19" s="1"/>
  <c r="F36" i="19"/>
  <c r="J33" i="19"/>
  <c r="O27" i="8"/>
  <c r="O33" i="8" s="1"/>
  <c r="O34" i="8" s="1"/>
  <c r="D29" i="19"/>
  <c r="F29" i="19" s="1"/>
  <c r="J29" i="19" s="1"/>
  <c r="M29" i="19" s="1"/>
  <c r="F28" i="19"/>
  <c r="F26" i="19"/>
  <c r="J23" i="19"/>
  <c r="F21" i="19"/>
  <c r="J18" i="19"/>
  <c r="O9" i="8"/>
  <c r="O15" i="8" s="1"/>
  <c r="O16" i="8" s="1"/>
  <c r="D14" i="19"/>
  <c r="F14" i="19" s="1"/>
  <c r="J14" i="19" s="1"/>
  <c r="M14" i="19" s="1"/>
  <c r="D16" i="19"/>
  <c r="D17" i="19" s="1"/>
  <c r="F13" i="19"/>
  <c r="F11" i="19"/>
  <c r="J8" i="19"/>
  <c r="F6" i="19"/>
  <c r="B51" i="8"/>
  <c r="B52" i="8" s="1"/>
  <c r="D45" i="8"/>
  <c r="P23" i="8"/>
  <c r="Q23" i="8" s="1"/>
  <c r="N27" i="8"/>
  <c r="J27" i="8"/>
  <c r="H33" i="8"/>
  <c r="H34" i="8" s="1"/>
  <c r="I43" i="8"/>
  <c r="B33" i="8"/>
  <c r="B34" i="8" s="1"/>
  <c r="D27" i="8"/>
  <c r="P5" i="8"/>
  <c r="Q5" i="8" s="1"/>
  <c r="N9" i="8"/>
  <c r="H15" i="8"/>
  <c r="H16" i="8" s="1"/>
  <c r="J9" i="8"/>
  <c r="E5" i="8"/>
  <c r="D9" i="8"/>
  <c r="D31" i="19" l="1"/>
  <c r="D32" i="19" s="1"/>
  <c r="B15" i="8"/>
  <c r="B16" i="8" s="1"/>
  <c r="D7" i="19"/>
  <c r="H3" i="19"/>
  <c r="H6" i="19" s="1"/>
  <c r="H39" i="19" s="1"/>
  <c r="D12" i="8"/>
  <c r="I48" i="8" s="1"/>
  <c r="G3" i="19"/>
  <c r="D11" i="8"/>
  <c r="I47" i="8" s="1"/>
  <c r="J36" i="19"/>
  <c r="M33" i="19"/>
  <c r="M36" i="19" s="1"/>
  <c r="F31" i="19"/>
  <c r="J28" i="19"/>
  <c r="J26" i="19"/>
  <c r="M23" i="19"/>
  <c r="M26" i="19" s="1"/>
  <c r="J21" i="19"/>
  <c r="M18" i="19"/>
  <c r="M21" i="19" s="1"/>
  <c r="F16" i="19"/>
  <c r="J13" i="19"/>
  <c r="J11" i="19"/>
  <c r="M8" i="19"/>
  <c r="M11" i="19" s="1"/>
  <c r="I41" i="8"/>
  <c r="J41" i="8" s="1"/>
  <c r="D51" i="8"/>
  <c r="D52" i="8"/>
  <c r="N33" i="8"/>
  <c r="N34" i="8" s="1"/>
  <c r="P27" i="8"/>
  <c r="J33" i="8"/>
  <c r="J34" i="8"/>
  <c r="D33" i="8"/>
  <c r="D34" i="8"/>
  <c r="N15" i="8"/>
  <c r="N16" i="8" s="1"/>
  <c r="P9" i="8"/>
  <c r="J15" i="8"/>
  <c r="J16" i="8"/>
  <c r="D15" i="8"/>
  <c r="D16" i="8"/>
  <c r="D39" i="19" l="1"/>
  <c r="D40" i="19" s="1"/>
  <c r="F39" i="19"/>
  <c r="G6" i="19"/>
  <c r="G39" i="19" s="1"/>
  <c r="J3" i="19"/>
  <c r="J31" i="19"/>
  <c r="M28" i="19"/>
  <c r="M31" i="19" s="1"/>
  <c r="J16" i="19"/>
  <c r="M13" i="19"/>
  <c r="M16" i="19" s="1"/>
  <c r="I45" i="8"/>
  <c r="P33" i="8"/>
  <c r="P34" i="8"/>
  <c r="P15" i="8"/>
  <c r="P16" i="8"/>
  <c r="I51" i="8" l="1"/>
  <c r="J6" i="19"/>
  <c r="J39" i="19" s="1"/>
  <c r="M3" i="19"/>
  <c r="M6" i="19" s="1"/>
  <c r="I52" i="8"/>
  <c r="S16" i="19" l="1"/>
  <c r="S26" i="19" s="1"/>
  <c r="M39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<sst xmlns="http://schemas.openxmlformats.org/spreadsheetml/2006/main" count="1641" uniqueCount="194">
  <si>
    <t xml:space="preserve">Date </t>
  </si>
  <si>
    <t>5/20</t>
  </si>
  <si>
    <t xml:space="preserve">Shift </t>
  </si>
  <si>
    <t>AM</t>
  </si>
  <si>
    <t>Car</t>
  </si>
  <si>
    <t>Driver</t>
  </si>
  <si>
    <t>Book</t>
  </si>
  <si>
    <t>Comm </t>
  </si>
  <si>
    <t>Radio</t>
  </si>
  <si>
    <t>NYC CF</t>
  </si>
  <si>
    <t>PA Fee</t>
  </si>
  <si>
    <t>CC</t>
  </si>
  <si>
    <t>DB</t>
  </si>
  <si>
    <t>Misc</t>
  </si>
  <si>
    <t>NTD</t>
  </si>
  <si>
    <t>Cash in/out</t>
  </si>
  <si>
    <t>Driver Short </t>
  </si>
  <si>
    <t>Notes</t>
  </si>
  <si>
    <t>169</t>
  </si>
  <si>
    <t>Tariq 169</t>
  </si>
  <si>
    <t>Total Book</t>
  </si>
  <si>
    <t>155</t>
  </si>
  <si>
    <t>Abed</t>
  </si>
  <si>
    <t>Comp Comm</t>
  </si>
  <si>
    <t>18</t>
  </si>
  <si>
    <t>Ahmed</t>
  </si>
  <si>
    <t>70</t>
  </si>
  <si>
    <t>Alan C</t>
  </si>
  <si>
    <t>96</t>
  </si>
  <si>
    <t>Ali</t>
  </si>
  <si>
    <t>98</t>
  </si>
  <si>
    <t>Benfakha</t>
  </si>
  <si>
    <t>114</t>
  </si>
  <si>
    <t>Ash 114</t>
  </si>
  <si>
    <t>666</t>
  </si>
  <si>
    <t>Giorgi 666</t>
  </si>
  <si>
    <t>119</t>
  </si>
  <si>
    <t>Ather 119</t>
  </si>
  <si>
    <t>Driver Short</t>
  </si>
  <si>
    <t>012</t>
  </si>
  <si>
    <t>Awais</t>
  </si>
  <si>
    <t>05</t>
  </si>
  <si>
    <t>Ayad</t>
  </si>
  <si>
    <t>5/22</t>
  </si>
  <si>
    <t>Cash</t>
  </si>
  <si>
    <t>133</t>
  </si>
  <si>
    <t>Bobby 133</t>
  </si>
  <si>
    <t>7</t>
  </si>
  <si>
    <t>Darir</t>
  </si>
  <si>
    <t>88</t>
  </si>
  <si>
    <t>Elia</t>
  </si>
  <si>
    <t>Esmail</t>
  </si>
  <si>
    <t>c</t>
  </si>
  <si>
    <t>House Cars</t>
  </si>
  <si>
    <t>26</t>
  </si>
  <si>
    <t>Gus</t>
  </si>
  <si>
    <t>Private Cars</t>
  </si>
  <si>
    <t>11</t>
  </si>
  <si>
    <t>Hashem</t>
  </si>
  <si>
    <t>Total</t>
  </si>
  <si>
    <t>27</t>
  </si>
  <si>
    <t>Hassan</t>
  </si>
  <si>
    <t>33</t>
  </si>
  <si>
    <t>Hicham</t>
  </si>
  <si>
    <t>77</t>
  </si>
  <si>
    <t>Howie</t>
  </si>
  <si>
    <t>611</t>
  </si>
  <si>
    <t>Hatem 611</t>
  </si>
  <si>
    <t>Ibrahim</t>
  </si>
  <si>
    <t>Jorge</t>
  </si>
  <si>
    <t>55</t>
  </si>
  <si>
    <t>Karlo</t>
  </si>
  <si>
    <t>Khaled</t>
  </si>
  <si>
    <t>Khodr</t>
  </si>
  <si>
    <t>Kattr</t>
  </si>
  <si>
    <t>255</t>
  </si>
  <si>
    <t>Magdy 255</t>
  </si>
  <si>
    <t>95</t>
  </si>
  <si>
    <t>Kim</t>
  </si>
  <si>
    <t>25</t>
  </si>
  <si>
    <t>Mustapha</t>
  </si>
  <si>
    <t>137</t>
  </si>
  <si>
    <t>Ossama 137</t>
  </si>
  <si>
    <t>Rabah</t>
  </si>
  <si>
    <t>Rachid</t>
  </si>
  <si>
    <t>132</t>
  </si>
  <si>
    <t>Samir 132</t>
  </si>
  <si>
    <t>80</t>
  </si>
  <si>
    <t>Shahin</t>
  </si>
  <si>
    <t>Spike</t>
  </si>
  <si>
    <t>193</t>
  </si>
  <si>
    <t>Tamer 193</t>
  </si>
  <si>
    <t>191</t>
  </si>
  <si>
    <t>Wade 191</t>
  </si>
  <si>
    <t>500</t>
  </si>
  <si>
    <t>Khalifa 500</t>
  </si>
  <si>
    <t>99</t>
  </si>
  <si>
    <t>Willy</t>
  </si>
  <si>
    <t>Yakot</t>
  </si>
  <si>
    <t>622</t>
  </si>
  <si>
    <t>Joseph 622</t>
  </si>
  <si>
    <t>15</t>
  </si>
  <si>
    <t>Yousef</t>
  </si>
  <si>
    <t>44</t>
  </si>
  <si>
    <t>Zaher</t>
  </si>
  <si>
    <t>PM</t>
  </si>
  <si>
    <t>138</t>
  </si>
  <si>
    <t>Akram 138</t>
  </si>
  <si>
    <t>Alex</t>
  </si>
  <si>
    <t>Ash PM</t>
  </si>
  <si>
    <t>210</t>
  </si>
  <si>
    <t>Boumadian</t>
  </si>
  <si>
    <t>Cherif</t>
  </si>
  <si>
    <t>Cono</t>
  </si>
  <si>
    <t>Hamdy</t>
  </si>
  <si>
    <t>Hegazy</t>
  </si>
  <si>
    <t>Hosari</t>
  </si>
  <si>
    <t>Ihab</t>
  </si>
  <si>
    <t>Jalal</t>
  </si>
  <si>
    <t>120</t>
  </si>
  <si>
    <t>Johnny 120</t>
  </si>
  <si>
    <t>644</t>
  </si>
  <si>
    <t>Muhiddin 644</t>
  </si>
  <si>
    <t>02</t>
  </si>
  <si>
    <t>Maroc</t>
  </si>
  <si>
    <t>642</t>
  </si>
  <si>
    <t>Majid 642</t>
  </si>
  <si>
    <t>Mourad</t>
  </si>
  <si>
    <t>06</t>
  </si>
  <si>
    <t>Peter</t>
  </si>
  <si>
    <t>314</t>
  </si>
  <si>
    <t>Ramadan 314</t>
  </si>
  <si>
    <t>Rushdi</t>
  </si>
  <si>
    <t>Salem</t>
  </si>
  <si>
    <t>320</t>
  </si>
  <si>
    <t>Sewilam 320</t>
  </si>
  <si>
    <t>Soufiane</t>
  </si>
  <si>
    <t>Tanios</t>
  </si>
  <si>
    <t>01</t>
  </si>
  <si>
    <t>Zaki</t>
  </si>
  <si>
    <t>Alvis</t>
  </si>
  <si>
    <t>C</t>
  </si>
  <si>
    <t>263</t>
  </si>
  <si>
    <t>Tarek 263</t>
  </si>
  <si>
    <t xml:space="preserve"> </t>
  </si>
  <si>
    <t>5/24</t>
  </si>
  <si>
    <t>5/21</t>
  </si>
  <si>
    <t>633</t>
  </si>
  <si>
    <t>Salman 633</t>
  </si>
  <si>
    <t>581</t>
  </si>
  <si>
    <t>Samer 581</t>
  </si>
  <si>
    <t>Tarek</t>
  </si>
  <si>
    <t>5/23</t>
  </si>
  <si>
    <t>Ash2</t>
  </si>
  <si>
    <t>Hmed</t>
  </si>
  <si>
    <t>Ather</t>
  </si>
  <si>
    <t>Bobby</t>
  </si>
  <si>
    <t>Rahmoun</t>
  </si>
  <si>
    <t>Akram</t>
  </si>
  <si>
    <t>Johnny</t>
  </si>
  <si>
    <t>Muhiddin</t>
  </si>
  <si>
    <t>Ossama</t>
  </si>
  <si>
    <t>Wade</t>
  </si>
  <si>
    <t>Joseph</t>
  </si>
  <si>
    <t>235</t>
  </si>
  <si>
    <t>Mahmoud</t>
  </si>
  <si>
    <t>Curtis</t>
  </si>
  <si>
    <t># Trips</t>
  </si>
  <si>
    <t>Gross Book</t>
  </si>
  <si>
    <t>Gross Profit</t>
  </si>
  <si>
    <t>Credit Card</t>
  </si>
  <si>
    <t>Direct Bill</t>
  </si>
  <si>
    <t>Net Cash</t>
  </si>
  <si>
    <t>Total Cash</t>
  </si>
  <si>
    <t>NYC GF</t>
  </si>
  <si>
    <t>Weekly Summary</t>
  </si>
  <si>
    <t>   Includes NYC CF </t>
  </si>
  <si>
    <t>`</t>
  </si>
  <si>
    <t>DATE</t>
  </si>
  <si>
    <t>SHIFT</t>
  </si>
  <si>
    <t>GROSS</t>
  </si>
  <si>
    <t>COMM</t>
  </si>
  <si>
    <t>RADIO</t>
  </si>
  <si>
    <t>TOTAL</t>
  </si>
  <si>
    <t>MISC</t>
  </si>
  <si>
    <t>CASH</t>
  </si>
  <si>
    <t>PA FEE</t>
  </si>
  <si>
    <t>TOTAL CASH</t>
  </si>
  <si>
    <t># CARS</t>
  </si>
  <si>
    <t>House</t>
  </si>
  <si>
    <t>Private</t>
  </si>
  <si>
    <t xml:space="preserve">  </t>
  </si>
  <si>
    <t>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</si>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</sst>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m/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4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8" xfId="0" applyNumberFormat="1" applyBorder="1"/>
    <xf numFmtId="44" fontId="0" fillId="0" borderId="10" xfId="0" applyNumberFormat="1" applyBorder="1"/>
    <xf numFmtId="44" fontId="0" fillId="0" borderId="12" xfId="0" applyNumberFormat="1" applyBorder="1"/>
    <xf numFmtId="0" fontId="1" fillId="0" borderId="7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0" xfId="0" applyFont="1"/>
    <xf numFmtId="0" fontId="1" fillId="0" borderId="1" xfId="0" applyFont="1" applyBorder="1"/>
    <xf numFmtId="164" fontId="1" fillId="0" borderId="3" xfId="0" applyNumberFormat="1" applyFont="1" applyBorder="1"/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49" fontId="1" fillId="0" borderId="2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4" fontId="0" fillId="2" borderId="5" xfId="0" applyNumberFormat="1" applyFill="1" applyBorder="1" applyAlignment="1">
      <alignment horizontal="center"/>
    </xf>
    <xf numFmtId="44" fontId="2" fillId="2" borderId="0" xfId="0" applyNumberFormat="1" applyFont="1" applyFill="1"/>
    <xf numFmtId="44" fontId="0" fillId="3" borderId="5" xfId="0" applyNumberFormat="1" applyFill="1" applyBorder="1" applyAlignment="1">
      <alignment horizontal="center"/>
    </xf>
    <xf numFmtId="44" fontId="0" fillId="3" borderId="4" xfId="0" applyNumberFormat="1" applyFill="1" applyBorder="1" applyAlignment="1">
      <alignment horizontal="center"/>
    </xf>
    <xf numFmtId="44" fontId="0" fillId="3" borderId="4" xfId="0" applyNumberFormat="1" applyFill="1" applyBorder="1"/>
    <xf numFmtId="0" fontId="3" fillId="2" borderId="0" xfId="0" applyFont="1" applyFill="1"/>
    <xf numFmtId="0" fontId="0" fillId="2" borderId="0" xfId="0" applyFill="1"/>
    <xf numFmtId="44" fontId="0" fillId="0" borderId="0" xfId="0" applyNumberFormat="1" applyAlignment="1">
      <alignment horizontal="center"/>
    </xf>
    <xf numFmtId="0" fontId="1" fillId="0" borderId="15" xfId="0" applyFont="1" applyBorder="1" applyAlignment="1">
      <alignment horizontal="center"/>
    </xf>
    <xf numFmtId="16" fontId="1" fillId="0" borderId="17" xfId="0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/>
    </xf>
    <xf numFmtId="44" fontId="0" fillId="0" borderId="17" xfId="0" applyNumberForma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44" fontId="3" fillId="0" borderId="4" xfId="0" applyNumberFormat="1" applyFont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44" fontId="0" fillId="2" borderId="19" xfId="0" applyNumberFormat="1" applyFill="1" applyBorder="1" applyAlignment="1">
      <alignment horizontal="center"/>
    </xf>
    <xf numFmtId="44" fontId="0" fillId="2" borderId="12" xfId="0" applyNumberFormat="1" applyFill="1" applyBorder="1" applyAlignment="1">
      <alignment horizontal="center"/>
    </xf>
    <xf numFmtId="44" fontId="0" fillId="2" borderId="17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44" fontId="4" fillId="0" borderId="17" xfId="0" applyNumberFormat="1" applyFont="1" applyBorder="1" applyAlignment="1">
      <alignment horizontal="center"/>
    </xf>
    <xf numFmtId="44" fontId="4" fillId="0" borderId="4" xfId="0" applyNumberFormat="1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44" fontId="0" fillId="0" borderId="16" xfId="0" applyNumberFormat="1" applyBorder="1" applyAlignment="1">
      <alignment horizontal="center"/>
    </xf>
    <xf numFmtId="44" fontId="0" fillId="2" borderId="8" xfId="0" applyNumberFormat="1" applyFill="1" applyBorder="1" applyAlignment="1">
      <alignment horizontal="center"/>
    </xf>
    <xf numFmtId="44" fontId="0" fillId="0" borderId="19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0" xfId="0" applyFont="1" applyBorder="1" applyAlignment="1">
      <alignment horizontal="center"/>
    </xf>
    <xf numFmtId="44" fontId="0" fillId="2" borderId="17" xfId="0" applyNumberFormat="1" applyFill="1" applyBorder="1"/>
    <xf numFmtId="0" fontId="0" fillId="0" borderId="17" xfId="0" applyBorder="1"/>
    <xf numFmtId="0" fontId="5" fillId="0" borderId="17" xfId="0" applyFont="1" applyBorder="1"/>
    <xf numFmtId="0" fontId="1" fillId="0" borderId="27" xfId="0" applyFont="1" applyBorder="1" applyAlignment="1">
      <alignment horizontal="left"/>
    </xf>
    <xf numFmtId="44" fontId="3" fillId="0" borderId="28" xfId="0" applyNumberFormat="1" applyFont="1" applyBorder="1" applyAlignment="1">
      <alignment horizontal="center"/>
    </xf>
    <xf numFmtId="0" fontId="1" fillId="0" borderId="29" xfId="0" applyFont="1" applyBorder="1" applyAlignment="1">
      <alignment horizontal="left"/>
    </xf>
    <xf numFmtId="44" fontId="3" fillId="0" borderId="30" xfId="0" applyNumberFormat="1" applyFont="1" applyBorder="1" applyAlignment="1">
      <alignment horizontal="center"/>
    </xf>
    <xf numFmtId="0" fontId="1" fillId="2" borderId="31" xfId="0" applyFont="1" applyFill="1" applyBorder="1" applyAlignment="1">
      <alignment horizontal="left"/>
    </xf>
    <xf numFmtId="44" fontId="3" fillId="0" borderId="32" xfId="0" applyNumberFormat="1" applyFont="1" applyBorder="1" applyAlignment="1">
      <alignment horizontal="center"/>
    </xf>
    <xf numFmtId="0" fontId="1" fillId="0" borderId="31" xfId="0" applyFont="1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44" fontId="0" fillId="2" borderId="0" xfId="0" applyNumberFormat="1" applyFill="1" applyAlignment="1">
      <alignment horizontal="center"/>
    </xf>
    <xf numFmtId="44" fontId="4" fillId="0" borderId="0" xfId="0" applyNumberFormat="1" applyFont="1" applyAlignment="1">
      <alignment horizontal="center"/>
    </xf>
    <xf numFmtId="44" fontId="4" fillId="2" borderId="0" xfId="0" applyNumberFormat="1" applyFont="1" applyFill="1" applyAlignment="1">
      <alignment horizontal="left" vertical="center"/>
    </xf>
    <xf numFmtId="0" fontId="5" fillId="0" borderId="24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44" fontId="3" fillId="0" borderId="16" xfId="0" applyNumberFormat="1" applyFont="1" applyBorder="1" applyAlignment="1">
      <alignment horizontal="center"/>
    </xf>
    <xf numFmtId="44" fontId="0" fillId="0" borderId="8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44" fontId="4" fillId="0" borderId="40" xfId="0" applyNumberFormat="1" applyFont="1" applyBorder="1" applyAlignment="1">
      <alignment horizontal="center"/>
    </xf>
    <xf numFmtId="44" fontId="4" fillId="0" borderId="36" xfId="0" applyNumberFormat="1" applyFont="1" applyBorder="1" applyAlignment="1">
      <alignment horizontal="center"/>
    </xf>
    <xf numFmtId="44" fontId="4" fillId="0" borderId="3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42" xfId="0" applyNumberFormat="1" applyFont="1" applyBorder="1" applyAlignment="1">
      <alignment horizontal="center"/>
    </xf>
    <xf numFmtId="0" fontId="1" fillId="0" borderId="43" xfId="0" applyFont="1" applyBorder="1" applyAlignment="1">
      <alignment horizontal="left"/>
    </xf>
    <xf numFmtId="44" fontId="4" fillId="0" borderId="44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165" fontId="0" fillId="0" borderId="1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0" xfId="0" applyFont="1" applyFill="1" applyAlignment="1">
      <alignment horizontal="center"/>
    </xf>
    <xf numFmtId="44" fontId="0" fillId="0" borderId="10" xfId="0" applyNumberFormat="1" applyBorder="1" applyAlignment="1">
      <alignment horizontal="center"/>
    </xf>
    <xf numFmtId="44" fontId="0" fillId="0" borderId="12" xfId="0" applyNumberFormat="1" applyBorder="1" applyAlignment="1">
      <alignment horizontal="center"/>
    </xf>
    <xf numFmtId="44" fontId="1" fillId="0" borderId="2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16" fontId="0" fillId="0" borderId="0" xfId="0" applyNumberFormat="1"/>
    <xf numFmtId="49" fontId="0" fillId="0" borderId="0" xfId="0" applyNumberFormat="1"/>
    <xf numFmtId="14" fontId="0" fillId="0" borderId="0" xfId="0" applyNumberFormat="1"/>
    <xf numFmtId="166" fontId="1" fillId="0" borderId="13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4" fontId="1" fillId="0" borderId="45" xfId="0" applyNumberFormat="1" applyFont="1" applyBorder="1" applyAlignment="1">
      <alignment horizontal="center" vertical="center"/>
    </xf>
    <xf numFmtId="44" fontId="1" fillId="0" borderId="46" xfId="0" applyNumberFormat="1" applyFont="1" applyBorder="1" applyAlignment="1">
      <alignment horizontal="center"/>
    </xf>
    <xf numFmtId="44" fontId="1" fillId="0" borderId="47" xfId="0" applyNumberFormat="1" applyFont="1" applyBorder="1" applyAlignment="1">
      <alignment horizontal="center"/>
    </xf>
    <xf numFmtId="44" fontId="1" fillId="0" borderId="48" xfId="0" applyNumberFormat="1" applyFont="1" applyBorder="1" applyAlignment="1">
      <alignment horizontal="center"/>
    </xf>
    <xf numFmtId="44" fontId="0" fillId="4" borderId="1" xfId="0" applyNumberFormat="1" applyFill="1" applyBorder="1" applyAlignment="1">
      <alignment horizontal="center" vertical="center"/>
    </xf>
    <xf numFmtId="44" fontId="0" fillId="4" borderId="2" xfId="0" applyNumberFormat="1" applyFill="1" applyBorder="1" applyAlignment="1">
      <alignment horizontal="center"/>
    </xf>
    <xf numFmtId="44" fontId="0" fillId="4" borderId="2" xfId="0" applyNumberFormat="1" applyFill="1" applyBorder="1"/>
    <xf numFmtId="44" fontId="0" fillId="4" borderId="3" xfId="0" applyNumberFormat="1" applyFill="1" applyBorder="1"/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166" fontId="1" fillId="0" borderId="53" xfId="0" applyNumberFormat="1" applyFont="1" applyBorder="1" applyAlignment="1">
      <alignment horizontal="center" vertical="center"/>
    </xf>
    <xf numFmtId="44" fontId="1" fillId="0" borderId="54" xfId="0" applyNumberFormat="1" applyFont="1" applyBorder="1" applyAlignment="1">
      <alignment horizontal="center"/>
    </xf>
    <xf numFmtId="44" fontId="0" fillId="0" borderId="55" xfId="0" applyNumberFormat="1" applyBorder="1"/>
    <xf numFmtId="44" fontId="0" fillId="5" borderId="54" xfId="0" applyNumberFormat="1" applyFill="1" applyBorder="1"/>
    <xf numFmtId="44" fontId="0" fillId="0" borderId="54" xfId="0" applyNumberFormat="1" applyBorder="1"/>
    <xf numFmtId="44" fontId="0" fillId="0" borderId="56" xfId="0" applyNumberFormat="1" applyBorder="1"/>
    <xf numFmtId="44" fontId="0" fillId="5" borderId="57" xfId="0" applyNumberFormat="1" applyFill="1" applyBorder="1"/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166" fontId="1" fillId="0" borderId="58" xfId="0" applyNumberFormat="1" applyFont="1" applyBorder="1" applyAlignment="1">
      <alignment horizontal="center" vertical="center"/>
    </xf>
    <xf numFmtId="44" fontId="1" fillId="0" borderId="59" xfId="0" applyNumberFormat="1" applyFont="1" applyBorder="1" applyAlignment="1">
      <alignment horizontal="center"/>
    </xf>
    <xf numFmtId="44" fontId="0" fillId="0" borderId="59" xfId="0" applyNumberFormat="1" applyBorder="1"/>
    <xf numFmtId="44" fontId="0" fillId="5" borderId="59" xfId="0" applyNumberFormat="1" applyFill="1" applyBorder="1"/>
    <xf numFmtId="44" fontId="0" fillId="0" borderId="60" xfId="0" applyNumberFormat="1" applyBorder="1"/>
    <xf numFmtId="0" fontId="0" fillId="0" borderId="61" xfId="0" applyBorder="1" applyAlignment="1">
      <alignment horizontal="center"/>
    </xf>
    <xf numFmtId="0" fontId="0" fillId="0" borderId="52" xfId="0" applyBorder="1" applyAlignment="1">
      <alignment horizontal="center"/>
    </xf>
    <xf numFmtId="44" fontId="1" fillId="0" borderId="62" xfId="0" applyNumberFormat="1" applyFont="1" applyBorder="1" applyAlignment="1">
      <alignment horizontal="center" vertical="center"/>
    </xf>
    <xf numFmtId="44" fontId="0" fillId="0" borderId="63" xfId="0" applyNumberFormat="1" applyBorder="1"/>
    <xf numFmtId="0" fontId="0" fillId="0" borderId="63" xfId="0" applyBorder="1" applyAlignment="1">
      <alignment horizontal="center"/>
    </xf>
    <xf numFmtId="44" fontId="1" fillId="0" borderId="64" xfId="0" applyNumberFormat="1" applyFont="1" applyBorder="1" applyAlignment="1">
      <alignment horizontal="center" vertical="center"/>
    </xf>
    <xf numFmtId="44" fontId="1" fillId="0" borderId="65" xfId="0" applyNumberFormat="1" applyFont="1" applyBorder="1" applyAlignment="1">
      <alignment horizontal="center"/>
    </xf>
    <xf numFmtId="44" fontId="0" fillId="0" borderId="65" xfId="0" applyNumberFormat="1" applyBorder="1"/>
    <xf numFmtId="44" fontId="0" fillId="0" borderId="66" xfId="0" applyNumberFormat="1" applyBorder="1"/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44" fontId="1" fillId="4" borderId="1" xfId="0" applyNumberFormat="1" applyFont="1" applyFill="1" applyBorder="1" applyAlignment="1">
      <alignment horizontal="center" vertical="center"/>
    </xf>
    <xf numFmtId="44" fontId="1" fillId="4" borderId="2" xfId="0" applyNumberFormat="1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71" xfId="0" applyBorder="1"/>
    <xf numFmtId="0" fontId="0" fillId="0" borderId="72" xfId="0" applyBorder="1"/>
    <xf numFmtId="0" fontId="0" fillId="0" borderId="62" xfId="0" applyBorder="1"/>
    <xf numFmtId="0" fontId="0" fillId="0" borderId="63" xfId="0" applyBorder="1"/>
    <xf numFmtId="44" fontId="7" fillId="0" borderId="54" xfId="0" applyNumberFormat="1" applyFont="1" applyBorder="1"/>
    <xf numFmtId="0" fontId="0" fillId="0" borderId="64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73" xfId="0" applyBorder="1"/>
    <xf numFmtId="44" fontId="0" fillId="0" borderId="74" xfId="0" applyNumberFormat="1" applyBorder="1"/>
    <xf numFmtId="44" fontId="1" fillId="0" borderId="75" xfId="0" applyNumberFormat="1" applyFont="1" applyBorder="1" applyAlignment="1">
      <alignment horizontal="center" vertical="center"/>
    </xf>
    <xf numFmtId="44" fontId="1" fillId="0" borderId="76" xfId="0" applyNumberFormat="1" applyFont="1" applyBorder="1" applyAlignment="1">
      <alignment horizontal="center"/>
    </xf>
    <xf numFmtId="44" fontId="1" fillId="0" borderId="76" xfId="0" applyNumberFormat="1" applyFont="1" applyBorder="1"/>
    <xf numFmtId="44" fontId="1" fillId="0" borderId="77" xfId="0" applyNumberFormat="1" applyFont="1" applyBorder="1"/>
    <xf numFmtId="165" fontId="1" fillId="4" borderId="0" xfId="0" applyNumberFormat="1" applyFont="1" applyFill="1" applyAlignment="1">
      <alignment horizontal="center"/>
    </xf>
    <xf numFmtId="44" fontId="8" fillId="0" borderId="0" xfId="0" quotePrefix="1" applyNumberFormat="1" applyFont="1"/>
    <xf numFmtId="0" fontId="2" fillId="0" borderId="0" xfId="0" applyFont="1"/>
    <xf numFmtId="0" fontId="9" fillId="0" borderId="0" xfId="0" applyFont="1" applyAlignment="1">
      <alignment horizontal="center"/>
    </xf>
    <xf numFmtId="44" fontId="0" fillId="2" borderId="38" xfId="0" applyNumberFormat="1" applyFill="1" applyBorder="1" applyAlignment="1">
      <alignment horizontal="center"/>
    </xf>
    <xf numFmtId="44" fontId="0" fillId="2" borderId="38" xfId="0" quotePrefix="1" applyNumberFormat="1" applyFill="1" applyBorder="1" applyAlignment="1">
      <alignment horizontal="center"/>
    </xf>
    <xf numFmtId="44" fontId="0" fillId="0" borderId="38" xfId="0" applyNumberFormat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4" xfId="0" quotePrefix="1" applyNumberFormat="1" applyFill="1" applyBorder="1" applyAlignment="1">
      <alignment horizontal="center"/>
    </xf>
    <xf numFmtId="49" fontId="1" fillId="0" borderId="0" xfId="0" applyNumberFormat="1" applyFont="1"/>
    <xf numFmtId="0" fontId="0" fillId="0" borderId="71" xfId="0" applyBorder="1" applyAlignment="1">
      <alignment horizontal="center"/>
    </xf>
    <xf numFmtId="0" fontId="0" fillId="0" borderId="73" xfId="0" applyBorder="1" applyAlignment="1">
      <alignment horizontal="center"/>
    </xf>
    <xf numFmtId="44" fontId="0" fillId="0" borderId="73" xfId="0" applyNumberFormat="1" applyBorder="1" applyAlignment="1">
      <alignment horizontal="center"/>
    </xf>
    <xf numFmtId="44" fontId="0" fillId="0" borderId="72" xfId="0" applyNumberFormat="1" applyBorder="1" applyAlignment="1">
      <alignment horizontal="center"/>
    </xf>
    <xf numFmtId="0" fontId="0" fillId="0" borderId="62" xfId="0" applyBorder="1" applyAlignment="1">
      <alignment horizontal="center"/>
    </xf>
    <xf numFmtId="44" fontId="0" fillId="0" borderId="63" xfId="0" applyNumberFormat="1" applyBorder="1" applyAlignment="1">
      <alignment horizontal="center"/>
    </xf>
    <xf numFmtId="0" fontId="0" fillId="0" borderId="78" xfId="0" applyBorder="1" applyAlignment="1">
      <alignment horizontal="center"/>
    </xf>
    <xf numFmtId="44" fontId="0" fillId="0" borderId="67" xfId="0" applyNumberFormat="1" applyBorder="1" applyAlignment="1">
      <alignment horizontal="center"/>
    </xf>
    <xf numFmtId="44" fontId="0" fillId="0" borderId="68" xfId="0" applyNumberFormat="1" applyBorder="1" applyAlignment="1">
      <alignment horizontal="center"/>
    </xf>
    <xf numFmtId="44" fontId="1" fillId="0" borderId="81" xfId="0" applyNumberFormat="1" applyFont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17" xfId="0" applyFont="1" applyBorder="1" applyAlignment="1">
      <alignment horizontal="left"/>
    </xf>
    <xf numFmtId="44" fontId="5" fillId="0" borderId="0" xfId="0" applyNumberFormat="1" applyFont="1" applyAlignment="1">
      <alignment horizontal="left"/>
    </xf>
    <xf numFmtId="44" fontId="5" fillId="0" borderId="17" xfId="0" applyNumberFormat="1" applyFont="1" applyBorder="1" applyAlignment="1">
      <alignment horizontal="left"/>
    </xf>
    <xf numFmtId="166" fontId="1" fillId="0" borderId="7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" fontId="1" fillId="0" borderId="22" xfId="0" applyNumberFormat="1" applyFont="1" applyBorder="1" applyAlignment="1">
      <alignment horizontal="center"/>
    </xf>
    <xf numFmtId="16" fontId="1" fillId="0" borderId="23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1" fillId="0" borderId="80" xfId="0" applyFont="1" applyBorder="1" applyAlignment="1">
      <alignment horizontal="center"/>
    </xf>
  </cellXfs>
  <cellStyles count="1">
    <cellStyle name="Normal" xfId="0" builtinId="0"/>
  </cellStyles>
  <dxfs count="32"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527E30-4BFA-47F9-A5FF-A4B9CD1DA732}">
  <we:reference id="wa104381026" version="1.2.0.0" store="en-US" storeType="omex"/>
  <we:alternateReferences>
    <we:reference id="wa104381026" version="1.2.0.0" store="en-US" storeType="omex"/>
  </we:alternateReferences>
  <we:properties>
    <we:property name="insertIntoSheet" value="&quot;Mon AM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3"/>
  <sheetViews>
    <sheetView showGridLines="0" workbookViewId="0">
      <selection activeCell="O15" sqref="O15"/>
    </sheetView>
  </sheetViews>
  <sheetFormatPr defaultRowHeight="15"/>
  <cols>
    <col min="1" max="1" width="4.85546875" style="1" customWidth="1"/>
    <col min="2" max="2" width="12.140625" style="26" customWidth="1"/>
    <col min="3" max="3" width="15.7109375" style="1" bestFit="1" customWidth="1"/>
    <col min="4" max="7" width="12.140625" customWidth="1"/>
    <col min="8" max="8" width="12.140625" style="22" customWidth="1"/>
    <col min="9" max="13" width="12.140625" customWidth="1"/>
    <col min="14" max="14" width="13.140625" customWidth="1"/>
    <col min="15" max="15" width="14" customWidth="1"/>
    <col min="16" max="17" width="6" style="1" customWidth="1"/>
    <col min="18" max="18" width="12.42578125" bestFit="1" customWidth="1"/>
    <col min="19" max="19" width="10.85546875" customWidth="1"/>
  </cols>
  <sheetData>
    <row r="1" spans="1:22">
      <c r="A1" s="4" t="s">
        <v>0</v>
      </c>
      <c r="B1" s="28" t="s">
        <v>1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>
        <v>233</v>
      </c>
      <c r="E4" s="11">
        <f t="shared" ref="E4:E47" si="0">IF(AND(VALUE(B4)&lt;100, D4&gt;0),D4*0.5,D4*0.25)</f>
        <v>58.25</v>
      </c>
      <c r="F4" s="11">
        <f t="shared" ref="F4:F47" si="1">IF(P4="C",Q4,IF(AND(VALUE(B4)&lt;100, D4&gt;0),12,IF(D4&gt;0,2,0)))</f>
        <v>2</v>
      </c>
      <c r="G4" s="11">
        <v>5.5</v>
      </c>
      <c r="H4" s="11">
        <v>0</v>
      </c>
      <c r="I4" s="32">
        <v>149.38</v>
      </c>
      <c r="J4" s="32">
        <v>0</v>
      </c>
      <c r="K4" s="32">
        <v>0</v>
      </c>
      <c r="L4" s="30">
        <f t="shared" ref="L4:L47" si="2">(E4+F4+G4+H4)-I4-J4-K4</f>
        <v>-83.63</v>
      </c>
      <c r="M4" s="30">
        <v>-84</v>
      </c>
      <c r="N4" s="173"/>
      <c r="O4" s="176"/>
      <c r="P4" s="27"/>
      <c r="Q4" s="27"/>
      <c r="R4" s="15" t="s">
        <v>20</v>
      </c>
      <c r="S4" s="12">
        <f>D48</f>
        <v>6123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2771.25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252</v>
      </c>
      <c r="U6" s="22"/>
    </row>
    <row r="7" spans="1:22">
      <c r="A7" s="9"/>
      <c r="B7" s="25" t="s">
        <v>26</v>
      </c>
      <c r="C7" s="10" t="s">
        <v>27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>
        <v>6</v>
      </c>
      <c r="R7" s="16" t="s">
        <v>9</v>
      </c>
      <c r="S7" s="13">
        <f>G48</f>
        <v>66</v>
      </c>
      <c r="U7" s="22"/>
    </row>
    <row r="8" spans="1:22">
      <c r="A8" s="9"/>
      <c r="B8" s="25" t="s">
        <v>28</v>
      </c>
      <c r="C8" s="10" t="s">
        <v>29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70</v>
      </c>
      <c r="U8" s="22"/>
    </row>
    <row r="9" spans="1:22">
      <c r="A9" s="9"/>
      <c r="B9" s="25" t="s">
        <v>30</v>
      </c>
      <c r="C9" s="10" t="s">
        <v>31</v>
      </c>
      <c r="D9" s="7">
        <v>245</v>
      </c>
      <c r="E9" s="11">
        <f t="shared" si="0"/>
        <v>122.5</v>
      </c>
      <c r="F9" s="11">
        <f t="shared" si="1"/>
        <v>12</v>
      </c>
      <c r="G9" s="11">
        <v>5.5</v>
      </c>
      <c r="H9" s="11">
        <v>2.5</v>
      </c>
      <c r="I9" s="33">
        <v>106</v>
      </c>
      <c r="J9" s="33">
        <v>11.5</v>
      </c>
      <c r="K9" s="33">
        <v>0</v>
      </c>
      <c r="L9" s="30">
        <f t="shared" si="2"/>
        <v>25</v>
      </c>
      <c r="M9" s="30">
        <v>25</v>
      </c>
      <c r="N9" s="173"/>
      <c r="O9" s="92"/>
      <c r="P9" s="27"/>
      <c r="Q9" s="27"/>
      <c r="R9" s="16" t="s">
        <v>11</v>
      </c>
      <c r="S9" s="13">
        <f>I48</f>
        <v>2473.0000000000005</v>
      </c>
      <c r="U9" s="22"/>
    </row>
    <row r="10" spans="1:22">
      <c r="A10" s="9"/>
      <c r="B10" s="25" t="s">
        <v>32</v>
      </c>
      <c r="C10" s="10" t="s">
        <v>33</v>
      </c>
      <c r="D10" s="7">
        <v>153</v>
      </c>
      <c r="E10" s="11">
        <f t="shared" si="0"/>
        <v>38.25</v>
      </c>
      <c r="F10" s="11">
        <f t="shared" si="1"/>
        <v>2</v>
      </c>
      <c r="G10" s="11">
        <v>0</v>
      </c>
      <c r="H10" s="11">
        <v>0</v>
      </c>
      <c r="I10" s="33">
        <v>22</v>
      </c>
      <c r="J10" s="33">
        <v>31</v>
      </c>
      <c r="K10" s="33">
        <v>0</v>
      </c>
      <c r="L10" s="30">
        <f t="shared" si="2"/>
        <v>-12.75</v>
      </c>
      <c r="M10" s="30">
        <v>-13</v>
      </c>
      <c r="N10" s="173"/>
      <c r="O10" s="92"/>
      <c r="P10" s="27"/>
      <c r="Q10" s="27"/>
      <c r="R10" s="16" t="s">
        <v>12</v>
      </c>
      <c r="S10" s="13">
        <f>J48</f>
        <v>1095.02</v>
      </c>
      <c r="U10" s="22"/>
    </row>
    <row r="11" spans="1:22">
      <c r="A11" s="9"/>
      <c r="B11" s="25" t="s">
        <v>34</v>
      </c>
      <c r="C11" s="10" t="s">
        <v>35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>
        <v>0</v>
      </c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-5</v>
      </c>
      <c r="U12" s="22"/>
    </row>
    <row r="13" spans="1:22">
      <c r="A13" s="9"/>
      <c r="B13" s="25" t="s">
        <v>39</v>
      </c>
      <c r="C13" s="10" t="s">
        <v>40</v>
      </c>
      <c r="D13" s="7">
        <v>197</v>
      </c>
      <c r="E13" s="11">
        <f t="shared" si="0"/>
        <v>98.5</v>
      </c>
      <c r="F13" s="11">
        <f t="shared" si="1"/>
        <v>12</v>
      </c>
      <c r="G13" s="11">
        <v>5.5</v>
      </c>
      <c r="H13" s="11">
        <v>0</v>
      </c>
      <c r="I13" s="33">
        <v>65.69</v>
      </c>
      <c r="J13" s="33">
        <v>81</v>
      </c>
      <c r="K13" s="33">
        <v>0</v>
      </c>
      <c r="L13" s="30">
        <f t="shared" si="2"/>
        <v>-30.689999999999998</v>
      </c>
      <c r="M13" s="30">
        <v>-31</v>
      </c>
      <c r="N13" s="173"/>
      <c r="O13" s="92"/>
      <c r="P13" s="27"/>
      <c r="Q13" s="27"/>
      <c r="R13" s="18"/>
      <c r="S13" s="31">
        <f>S5+S6+S7-S9-S10-S11-S12</f>
        <v>-473.77000000000044</v>
      </c>
      <c r="U13" s="22"/>
    </row>
    <row r="14" spans="1:22">
      <c r="A14" s="9"/>
      <c r="B14" s="25" t="s">
        <v>41</v>
      </c>
      <c r="C14" s="10" t="s">
        <v>42</v>
      </c>
      <c r="D14" s="7">
        <v>330</v>
      </c>
      <c r="E14" s="11">
        <f t="shared" si="0"/>
        <v>165</v>
      </c>
      <c r="F14" s="11">
        <f t="shared" si="1"/>
        <v>12</v>
      </c>
      <c r="G14" s="11">
        <v>2.75</v>
      </c>
      <c r="H14" s="11">
        <v>2.5</v>
      </c>
      <c r="I14" s="33">
        <v>0</v>
      </c>
      <c r="J14" s="33">
        <v>317.97000000000003</v>
      </c>
      <c r="K14" s="33">
        <v>0</v>
      </c>
      <c r="L14" s="30">
        <f t="shared" si="2"/>
        <v>-135.72000000000003</v>
      </c>
      <c r="M14" s="30">
        <v>-136</v>
      </c>
      <c r="N14" s="173">
        <v>-5</v>
      </c>
      <c r="O14" s="92" t="s">
        <v>43</v>
      </c>
      <c r="P14" s="27"/>
      <c r="Q14" s="27">
        <v>6</v>
      </c>
      <c r="R14" s="19" t="s">
        <v>44</v>
      </c>
      <c r="S14" s="20">
        <f>M48</f>
        <v>-408</v>
      </c>
      <c r="U14" s="22"/>
    </row>
    <row r="15" spans="1:22">
      <c r="A15" s="9"/>
      <c r="B15" s="25" t="s">
        <v>45</v>
      </c>
      <c r="C15" s="10" t="s">
        <v>46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/>
      <c r="U15" s="22"/>
    </row>
    <row r="16" spans="1:22">
      <c r="A16" s="9"/>
      <c r="B16" s="25" t="s">
        <v>47</v>
      </c>
      <c r="C16" s="10" t="s">
        <v>48</v>
      </c>
      <c r="D16" s="7">
        <v>246</v>
      </c>
      <c r="E16" s="11">
        <f t="shared" si="0"/>
        <v>123</v>
      </c>
      <c r="F16" s="11">
        <f t="shared" si="1"/>
        <v>12</v>
      </c>
      <c r="G16" s="11">
        <v>2.75</v>
      </c>
      <c r="H16" s="11">
        <v>5</v>
      </c>
      <c r="I16" s="33">
        <v>206.84</v>
      </c>
      <c r="J16" s="33">
        <v>71.3</v>
      </c>
      <c r="K16" s="33">
        <v>0</v>
      </c>
      <c r="L16" s="30">
        <f t="shared" si="2"/>
        <v>-135.38999999999999</v>
      </c>
      <c r="M16" s="30">
        <v>-135</v>
      </c>
      <c r="N16" s="173"/>
      <c r="O16" s="92"/>
      <c r="P16" s="27"/>
      <c r="Q16" s="27">
        <v>6</v>
      </c>
      <c r="U16" s="22"/>
    </row>
    <row r="17" spans="1:21">
      <c r="A17" s="9"/>
      <c r="B17" s="25" t="s">
        <v>49</v>
      </c>
      <c r="C17" s="10" t="s">
        <v>50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>
        <v>6</v>
      </c>
      <c r="R17" s="35"/>
      <c r="S17" s="35"/>
      <c r="U17" s="22"/>
    </row>
    <row r="18" spans="1:21">
      <c r="A18" s="9"/>
      <c r="B18" s="25" t="s">
        <v>39</v>
      </c>
      <c r="C18" s="10" t="s">
        <v>51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 t="s">
        <v>52</v>
      </c>
      <c r="Q18" s="27">
        <v>0</v>
      </c>
      <c r="R18" s="15" t="s">
        <v>53</v>
      </c>
      <c r="S18" s="96" cm="1">
        <f t="array" ref="S18">SUMPRODUCT((VALUE(B4:B47)&lt;100)*(D4:D47&gt;0))</f>
        <v>20</v>
      </c>
      <c r="U18" s="22"/>
    </row>
    <row r="19" spans="1:21">
      <c r="A19" s="9"/>
      <c r="B19" s="25" t="s">
        <v>54</v>
      </c>
      <c r="C19" s="10" t="s">
        <v>55</v>
      </c>
      <c r="D19" s="7">
        <v>234</v>
      </c>
      <c r="E19" s="11">
        <f t="shared" si="0"/>
        <v>117</v>
      </c>
      <c r="F19" s="11">
        <f t="shared" si="1"/>
        <v>12</v>
      </c>
      <c r="G19" s="11">
        <v>5.5</v>
      </c>
      <c r="H19" s="11">
        <v>2.5</v>
      </c>
      <c r="I19" s="33">
        <v>139.38</v>
      </c>
      <c r="J19" s="33">
        <v>6.9</v>
      </c>
      <c r="K19" s="33">
        <v>0</v>
      </c>
      <c r="L19" s="30">
        <f t="shared" si="2"/>
        <v>-9.2799999999999958</v>
      </c>
      <c r="M19" s="30">
        <v>-9</v>
      </c>
      <c r="N19" s="173"/>
      <c r="O19" s="92"/>
      <c r="P19" s="27"/>
      <c r="Q19" s="27">
        <v>6</v>
      </c>
      <c r="R19" s="16" t="s">
        <v>56</v>
      </c>
      <c r="S19" s="97" cm="1">
        <f t="array" ref="S19">SUMPRODUCT((VALUE(B4:B47)&gt;100)*(D4:D47&gt;0))</f>
        <v>7</v>
      </c>
      <c r="U19" s="22"/>
    </row>
    <row r="20" spans="1:21">
      <c r="A20" s="9"/>
      <c r="B20" s="25" t="s">
        <v>57</v>
      </c>
      <c r="C20" s="10" t="s">
        <v>58</v>
      </c>
      <c r="D20" s="7">
        <v>217</v>
      </c>
      <c r="E20" s="11">
        <f t="shared" si="0"/>
        <v>108.5</v>
      </c>
      <c r="F20" s="11">
        <f t="shared" si="1"/>
        <v>12</v>
      </c>
      <c r="G20" s="11">
        <v>0</v>
      </c>
      <c r="H20" s="11">
        <v>5</v>
      </c>
      <c r="I20" s="33">
        <v>0</v>
      </c>
      <c r="J20" s="33">
        <v>94.25</v>
      </c>
      <c r="K20" s="33">
        <v>0</v>
      </c>
      <c r="L20" s="30">
        <f t="shared" si="2"/>
        <v>31.25</v>
      </c>
      <c r="M20" s="30">
        <v>31</v>
      </c>
      <c r="N20" s="173"/>
      <c r="O20" s="92"/>
      <c r="P20" s="27"/>
      <c r="Q20" s="27"/>
      <c r="R20" s="17" t="s">
        <v>59</v>
      </c>
      <c r="S20" s="98">
        <f>S18+S19</f>
        <v>27</v>
      </c>
      <c r="U20" s="22"/>
    </row>
    <row r="21" spans="1:21">
      <c r="A21" s="9"/>
      <c r="B21" s="25" t="s">
        <v>60</v>
      </c>
      <c r="C21" s="10" t="s">
        <v>61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62</v>
      </c>
      <c r="C22" s="10" t="s">
        <v>63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64</v>
      </c>
      <c r="C23" s="10" t="s">
        <v>65</v>
      </c>
      <c r="D23" s="7">
        <v>243</v>
      </c>
      <c r="E23" s="11">
        <f t="shared" si="0"/>
        <v>121.5</v>
      </c>
      <c r="F23" s="11">
        <f t="shared" si="1"/>
        <v>12</v>
      </c>
      <c r="G23" s="11">
        <v>5.5</v>
      </c>
      <c r="H23" s="11">
        <v>2.5</v>
      </c>
      <c r="I23" s="33">
        <v>10</v>
      </c>
      <c r="J23" s="33">
        <v>36.75</v>
      </c>
      <c r="K23" s="33">
        <v>0</v>
      </c>
      <c r="L23" s="30">
        <f t="shared" si="2"/>
        <v>94.75</v>
      </c>
      <c r="M23" s="30">
        <v>95</v>
      </c>
      <c r="N23" s="173"/>
      <c r="O23" s="92"/>
      <c r="P23" s="27"/>
      <c r="Q23" s="27">
        <v>0</v>
      </c>
      <c r="U23" s="22"/>
    </row>
    <row r="24" spans="1:21">
      <c r="A24" s="9"/>
      <c r="B24" s="25" t="s">
        <v>66</v>
      </c>
      <c r="C24" s="10" t="s">
        <v>67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62</v>
      </c>
      <c r="C25" s="10" t="s">
        <v>68</v>
      </c>
      <c r="D25" s="7">
        <v>213</v>
      </c>
      <c r="E25" s="11">
        <f t="shared" si="0"/>
        <v>106.5</v>
      </c>
      <c r="F25" s="11">
        <f t="shared" si="1"/>
        <v>12</v>
      </c>
      <c r="G25" s="11">
        <v>0</v>
      </c>
      <c r="H25" s="11">
        <v>2.5</v>
      </c>
      <c r="I25" s="33">
        <v>23</v>
      </c>
      <c r="J25" s="33">
        <v>0</v>
      </c>
      <c r="K25" s="33">
        <v>0</v>
      </c>
      <c r="L25" s="30">
        <f t="shared" si="2"/>
        <v>98</v>
      </c>
      <c r="M25" s="30">
        <v>98</v>
      </c>
      <c r="N25" s="173"/>
      <c r="O25" s="92"/>
      <c r="P25" s="27"/>
      <c r="Q25" s="27">
        <v>6</v>
      </c>
      <c r="U25" s="22"/>
    </row>
    <row r="26" spans="1:21">
      <c r="A26" s="9"/>
      <c r="B26" s="25" t="s">
        <v>60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>
        <v>238</v>
      </c>
      <c r="E27" s="11">
        <f t="shared" si="0"/>
        <v>119</v>
      </c>
      <c r="F27" s="11">
        <f t="shared" si="1"/>
        <v>12</v>
      </c>
      <c r="G27" s="11">
        <v>2.75</v>
      </c>
      <c r="H27" s="11">
        <v>2.5</v>
      </c>
      <c r="I27" s="33">
        <v>50.69</v>
      </c>
      <c r="J27" s="33">
        <v>0</v>
      </c>
      <c r="K27" s="33">
        <v>0</v>
      </c>
      <c r="L27" s="30">
        <f t="shared" si="2"/>
        <v>85.56</v>
      </c>
      <c r="M27" s="30">
        <v>86</v>
      </c>
      <c r="N27" s="173"/>
      <c r="O27" s="92"/>
      <c r="P27" s="27"/>
      <c r="Q27" s="27"/>
      <c r="S27" s="22"/>
      <c r="U27" s="22"/>
    </row>
    <row r="28" spans="1:21">
      <c r="A28" s="9"/>
      <c r="B28" s="25" t="s">
        <v>64</v>
      </c>
      <c r="C28" s="10" t="s">
        <v>72</v>
      </c>
      <c r="D28" s="7">
        <v>276</v>
      </c>
      <c r="E28" s="11">
        <f t="shared" si="0"/>
        <v>138</v>
      </c>
      <c r="F28" s="11">
        <f t="shared" si="1"/>
        <v>12</v>
      </c>
      <c r="G28" s="11">
        <v>5.5</v>
      </c>
      <c r="H28" s="11">
        <v>5</v>
      </c>
      <c r="I28" s="33">
        <v>145.19</v>
      </c>
      <c r="J28" s="33">
        <v>74</v>
      </c>
      <c r="K28" s="33">
        <v>0</v>
      </c>
      <c r="L28" s="30">
        <f t="shared" si="2"/>
        <v>-58.69</v>
      </c>
      <c r="M28" s="30">
        <v>-59</v>
      </c>
      <c r="N28" s="173"/>
      <c r="O28" s="92"/>
      <c r="P28" s="27"/>
      <c r="Q28" s="27"/>
      <c r="S28" s="22"/>
      <c r="U28" s="22"/>
    </row>
    <row r="29" spans="1:21">
      <c r="A29" s="9"/>
      <c r="B29" s="25" t="s">
        <v>57</v>
      </c>
      <c r="C29" s="10" t="s">
        <v>73</v>
      </c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P29" s="27"/>
      <c r="Q29" s="27">
        <v>6</v>
      </c>
      <c r="S29" s="22"/>
      <c r="U29" s="22"/>
    </row>
    <row r="30" spans="1:21">
      <c r="A30" s="9"/>
      <c r="B30" s="25" t="s">
        <v>64</v>
      </c>
      <c r="C30" s="10" t="s">
        <v>74</v>
      </c>
      <c r="D30" s="7">
        <v>311</v>
      </c>
      <c r="E30" s="11">
        <f t="shared" si="0"/>
        <v>155.5</v>
      </c>
      <c r="F30" s="11">
        <f t="shared" si="1"/>
        <v>12</v>
      </c>
      <c r="G30" s="11">
        <v>0</v>
      </c>
      <c r="H30" s="11">
        <v>7.5</v>
      </c>
      <c r="I30" s="33">
        <v>113</v>
      </c>
      <c r="J30" s="33">
        <v>42.6</v>
      </c>
      <c r="K30" s="33">
        <v>0</v>
      </c>
      <c r="L30" s="30">
        <f t="shared" si="2"/>
        <v>19.399999999999999</v>
      </c>
      <c r="M30" s="30">
        <v>19</v>
      </c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>
        <v>187</v>
      </c>
      <c r="E31" s="11">
        <f t="shared" si="0"/>
        <v>46.75</v>
      </c>
      <c r="F31" s="11">
        <f t="shared" si="1"/>
        <v>2</v>
      </c>
      <c r="G31" s="11">
        <v>0</v>
      </c>
      <c r="H31" s="11">
        <v>2.5</v>
      </c>
      <c r="I31" s="33">
        <v>19</v>
      </c>
      <c r="J31" s="33">
        <v>0</v>
      </c>
      <c r="K31" s="33">
        <v>0</v>
      </c>
      <c r="L31" s="30">
        <f t="shared" si="2"/>
        <v>32.25</v>
      </c>
      <c r="M31" s="30">
        <v>32</v>
      </c>
      <c r="N31" s="173"/>
      <c r="O31" s="92"/>
      <c r="P31" s="27"/>
      <c r="Q31" s="27"/>
      <c r="U31" s="22"/>
    </row>
    <row r="32" spans="1:21">
      <c r="A32" s="9"/>
      <c r="B32" s="25" t="s">
        <v>77</v>
      </c>
      <c r="C32" s="10" t="s">
        <v>78</v>
      </c>
      <c r="D32" s="7">
        <v>307</v>
      </c>
      <c r="E32" s="11">
        <f t="shared" si="0"/>
        <v>153.5</v>
      </c>
      <c r="F32" s="11">
        <f t="shared" si="1"/>
        <v>12</v>
      </c>
      <c r="G32" s="11">
        <v>0</v>
      </c>
      <c r="H32" s="11">
        <v>2.5</v>
      </c>
      <c r="I32" s="33">
        <v>0</v>
      </c>
      <c r="J32" s="33">
        <v>230</v>
      </c>
      <c r="K32" s="33">
        <v>0</v>
      </c>
      <c r="L32" s="30">
        <f t="shared" si="2"/>
        <v>-62</v>
      </c>
      <c r="M32" s="30">
        <v>-62</v>
      </c>
      <c r="N32" s="173"/>
      <c r="O32" s="92"/>
      <c r="P32" s="27"/>
      <c r="Q32" s="27">
        <v>6</v>
      </c>
      <c r="U32" s="22"/>
    </row>
    <row r="33" spans="1:21">
      <c r="A33" s="9"/>
      <c r="B33" s="25" t="s">
        <v>79</v>
      </c>
      <c r="C33" s="10" t="s">
        <v>80</v>
      </c>
      <c r="D33" s="7">
        <v>232</v>
      </c>
      <c r="E33" s="11">
        <f t="shared" si="0"/>
        <v>116</v>
      </c>
      <c r="F33" s="11">
        <f t="shared" si="1"/>
        <v>12</v>
      </c>
      <c r="G33" s="11">
        <v>8.25</v>
      </c>
      <c r="H33" s="11">
        <v>0</v>
      </c>
      <c r="I33" s="33">
        <v>186.07</v>
      </c>
      <c r="J33" s="33">
        <v>0</v>
      </c>
      <c r="K33" s="33">
        <v>0</v>
      </c>
      <c r="L33" s="30">
        <f t="shared" si="2"/>
        <v>-49.819999999999993</v>
      </c>
      <c r="M33" s="30">
        <v>-50</v>
      </c>
      <c r="N33" s="173"/>
      <c r="O33" s="92"/>
      <c r="P33" s="27"/>
      <c r="Q33" s="27"/>
      <c r="U33" s="22"/>
    </row>
    <row r="34" spans="1:21">
      <c r="A34" s="9"/>
      <c r="B34" s="25" t="s">
        <v>81</v>
      </c>
      <c r="C34" s="10" t="s">
        <v>82</v>
      </c>
      <c r="D34" s="7">
        <v>114</v>
      </c>
      <c r="E34" s="11">
        <f t="shared" si="0"/>
        <v>28.5</v>
      </c>
      <c r="F34" s="11">
        <f t="shared" si="1"/>
        <v>2</v>
      </c>
      <c r="G34" s="11">
        <v>0</v>
      </c>
      <c r="H34" s="11">
        <v>2.5</v>
      </c>
      <c r="I34" s="33">
        <v>58.5</v>
      </c>
      <c r="J34" s="33">
        <v>0</v>
      </c>
      <c r="K34" s="33">
        <v>0</v>
      </c>
      <c r="L34" s="30">
        <f t="shared" si="2"/>
        <v>-25.5</v>
      </c>
      <c r="M34" s="30">
        <v>-25</v>
      </c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83</v>
      </c>
      <c r="D35" s="7">
        <v>207</v>
      </c>
      <c r="E35" s="11">
        <f t="shared" si="0"/>
        <v>103.5</v>
      </c>
      <c r="F35" s="11">
        <f t="shared" si="1"/>
        <v>12</v>
      </c>
      <c r="G35" s="11">
        <v>2.75</v>
      </c>
      <c r="H35" s="11">
        <v>0</v>
      </c>
      <c r="I35" s="33">
        <v>0</v>
      </c>
      <c r="J35" s="33">
        <v>34.5</v>
      </c>
      <c r="K35" s="33">
        <v>0</v>
      </c>
      <c r="L35" s="30">
        <f t="shared" si="2"/>
        <v>83.75</v>
      </c>
      <c r="M35" s="30">
        <v>84</v>
      </c>
      <c r="N35" s="173"/>
      <c r="O35" s="92"/>
      <c r="P35" s="27"/>
      <c r="Q35" s="27"/>
      <c r="U35" s="22"/>
    </row>
    <row r="36" spans="1:21">
      <c r="A36" s="9"/>
      <c r="B36" s="25" t="s">
        <v>62</v>
      </c>
      <c r="C36" s="10" t="s">
        <v>84</v>
      </c>
      <c r="D36" s="7">
        <v>263</v>
      </c>
      <c r="E36" s="11">
        <f t="shared" si="0"/>
        <v>131.5</v>
      </c>
      <c r="F36" s="11">
        <f t="shared" si="1"/>
        <v>12</v>
      </c>
      <c r="G36" s="11">
        <v>0</v>
      </c>
      <c r="H36" s="11">
        <v>2.5</v>
      </c>
      <c r="I36" s="33">
        <v>167</v>
      </c>
      <c r="J36" s="33">
        <v>24.15</v>
      </c>
      <c r="K36" s="33">
        <v>0</v>
      </c>
      <c r="L36" s="30">
        <f t="shared" si="2"/>
        <v>-45.15</v>
      </c>
      <c r="M36" s="30">
        <v>-45</v>
      </c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>
        <v>161</v>
      </c>
      <c r="E37" s="11">
        <f t="shared" si="0"/>
        <v>40.25</v>
      </c>
      <c r="F37" s="11">
        <f t="shared" si="1"/>
        <v>0</v>
      </c>
      <c r="G37" s="11">
        <v>2.75</v>
      </c>
      <c r="H37" s="11">
        <v>0</v>
      </c>
      <c r="I37" s="33">
        <v>102.69</v>
      </c>
      <c r="J37" s="33">
        <v>19.55</v>
      </c>
      <c r="K37" s="33">
        <v>0</v>
      </c>
      <c r="L37" s="30">
        <f t="shared" si="2"/>
        <v>-79.239999999999995</v>
      </c>
      <c r="M37" s="30">
        <v>-79</v>
      </c>
      <c r="N37" s="173"/>
      <c r="O37" s="92"/>
      <c r="P37" s="27" t="s">
        <v>52</v>
      </c>
      <c r="Q37" s="27"/>
      <c r="U37" s="22"/>
    </row>
    <row r="38" spans="1:21">
      <c r="A38" s="9"/>
      <c r="B38" s="25" t="s">
        <v>87</v>
      </c>
      <c r="C38" s="10" t="s">
        <v>88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>
        <v>6</v>
      </c>
      <c r="U38" s="22"/>
    </row>
    <row r="39" spans="1:21">
      <c r="A39" s="9"/>
      <c r="B39" s="25" t="s">
        <v>24</v>
      </c>
      <c r="C39" s="10" t="s">
        <v>89</v>
      </c>
      <c r="D39" s="7">
        <v>224</v>
      </c>
      <c r="E39" s="11">
        <f t="shared" si="0"/>
        <v>112</v>
      </c>
      <c r="F39" s="11">
        <f t="shared" si="1"/>
        <v>12</v>
      </c>
      <c r="G39" s="11">
        <v>0</v>
      </c>
      <c r="H39" s="11">
        <v>2.5</v>
      </c>
      <c r="I39" s="33">
        <v>63.5</v>
      </c>
      <c r="J39" s="33">
        <v>19.55</v>
      </c>
      <c r="K39" s="33">
        <v>0</v>
      </c>
      <c r="L39" s="30">
        <f t="shared" si="2"/>
        <v>43.45</v>
      </c>
      <c r="M39" s="30">
        <v>44</v>
      </c>
      <c r="N39" s="173"/>
      <c r="O39" s="92"/>
      <c r="P39" s="27"/>
      <c r="Q39" s="27">
        <v>6</v>
      </c>
      <c r="U39" s="22"/>
    </row>
    <row r="40" spans="1:21">
      <c r="A40" s="9"/>
      <c r="B40" s="25" t="s">
        <v>90</v>
      </c>
      <c r="C40" s="10" t="s">
        <v>91</v>
      </c>
      <c r="D40" s="8">
        <v>82</v>
      </c>
      <c r="E40" s="11">
        <f t="shared" si="0"/>
        <v>20.5</v>
      </c>
      <c r="F40" s="11">
        <f t="shared" si="1"/>
        <v>2</v>
      </c>
      <c r="G40" s="11">
        <v>0</v>
      </c>
      <c r="H40" s="11">
        <v>2.5</v>
      </c>
      <c r="I40" s="34">
        <v>7</v>
      </c>
      <c r="J40" s="34">
        <v>0</v>
      </c>
      <c r="K40" s="34">
        <v>0</v>
      </c>
      <c r="L40" s="30">
        <f t="shared" si="2"/>
        <v>18</v>
      </c>
      <c r="M40" s="30">
        <v>18</v>
      </c>
      <c r="N40" s="175"/>
      <c r="O40" s="25"/>
      <c r="P40" s="27"/>
      <c r="Q40" s="27"/>
      <c r="U40" s="22"/>
    </row>
    <row r="41" spans="1:21">
      <c r="A41" s="103"/>
      <c r="B41" s="25" t="s">
        <v>92</v>
      </c>
      <c r="C41" s="10" t="s">
        <v>93</v>
      </c>
      <c r="D41" s="7">
        <v>231</v>
      </c>
      <c r="E41" s="11">
        <f t="shared" si="0"/>
        <v>57.75</v>
      </c>
      <c r="F41" s="11">
        <f t="shared" si="1"/>
        <v>2</v>
      </c>
      <c r="G41" s="11">
        <v>5.5</v>
      </c>
      <c r="H41" s="11">
        <v>5</v>
      </c>
      <c r="I41" s="33">
        <v>148.69</v>
      </c>
      <c r="J41" s="33">
        <v>0</v>
      </c>
      <c r="K41" s="33">
        <v>0</v>
      </c>
      <c r="L41" s="30">
        <f t="shared" si="2"/>
        <v>-78.44</v>
      </c>
      <c r="M41" s="30">
        <v>-78</v>
      </c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ref="E42" si="3">IF(AND(VALUE(B42)&lt;100, D42&gt;0),D42*0.5,D42*0.25)</f>
        <v>0</v>
      </c>
      <c r="F42" s="11">
        <f t="shared" ref="F42" si="4">IF(P42="C",Q42,IF(AND(VALUE(B42)&lt;100, D42&gt;0),12,IF(D42&gt;0,2,0)))</f>
        <v>0</v>
      </c>
      <c r="G42" s="11"/>
      <c r="H42" s="11"/>
      <c r="I42" s="33"/>
      <c r="J42" s="33"/>
      <c r="K42" s="33"/>
      <c r="L42" s="30">
        <f t="shared" ref="L42" si="5">(E42+F42+G42+H42)-I42-J42-K42</f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>
        <v>206</v>
      </c>
      <c r="E43" s="11">
        <f t="shared" si="0"/>
        <v>103</v>
      </c>
      <c r="F43" s="11">
        <f t="shared" si="1"/>
        <v>12</v>
      </c>
      <c r="G43" s="11">
        <v>2.75</v>
      </c>
      <c r="H43" s="11">
        <v>2.5</v>
      </c>
      <c r="I43" s="33">
        <v>179.79</v>
      </c>
      <c r="J43" s="33">
        <v>0</v>
      </c>
      <c r="K43" s="33">
        <v>0</v>
      </c>
      <c r="L43" s="30">
        <f t="shared" si="2"/>
        <v>-59.539999999999992</v>
      </c>
      <c r="M43" s="30">
        <v>-60</v>
      </c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>
        <v>217</v>
      </c>
      <c r="E44" s="11">
        <f t="shared" si="0"/>
        <v>108.5</v>
      </c>
      <c r="F44" s="11">
        <f t="shared" si="1"/>
        <v>12</v>
      </c>
      <c r="G44" s="11">
        <v>2.75</v>
      </c>
      <c r="H44" s="11">
        <v>5</v>
      </c>
      <c r="I44" s="33">
        <v>112.29</v>
      </c>
      <c r="J44" s="33">
        <v>0</v>
      </c>
      <c r="K44" s="33">
        <v>0</v>
      </c>
      <c r="L44" s="30">
        <f t="shared" si="2"/>
        <v>15.959999999999994</v>
      </c>
      <c r="M44" s="30">
        <v>16</v>
      </c>
      <c r="N44" s="173"/>
      <c r="O44" s="92"/>
      <c r="P44" s="27"/>
      <c r="Q44" s="27"/>
      <c r="U44" s="22"/>
    </row>
    <row r="45" spans="1:21">
      <c r="A45" s="9"/>
      <c r="B45" s="104" t="s">
        <v>99</v>
      </c>
      <c r="C45" s="10" t="s">
        <v>100</v>
      </c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243</v>
      </c>
      <c r="E46" s="11">
        <f t="shared" si="0"/>
        <v>121.5</v>
      </c>
      <c r="F46" s="11">
        <f t="shared" si="1"/>
        <v>12</v>
      </c>
      <c r="G46" s="11">
        <v>0</v>
      </c>
      <c r="H46" s="11">
        <v>0</v>
      </c>
      <c r="I46" s="33">
        <v>200</v>
      </c>
      <c r="J46" s="33"/>
      <c r="K46" s="33">
        <v>0</v>
      </c>
      <c r="L46" s="30">
        <f t="shared" si="2"/>
        <v>-66.5</v>
      </c>
      <c r="M46" s="30">
        <v>-66</v>
      </c>
      <c r="N46" s="173"/>
      <c r="O46" s="92"/>
      <c r="P46" s="27"/>
      <c r="Q46" s="27"/>
      <c r="U46" s="22"/>
    </row>
    <row r="47" spans="1:21">
      <c r="A47" s="9"/>
      <c r="B47" s="25" t="s">
        <v>103</v>
      </c>
      <c r="C47" s="10" t="s">
        <v>104</v>
      </c>
      <c r="D47" s="7">
        <v>313</v>
      </c>
      <c r="E47" s="11">
        <f t="shared" si="0"/>
        <v>156.5</v>
      </c>
      <c r="F47" s="11">
        <f t="shared" si="1"/>
        <v>12</v>
      </c>
      <c r="G47" s="11">
        <v>0</v>
      </c>
      <c r="H47" s="11">
        <v>5</v>
      </c>
      <c r="I47" s="33">
        <v>197.3</v>
      </c>
      <c r="J47" s="33">
        <v>0</v>
      </c>
      <c r="K47" s="33">
        <v>0</v>
      </c>
      <c r="L47" s="30">
        <f t="shared" si="2"/>
        <v>-23.800000000000011</v>
      </c>
      <c r="M47" s="30">
        <v>-24</v>
      </c>
      <c r="N47" s="173"/>
      <c r="O47" s="92"/>
      <c r="P47" s="27"/>
      <c r="Q47" s="27">
        <v>6</v>
      </c>
      <c r="U47" s="22"/>
    </row>
    <row r="48" spans="1:21">
      <c r="D48" s="3">
        <f t="shared" ref="D48:N48" si="6">SUM(D4:D47)</f>
        <v>6123</v>
      </c>
      <c r="E48" s="21">
        <f t="shared" si="6"/>
        <v>2771.25</v>
      </c>
      <c r="F48" s="3">
        <f t="shared" si="6"/>
        <v>252</v>
      </c>
      <c r="G48" s="3">
        <f t="shared" si="6"/>
        <v>66</v>
      </c>
      <c r="H48" s="3">
        <f t="shared" si="6"/>
        <v>70</v>
      </c>
      <c r="I48" s="3">
        <f t="shared" si="6"/>
        <v>2473.0000000000005</v>
      </c>
      <c r="J48" s="3">
        <f t="shared" si="6"/>
        <v>1095.02</v>
      </c>
      <c r="K48" s="3">
        <f t="shared" si="6"/>
        <v>0</v>
      </c>
      <c r="L48" s="3">
        <f t="shared" si="6"/>
        <v>-408.77</v>
      </c>
      <c r="M48" s="3">
        <f t="shared" si="6"/>
        <v>-408</v>
      </c>
      <c r="N48" s="3">
        <f t="shared" si="6"/>
        <v>-5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O47">
    <sortCondition ref="C4:C47"/>
  </sortState>
  <mergeCells count="1">
    <mergeCell ref="R26:S26"/>
  </mergeCells>
  <conditionalFormatting sqref="C4:C47">
    <cfRule type="expression" dxfId="31" priority="2">
      <formula>$M4&lt;0</formula>
    </cfRule>
  </conditionalFormatting>
  <conditionalFormatting sqref="M4:M47">
    <cfRule type="cellIs" dxfId="30" priority="5" operator="lessThan">
      <formula>0</formula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8"/>
  <sheetViews>
    <sheetView showGridLines="0" tabSelected="1" workbookViewId="0">
      <selection activeCell="K22" sqref="K22"/>
    </sheetView>
  </sheetViews>
  <sheetFormatPr defaultRowHeight="15"/>
  <cols>
    <col min="1" max="1" width="5.28515625" style="1" customWidth="1"/>
    <col min="2" max="2" width="12.140625" style="26" customWidth="1"/>
    <col min="3" max="3" width="13.28515625" style="1" bestFit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3.285156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 t="str">
        <f>'Mon AM'!B1</f>
        <v>5/20</v>
      </c>
      <c r="C1" s="29"/>
      <c r="D1" s="4" t="s">
        <v>2</v>
      </c>
      <c r="E1" s="6" t="s">
        <v>105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106</v>
      </c>
      <c r="C4" s="10" t="s">
        <v>107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 t="s">
        <v>52</v>
      </c>
      <c r="Q4" s="27">
        <v>0</v>
      </c>
      <c r="R4" s="15" t="s">
        <v>20</v>
      </c>
      <c r="S4" s="12">
        <f>D48</f>
        <v>1654</v>
      </c>
      <c r="U4" s="1"/>
      <c r="V4" s="1"/>
    </row>
    <row r="5" spans="1:22">
      <c r="A5" s="9"/>
      <c r="B5" s="25" t="s">
        <v>77</v>
      </c>
      <c r="C5" s="10" t="s">
        <v>108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>
        <v>6</v>
      </c>
      <c r="R5" s="16" t="s">
        <v>23</v>
      </c>
      <c r="S5" s="13">
        <f>E48</f>
        <v>770</v>
      </c>
      <c r="U5" s="1"/>
      <c r="V5" s="1"/>
    </row>
    <row r="6" spans="1:22">
      <c r="A6" s="9"/>
      <c r="B6" s="25" t="s">
        <v>57</v>
      </c>
      <c r="C6" s="10" t="s">
        <v>109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 t="s">
        <v>52</v>
      </c>
      <c r="Q6" s="27">
        <v>0</v>
      </c>
      <c r="R6" s="16" t="s">
        <v>8</v>
      </c>
      <c r="S6" s="13">
        <f>F48</f>
        <v>82</v>
      </c>
    </row>
    <row r="7" spans="1:22">
      <c r="A7" s="9"/>
      <c r="B7" s="25" t="s">
        <v>110</v>
      </c>
      <c r="C7" s="10" t="s">
        <v>111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8.25</v>
      </c>
    </row>
    <row r="8" spans="1:22">
      <c r="A8" s="9"/>
      <c r="B8" s="25" t="s">
        <v>39</v>
      </c>
      <c r="C8" s="10" t="s">
        <v>112</v>
      </c>
      <c r="D8" s="7">
        <v>215</v>
      </c>
      <c r="E8" s="11">
        <f t="shared" si="0"/>
        <v>107.5</v>
      </c>
      <c r="F8" s="11">
        <f t="shared" si="1"/>
        <v>12</v>
      </c>
      <c r="G8" s="11">
        <v>0</v>
      </c>
      <c r="H8" s="11">
        <v>2.5</v>
      </c>
      <c r="I8" s="33">
        <v>71.5</v>
      </c>
      <c r="J8" s="33">
        <v>0</v>
      </c>
      <c r="K8" s="33">
        <v>0</v>
      </c>
      <c r="L8" s="30">
        <f t="shared" si="2"/>
        <v>50.5</v>
      </c>
      <c r="M8" s="30">
        <v>51</v>
      </c>
      <c r="N8" s="173"/>
      <c r="O8" s="92"/>
      <c r="P8" s="27"/>
      <c r="Q8" s="27">
        <v>6</v>
      </c>
      <c r="R8" s="16" t="s">
        <v>10</v>
      </c>
      <c r="S8" s="13">
        <f>H48</f>
        <v>27.5</v>
      </c>
    </row>
    <row r="9" spans="1:22">
      <c r="A9" s="9"/>
      <c r="B9" s="25" t="s">
        <v>103</v>
      </c>
      <c r="C9" s="10" t="s">
        <v>113</v>
      </c>
      <c r="D9" s="7"/>
      <c r="E9" s="11">
        <f t="shared" si="0"/>
        <v>0</v>
      </c>
      <c r="F9" s="11">
        <f t="shared" si="1"/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 t="s">
        <v>52</v>
      </c>
      <c r="Q9" s="27">
        <v>0</v>
      </c>
      <c r="R9" s="16" t="s">
        <v>11</v>
      </c>
      <c r="S9" s="13">
        <f>I48</f>
        <v>594</v>
      </c>
    </row>
    <row r="10" spans="1:22">
      <c r="A10" s="9"/>
      <c r="B10" s="25" t="s">
        <v>101</v>
      </c>
      <c r="C10" s="10" t="s">
        <v>114</v>
      </c>
      <c r="D10" s="7">
        <v>152</v>
      </c>
      <c r="E10" s="11">
        <f t="shared" si="0"/>
        <v>76</v>
      </c>
      <c r="F10" s="11">
        <f t="shared" si="1"/>
        <v>6</v>
      </c>
      <c r="G10" s="11">
        <v>0</v>
      </c>
      <c r="H10" s="11">
        <v>0</v>
      </c>
      <c r="I10" s="33">
        <v>37</v>
      </c>
      <c r="J10" s="33">
        <v>28.7</v>
      </c>
      <c r="K10" s="33">
        <v>0</v>
      </c>
      <c r="L10" s="30">
        <f t="shared" si="2"/>
        <v>16.3</v>
      </c>
      <c r="M10" s="30">
        <v>17</v>
      </c>
      <c r="N10" s="173"/>
      <c r="O10" s="92"/>
      <c r="P10" s="27" t="s">
        <v>52</v>
      </c>
      <c r="Q10" s="27">
        <v>6</v>
      </c>
      <c r="R10" s="16" t="s">
        <v>12</v>
      </c>
      <c r="S10" s="13">
        <f>J48</f>
        <v>249.57999999999998</v>
      </c>
    </row>
    <row r="11" spans="1:22">
      <c r="A11" s="9"/>
      <c r="B11" s="25" t="s">
        <v>26</v>
      </c>
      <c r="C11" s="10" t="s">
        <v>115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>
        <v>6</v>
      </c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116</v>
      </c>
      <c r="D12" s="7">
        <v>214</v>
      </c>
      <c r="E12" s="11">
        <f t="shared" si="0"/>
        <v>107</v>
      </c>
      <c r="F12" s="11">
        <f t="shared" si="1"/>
        <v>12</v>
      </c>
      <c r="G12" s="11">
        <v>5.5</v>
      </c>
      <c r="H12" s="11">
        <v>0</v>
      </c>
      <c r="I12" s="33">
        <v>23</v>
      </c>
      <c r="J12" s="33">
        <v>114.63</v>
      </c>
      <c r="K12" s="33">
        <v>0</v>
      </c>
      <c r="L12" s="30">
        <f t="shared" si="2"/>
        <v>-13.129999999999995</v>
      </c>
      <c r="M12" s="30">
        <v>-13</v>
      </c>
      <c r="N12" s="173"/>
      <c r="O12" s="92"/>
      <c r="P12" s="27"/>
      <c r="Q12" s="27"/>
      <c r="R12" s="17" t="s">
        <v>38</v>
      </c>
      <c r="S12" s="14">
        <f>N48</f>
        <v>0</v>
      </c>
    </row>
    <row r="13" spans="1:22">
      <c r="A13" s="9"/>
      <c r="B13" s="25" t="s">
        <v>103</v>
      </c>
      <c r="C13" s="10" t="s">
        <v>117</v>
      </c>
      <c r="D13" s="7">
        <v>233</v>
      </c>
      <c r="E13" s="11">
        <f t="shared" si="0"/>
        <v>116.5</v>
      </c>
      <c r="F13" s="11">
        <f t="shared" si="1"/>
        <v>12</v>
      </c>
      <c r="G13" s="11">
        <v>0</v>
      </c>
      <c r="H13" s="11">
        <v>10</v>
      </c>
      <c r="I13" s="33">
        <v>85</v>
      </c>
      <c r="J13" s="33">
        <v>60</v>
      </c>
      <c r="K13" s="33">
        <v>0</v>
      </c>
      <c r="L13" s="30">
        <f t="shared" si="2"/>
        <v>-6.5</v>
      </c>
      <c r="M13" s="30">
        <v>-6</v>
      </c>
      <c r="N13" s="173"/>
      <c r="O13" s="92"/>
      <c r="P13" s="27"/>
      <c r="Q13" s="27">
        <v>6</v>
      </c>
      <c r="R13" s="18"/>
      <c r="S13" s="31">
        <f>S5+S6+S7-S9-S10-S11-S12</f>
        <v>16.670000000000016</v>
      </c>
      <c r="T13" s="22"/>
    </row>
    <row r="14" spans="1:22">
      <c r="A14" s="9"/>
      <c r="B14" s="25" t="s">
        <v>57</v>
      </c>
      <c r="C14" s="10" t="s">
        <v>118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44</v>
      </c>
      <c r="S14" s="20">
        <f>M48</f>
        <v>47</v>
      </c>
    </row>
    <row r="15" spans="1:22">
      <c r="A15" s="9"/>
      <c r="B15" s="25" t="s">
        <v>119</v>
      </c>
      <c r="C15" s="10" t="s">
        <v>120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/>
    </row>
    <row r="16" spans="1:22">
      <c r="A16" s="9"/>
      <c r="B16" s="25" t="s">
        <v>121</v>
      </c>
      <c r="C16" s="10" t="s">
        <v>122</v>
      </c>
      <c r="D16" s="7">
        <v>101</v>
      </c>
      <c r="E16" s="11">
        <f t="shared" si="0"/>
        <v>25.25</v>
      </c>
      <c r="F16" s="11">
        <f t="shared" si="1"/>
        <v>2</v>
      </c>
      <c r="G16" s="11">
        <v>0</v>
      </c>
      <c r="H16" s="11">
        <v>5</v>
      </c>
      <c r="I16" s="33">
        <v>151.5</v>
      </c>
      <c r="J16" s="33">
        <v>0</v>
      </c>
      <c r="K16" s="33">
        <v>0</v>
      </c>
      <c r="L16" s="30">
        <f t="shared" si="2"/>
        <v>-119.25</v>
      </c>
      <c r="M16" s="30">
        <v>-119</v>
      </c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123</v>
      </c>
      <c r="C17" s="10" t="s">
        <v>124</v>
      </c>
      <c r="D17" s="7">
        <v>136</v>
      </c>
      <c r="E17" s="11">
        <f t="shared" si="0"/>
        <v>68</v>
      </c>
      <c r="F17" s="11">
        <f t="shared" si="1"/>
        <v>6</v>
      </c>
      <c r="G17" s="11">
        <v>0</v>
      </c>
      <c r="H17" s="11">
        <v>2.5</v>
      </c>
      <c r="I17" s="33">
        <v>32</v>
      </c>
      <c r="J17" s="33">
        <v>0</v>
      </c>
      <c r="K17" s="33">
        <v>0</v>
      </c>
      <c r="L17" s="30">
        <f t="shared" si="2"/>
        <v>44.5</v>
      </c>
      <c r="M17" s="30">
        <v>45</v>
      </c>
      <c r="N17" s="173"/>
      <c r="O17" s="92"/>
      <c r="P17" s="27" t="s">
        <v>52</v>
      </c>
      <c r="Q17" s="27">
        <v>6</v>
      </c>
      <c r="R17" s="36"/>
      <c r="S17" s="36"/>
      <c r="T17" s="36"/>
      <c r="U17" s="36"/>
    </row>
    <row r="18" spans="1:21">
      <c r="A18" s="9"/>
      <c r="B18" s="25" t="s">
        <v>125</v>
      </c>
      <c r="C18" s="10" t="s">
        <v>126</v>
      </c>
      <c r="D18" s="7">
        <v>127</v>
      </c>
      <c r="E18" s="11">
        <f t="shared" si="0"/>
        <v>31.75</v>
      </c>
      <c r="F18" s="11">
        <f t="shared" si="1"/>
        <v>2</v>
      </c>
      <c r="G18" s="11">
        <v>0</v>
      </c>
      <c r="H18" s="11">
        <v>0</v>
      </c>
      <c r="I18" s="33">
        <v>20.5</v>
      </c>
      <c r="J18" s="33">
        <v>0</v>
      </c>
      <c r="K18" s="33">
        <v>0</v>
      </c>
      <c r="L18" s="30">
        <f t="shared" si="2"/>
        <v>13.25</v>
      </c>
      <c r="M18" s="30">
        <v>13</v>
      </c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8</v>
      </c>
      <c r="T18" s="36"/>
      <c r="U18" s="36"/>
    </row>
    <row r="19" spans="1:21">
      <c r="A19" s="9"/>
      <c r="B19" s="25" t="s">
        <v>24</v>
      </c>
      <c r="C19" s="10" t="s">
        <v>127</v>
      </c>
      <c r="D19" s="7">
        <v>84</v>
      </c>
      <c r="E19" s="11">
        <f t="shared" si="0"/>
        <v>42</v>
      </c>
      <c r="F19" s="11">
        <f t="shared" si="1"/>
        <v>6</v>
      </c>
      <c r="G19" s="11">
        <v>0</v>
      </c>
      <c r="H19" s="11">
        <v>2.5</v>
      </c>
      <c r="I19" s="33">
        <v>80.3</v>
      </c>
      <c r="J19" s="33">
        <v>17.25</v>
      </c>
      <c r="K19" s="33">
        <v>0</v>
      </c>
      <c r="L19" s="30">
        <f t="shared" si="2"/>
        <v>-47.05</v>
      </c>
      <c r="M19" s="30">
        <v>-47</v>
      </c>
      <c r="N19" s="173"/>
      <c r="O19" s="92"/>
      <c r="P19" s="27" t="s">
        <v>52</v>
      </c>
      <c r="Q19" s="27">
        <v>6</v>
      </c>
      <c r="R19" s="16" t="s">
        <v>56</v>
      </c>
      <c r="S19" s="97" cm="1">
        <f t="array" ref="S19">SUMPRODUCT((VALUE(B4:B47)&gt;100)*(D4:D47&gt;0))</f>
        <v>2</v>
      </c>
      <c r="T19" s="36"/>
      <c r="U19" s="36"/>
    </row>
    <row r="20" spans="1:21">
      <c r="A20" s="9"/>
      <c r="B20" s="25" t="s">
        <v>128</v>
      </c>
      <c r="C20" s="10" t="s">
        <v>129</v>
      </c>
      <c r="D20" s="7">
        <v>222</v>
      </c>
      <c r="E20" s="11">
        <f t="shared" si="0"/>
        <v>111</v>
      </c>
      <c r="F20" s="11">
        <f t="shared" si="1"/>
        <v>12</v>
      </c>
      <c r="G20" s="11">
        <v>2.75</v>
      </c>
      <c r="H20" s="11">
        <v>0</v>
      </c>
      <c r="I20" s="33">
        <v>7</v>
      </c>
      <c r="J20" s="33">
        <v>0</v>
      </c>
      <c r="K20" s="33">
        <v>0</v>
      </c>
      <c r="L20" s="30">
        <f t="shared" si="2"/>
        <v>118.75</v>
      </c>
      <c r="M20" s="30">
        <v>119</v>
      </c>
      <c r="N20" s="173"/>
      <c r="O20" s="92"/>
      <c r="P20" s="27"/>
      <c r="Q20" s="27"/>
      <c r="R20" s="17" t="s">
        <v>59</v>
      </c>
      <c r="S20" s="98">
        <f>S18+S19</f>
        <v>10</v>
      </c>
      <c r="T20" s="36"/>
      <c r="U20" s="36"/>
    </row>
    <row r="21" spans="1:21">
      <c r="A21" s="9"/>
      <c r="B21" s="25" t="s">
        <v>130</v>
      </c>
      <c r="C21" s="10" t="s">
        <v>131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132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</row>
    <row r="23" spans="1:21">
      <c r="A23" s="9"/>
      <c r="B23" s="25" t="s">
        <v>49</v>
      </c>
      <c r="C23" s="10" t="s">
        <v>133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134</v>
      </c>
      <c r="C24" s="10" t="s">
        <v>135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136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/>
      <c r="Q25" s="27">
        <v>6</v>
      </c>
    </row>
    <row r="26" spans="1:21">
      <c r="A26" s="9"/>
      <c r="B26" s="25" t="s">
        <v>39</v>
      </c>
      <c r="C26" s="10" t="s">
        <v>137</v>
      </c>
      <c r="D26" s="7">
        <v>170</v>
      </c>
      <c r="E26" s="11">
        <f t="shared" si="0"/>
        <v>85</v>
      </c>
      <c r="F26" s="11">
        <f t="shared" si="1"/>
        <v>12</v>
      </c>
      <c r="G26" s="11">
        <v>0</v>
      </c>
      <c r="H26" s="11">
        <v>5</v>
      </c>
      <c r="I26" s="33">
        <v>86.2</v>
      </c>
      <c r="J26" s="33">
        <v>29</v>
      </c>
      <c r="K26" s="33">
        <v>0</v>
      </c>
      <c r="L26" s="30">
        <f t="shared" si="2"/>
        <v>-13.200000000000003</v>
      </c>
      <c r="M26" s="30">
        <v>-13</v>
      </c>
      <c r="N26" s="173"/>
      <c r="O26" s="92"/>
      <c r="P26" s="27"/>
      <c r="Q26" s="172">
        <v>0</v>
      </c>
    </row>
    <row r="27" spans="1:21">
      <c r="A27" s="9"/>
      <c r="B27" s="25" t="s">
        <v>138</v>
      </c>
      <c r="C27" s="10" t="s">
        <v>104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139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>
        <v>0</v>
      </c>
      <c r="S28" s="22"/>
      <c r="T28" s="27"/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/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1654</v>
      </c>
      <c r="E48" s="21">
        <f t="shared" si="3"/>
        <v>770</v>
      </c>
      <c r="F48" s="3">
        <f t="shared" si="3"/>
        <v>82</v>
      </c>
      <c r="G48" s="3">
        <f t="shared" si="3"/>
        <v>8.25</v>
      </c>
      <c r="H48" s="3">
        <f t="shared" si="3"/>
        <v>27.5</v>
      </c>
      <c r="I48" s="3">
        <f t="shared" si="3"/>
        <v>594</v>
      </c>
      <c r="J48" s="3">
        <f t="shared" si="3"/>
        <v>249.57999999999998</v>
      </c>
      <c r="K48" s="3">
        <f t="shared" si="3"/>
        <v>0</v>
      </c>
      <c r="L48" s="3">
        <f t="shared" si="3"/>
        <v>44.17</v>
      </c>
      <c r="M48" s="3">
        <f t="shared" si="3"/>
        <v>47</v>
      </c>
      <c r="N48" s="3">
        <f t="shared" si="3"/>
        <v>0</v>
      </c>
      <c r="O48" s="178"/>
    </row>
  </sheetData>
  <sortState xmlns:xlrd2="http://schemas.microsoft.com/office/spreadsheetml/2017/richdata2" ref="A4:O47">
    <sortCondition ref="C4:C47"/>
  </sortState>
  <mergeCells count="1">
    <mergeCell ref="R27:S27"/>
  </mergeCells>
  <conditionalFormatting sqref="C4:C47">
    <cfRule type="expression" dxfId="29" priority="1">
      <formula>$M4&lt;0</formula>
    </cfRule>
  </conditionalFormatting>
  <conditionalFormatting sqref="M4:M47">
    <cfRule type="cellIs" dxfId="28" priority="2" operator="lessThan">
      <formula>0</formula>
    </cfRule>
  </conditionalFormatting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53"/>
  <sheetViews>
    <sheetView showGridLines="0" topLeftCell="A26" workbookViewId="0">
      <selection activeCell="N24" sqref="N24"/>
    </sheetView>
  </sheetViews>
  <sheetFormatPr defaultRowHeight="15"/>
  <cols>
    <col min="1" max="1" width="5.5703125" style="1" customWidth="1"/>
    <col min="2" max="2" width="12.140625" style="26" customWidth="1"/>
    <col min="3" max="3" width="15.7109375" style="1" bestFit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6.28515625" style="106" customWidth="1"/>
    <col min="16" max="16" width="6" style="172" customWidth="1"/>
    <col min="17" max="17" width="6" style="1" customWidth="1"/>
    <col min="18" max="18" width="12.42578125" bestFit="1" customWidth="1"/>
    <col min="19" max="19" width="10.85546875" customWidth="1"/>
  </cols>
  <sheetData>
    <row r="1" spans="1:22">
      <c r="A1" s="4" t="s">
        <v>0</v>
      </c>
      <c r="B1" s="109">
        <f>'Mon AM'!B1+1</f>
        <v>45433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>
        <v>247</v>
      </c>
      <c r="E4" s="11">
        <f t="shared" ref="E4:E47" si="0">IF(AND(VALUE(B4)&lt;100, D4&gt;0),D4*0.5,D4*0.25)</f>
        <v>61.75</v>
      </c>
      <c r="F4" s="11">
        <f t="shared" ref="F4:F47" si="1">IF(P4="C",Q4,IF(AND(VALUE(B4)&lt;100, D4&gt;0),12,IF(D4&gt;0,2,0)))</f>
        <v>2</v>
      </c>
      <c r="G4" s="11">
        <v>8.25</v>
      </c>
      <c r="H4" s="11">
        <v>0</v>
      </c>
      <c r="I4" s="32">
        <v>128.58000000000001</v>
      </c>
      <c r="J4" s="32">
        <v>0</v>
      </c>
      <c r="K4" s="32">
        <v>0</v>
      </c>
      <c r="L4" s="30">
        <f t="shared" ref="L4:L47" si="2">(E4+F4+G4+H4)-I4-J4-K4</f>
        <v>-56.580000000000013</v>
      </c>
      <c r="M4" s="30">
        <v>-57</v>
      </c>
      <c r="N4" s="173"/>
      <c r="O4" s="176"/>
      <c r="P4" s="27"/>
      <c r="Q4" s="27"/>
      <c r="R4" s="15" t="s">
        <v>20</v>
      </c>
      <c r="S4" s="12">
        <f>D48</f>
        <v>6685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2953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258</v>
      </c>
      <c r="U6" s="22"/>
    </row>
    <row r="7" spans="1:22">
      <c r="A7" s="9"/>
      <c r="B7" s="25" t="s">
        <v>26</v>
      </c>
      <c r="C7" s="10" t="s">
        <v>27</v>
      </c>
      <c r="D7" s="7">
        <v>179</v>
      </c>
      <c r="E7" s="11">
        <f t="shared" si="0"/>
        <v>89.5</v>
      </c>
      <c r="F7" s="11">
        <f t="shared" si="1"/>
        <v>12</v>
      </c>
      <c r="G7" s="11">
        <v>0</v>
      </c>
      <c r="H7" s="11">
        <v>5</v>
      </c>
      <c r="I7" s="33">
        <v>112</v>
      </c>
      <c r="J7" s="33">
        <v>23</v>
      </c>
      <c r="K7" s="33">
        <v>0</v>
      </c>
      <c r="L7" s="30">
        <f t="shared" si="2"/>
        <v>-28.5</v>
      </c>
      <c r="M7" s="30">
        <v>-28</v>
      </c>
      <c r="N7" s="173"/>
      <c r="O7" s="92"/>
      <c r="P7" s="27"/>
      <c r="Q7" s="27"/>
      <c r="R7" s="16" t="s">
        <v>9</v>
      </c>
      <c r="S7" s="13">
        <f>G48</f>
        <v>82.5</v>
      </c>
      <c r="U7" s="22"/>
    </row>
    <row r="8" spans="1:22">
      <c r="A8" s="9"/>
      <c r="B8" s="25" t="s">
        <v>28</v>
      </c>
      <c r="C8" s="10" t="s">
        <v>140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70</v>
      </c>
      <c r="U8" s="22"/>
    </row>
    <row r="9" spans="1:22">
      <c r="A9" s="9"/>
      <c r="B9" s="25" t="s">
        <v>30</v>
      </c>
      <c r="C9" s="10" t="s">
        <v>31</v>
      </c>
      <c r="D9" s="7">
        <v>327</v>
      </c>
      <c r="E9" s="11">
        <f t="shared" si="0"/>
        <v>163.5</v>
      </c>
      <c r="F9" s="11">
        <f t="shared" si="1"/>
        <v>12</v>
      </c>
      <c r="G9" s="11">
        <v>5.5</v>
      </c>
      <c r="H9" s="11">
        <v>7.5</v>
      </c>
      <c r="I9" s="33">
        <v>236.69</v>
      </c>
      <c r="J9" s="33">
        <v>0</v>
      </c>
      <c r="K9" s="33">
        <v>0</v>
      </c>
      <c r="L9" s="30">
        <f t="shared" si="2"/>
        <v>-48.19</v>
      </c>
      <c r="M9" s="30">
        <v>-48</v>
      </c>
      <c r="N9" s="173">
        <v>-21</v>
      </c>
      <c r="O9" s="92" t="s">
        <v>43</v>
      </c>
      <c r="P9" s="27"/>
      <c r="Q9" s="27"/>
      <c r="R9" s="16" t="s">
        <v>11</v>
      </c>
      <c r="S9" s="13">
        <f>I48</f>
        <v>3060.0499999999997</v>
      </c>
      <c r="U9" s="22"/>
    </row>
    <row r="10" spans="1:22">
      <c r="A10" s="9"/>
      <c r="B10" s="25" t="s">
        <v>32</v>
      </c>
      <c r="C10" s="10" t="s">
        <v>33</v>
      </c>
      <c r="D10" s="7">
        <v>171</v>
      </c>
      <c r="E10" s="11">
        <f t="shared" si="0"/>
        <v>42.75</v>
      </c>
      <c r="F10" s="11">
        <f t="shared" si="1"/>
        <v>2</v>
      </c>
      <c r="G10" s="11">
        <v>5.5</v>
      </c>
      <c r="H10" s="11">
        <v>0</v>
      </c>
      <c r="I10" s="33">
        <v>61</v>
      </c>
      <c r="J10" s="33">
        <v>0</v>
      </c>
      <c r="K10" s="33">
        <v>0</v>
      </c>
      <c r="L10" s="30">
        <f t="shared" si="2"/>
        <v>-10.75</v>
      </c>
      <c r="M10" s="30">
        <v>-11</v>
      </c>
      <c r="N10" s="173"/>
      <c r="O10" s="92"/>
      <c r="P10" s="27"/>
      <c r="Q10" s="27"/>
      <c r="R10" s="16" t="s">
        <v>12</v>
      </c>
      <c r="S10" s="13">
        <f>J48</f>
        <v>792.47999999999979</v>
      </c>
      <c r="U10" s="22"/>
    </row>
    <row r="11" spans="1:22">
      <c r="A11" s="9"/>
      <c r="B11" s="25" t="s">
        <v>34</v>
      </c>
      <c r="C11" s="10" t="s">
        <v>35</v>
      </c>
      <c r="D11" s="7">
        <v>77</v>
      </c>
      <c r="E11" s="11">
        <f t="shared" si="0"/>
        <v>19.25</v>
      </c>
      <c r="F11" s="11">
        <f t="shared" si="1"/>
        <v>2</v>
      </c>
      <c r="G11" s="11">
        <v>0</v>
      </c>
      <c r="H11" s="11">
        <v>0</v>
      </c>
      <c r="I11" s="33">
        <v>75.5</v>
      </c>
      <c r="J11" s="33">
        <v>0</v>
      </c>
      <c r="K11" s="33">
        <v>0</v>
      </c>
      <c r="L11" s="30">
        <f t="shared" si="2"/>
        <v>-54.25</v>
      </c>
      <c r="M11" s="30">
        <v>-54</v>
      </c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>
        <v>233</v>
      </c>
      <c r="E12" s="11">
        <f t="shared" si="0"/>
        <v>58.25</v>
      </c>
      <c r="F12" s="11">
        <f t="shared" si="1"/>
        <v>2</v>
      </c>
      <c r="G12" s="11">
        <v>0</v>
      </c>
      <c r="H12" s="11">
        <v>5</v>
      </c>
      <c r="I12" s="33">
        <v>71.5</v>
      </c>
      <c r="J12" s="33">
        <v>28.75</v>
      </c>
      <c r="K12" s="33">
        <v>0</v>
      </c>
      <c r="L12" s="30">
        <f t="shared" si="2"/>
        <v>-35</v>
      </c>
      <c r="M12" s="30">
        <v>-35</v>
      </c>
      <c r="N12" s="173"/>
      <c r="O12" s="92"/>
      <c r="P12" s="27"/>
      <c r="Q12" s="27"/>
      <c r="R12" s="17" t="s">
        <v>38</v>
      </c>
      <c r="S12" s="14">
        <f>N48</f>
        <v>-14</v>
      </c>
      <c r="U12" s="22"/>
    </row>
    <row r="13" spans="1:22">
      <c r="A13" s="9"/>
      <c r="B13" s="25" t="s">
        <v>39</v>
      </c>
      <c r="C13" s="10" t="s">
        <v>40</v>
      </c>
      <c r="D13" s="7">
        <v>50</v>
      </c>
      <c r="E13" s="11">
        <f t="shared" si="0"/>
        <v>25</v>
      </c>
      <c r="F13" s="11">
        <f t="shared" si="1"/>
        <v>0</v>
      </c>
      <c r="G13" s="11">
        <v>0</v>
      </c>
      <c r="H13" s="11">
        <v>0</v>
      </c>
      <c r="I13" s="33">
        <v>0</v>
      </c>
      <c r="J13" s="33">
        <v>58</v>
      </c>
      <c r="K13" s="33">
        <v>0</v>
      </c>
      <c r="L13" s="30">
        <f t="shared" si="2"/>
        <v>-33</v>
      </c>
      <c r="M13" s="30">
        <v>-33</v>
      </c>
      <c r="N13" s="173"/>
      <c r="O13" s="92"/>
      <c r="P13" s="27" t="s">
        <v>52</v>
      </c>
      <c r="Q13" s="27">
        <v>0</v>
      </c>
      <c r="R13" s="18"/>
      <c r="S13" s="31">
        <f>S5+S6+S7-S9-S10-S11-S12</f>
        <v>-545.02999999999952</v>
      </c>
      <c r="U13" s="22"/>
    </row>
    <row r="14" spans="1:22">
      <c r="A14" s="9"/>
      <c r="B14" s="25" t="s">
        <v>41</v>
      </c>
      <c r="C14" s="10" t="s">
        <v>42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/>
      <c r="R14" s="19" t="s">
        <v>44</v>
      </c>
      <c r="S14" s="20">
        <f>M48</f>
        <v>-494</v>
      </c>
      <c r="U14" s="22"/>
    </row>
    <row r="15" spans="1:22">
      <c r="A15" s="9"/>
      <c r="B15" s="25" t="s">
        <v>45</v>
      </c>
      <c r="C15" s="10" t="s">
        <v>46</v>
      </c>
      <c r="D15" s="7">
        <v>28</v>
      </c>
      <c r="E15" s="11">
        <f t="shared" si="0"/>
        <v>7</v>
      </c>
      <c r="F15" s="11">
        <f t="shared" si="1"/>
        <v>2</v>
      </c>
      <c r="G15" s="11">
        <v>0</v>
      </c>
      <c r="H15" s="11">
        <v>0</v>
      </c>
      <c r="I15" s="33">
        <v>0</v>
      </c>
      <c r="J15" s="33">
        <v>0</v>
      </c>
      <c r="K15" s="33">
        <v>0</v>
      </c>
      <c r="L15" s="30">
        <f t="shared" si="2"/>
        <v>9</v>
      </c>
      <c r="M15" s="30">
        <v>9</v>
      </c>
      <c r="N15" s="173"/>
      <c r="O15" s="92"/>
      <c r="P15" s="27"/>
      <c r="Q15" s="27"/>
      <c r="U15" s="22"/>
    </row>
    <row r="16" spans="1:22">
      <c r="A16" s="9"/>
      <c r="B16" s="25" t="s">
        <v>47</v>
      </c>
      <c r="C16" s="10" t="s">
        <v>48</v>
      </c>
      <c r="D16" s="7">
        <v>286</v>
      </c>
      <c r="E16" s="11">
        <f t="shared" si="0"/>
        <v>143</v>
      </c>
      <c r="F16" s="11">
        <f t="shared" si="1"/>
        <v>12</v>
      </c>
      <c r="G16" s="11">
        <v>2.75</v>
      </c>
      <c r="H16" s="11">
        <v>2.5</v>
      </c>
      <c r="I16" s="33">
        <v>199.69</v>
      </c>
      <c r="J16" s="33">
        <v>0</v>
      </c>
      <c r="K16" s="33">
        <v>0</v>
      </c>
      <c r="L16" s="30">
        <f t="shared" si="2"/>
        <v>-39.44</v>
      </c>
      <c r="M16" s="30">
        <v>-39</v>
      </c>
      <c r="N16" s="173"/>
      <c r="O16" s="92"/>
      <c r="P16" s="27"/>
      <c r="Q16" s="27">
        <v>6</v>
      </c>
      <c r="U16" s="22"/>
    </row>
    <row r="17" spans="1:21">
      <c r="A17" s="9"/>
      <c r="B17" s="25" t="s">
        <v>49</v>
      </c>
      <c r="C17" s="10" t="s">
        <v>50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51</v>
      </c>
      <c r="D18" s="7">
        <v>224</v>
      </c>
      <c r="E18" s="11">
        <f t="shared" si="0"/>
        <v>112</v>
      </c>
      <c r="F18" s="11">
        <f t="shared" si="1"/>
        <v>12</v>
      </c>
      <c r="G18" s="11">
        <v>2.75</v>
      </c>
      <c r="H18" s="11">
        <v>2.5</v>
      </c>
      <c r="I18" s="33">
        <v>134.99</v>
      </c>
      <c r="J18" s="33">
        <v>44.25</v>
      </c>
      <c r="K18" s="33">
        <v>0</v>
      </c>
      <c r="L18" s="30">
        <f t="shared" si="2"/>
        <v>-49.990000000000009</v>
      </c>
      <c r="M18" s="30">
        <v>-50</v>
      </c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21</v>
      </c>
      <c r="T18" s="36"/>
      <c r="U18" s="22"/>
    </row>
    <row r="19" spans="1:21">
      <c r="A19" s="9"/>
      <c r="B19" s="25" t="s">
        <v>54</v>
      </c>
      <c r="C19" s="10" t="s">
        <v>55</v>
      </c>
      <c r="D19" s="7">
        <v>255</v>
      </c>
      <c r="E19" s="11">
        <f t="shared" si="0"/>
        <v>127.5</v>
      </c>
      <c r="F19" s="11">
        <f t="shared" si="1"/>
        <v>12</v>
      </c>
      <c r="G19" s="11">
        <v>5.5</v>
      </c>
      <c r="H19" s="11">
        <v>2.5</v>
      </c>
      <c r="I19" s="33">
        <v>236.88</v>
      </c>
      <c r="J19" s="33">
        <v>27.6</v>
      </c>
      <c r="K19" s="33">
        <v>0</v>
      </c>
      <c r="L19" s="30">
        <f t="shared" si="2"/>
        <v>-116.97999999999999</v>
      </c>
      <c r="M19" s="30">
        <v>-117</v>
      </c>
      <c r="N19" s="173"/>
      <c r="O19" s="92"/>
      <c r="P19" s="27"/>
      <c r="Q19" s="27"/>
      <c r="R19" s="16" t="s">
        <v>56</v>
      </c>
      <c r="S19" s="97" cm="1">
        <f t="array" ref="S19">SUMPRODUCT((VALUE(B4:B47)&gt;100)*(D4:D47&gt;0))</f>
        <v>10</v>
      </c>
      <c r="U19" s="22"/>
    </row>
    <row r="20" spans="1:21">
      <c r="A20" s="9"/>
      <c r="B20" s="25" t="s">
        <v>57</v>
      </c>
      <c r="C20" s="10" t="s">
        <v>58</v>
      </c>
      <c r="D20" s="7">
        <v>197</v>
      </c>
      <c r="E20" s="11">
        <f t="shared" si="0"/>
        <v>98.5</v>
      </c>
      <c r="F20" s="11">
        <f t="shared" si="1"/>
        <v>12</v>
      </c>
      <c r="G20" s="11">
        <v>0</v>
      </c>
      <c r="H20" s="11">
        <v>2.5</v>
      </c>
      <c r="I20" s="33">
        <v>104.5</v>
      </c>
      <c r="J20" s="33">
        <v>0</v>
      </c>
      <c r="K20" s="33">
        <v>0</v>
      </c>
      <c r="L20" s="30">
        <f t="shared" si="2"/>
        <v>8.5</v>
      </c>
      <c r="M20" s="30">
        <v>8</v>
      </c>
      <c r="N20" s="173"/>
      <c r="O20" s="92"/>
      <c r="P20" s="27"/>
      <c r="Q20" s="27"/>
      <c r="R20" s="17" t="s">
        <v>59</v>
      </c>
      <c r="S20" s="98">
        <f>S18+S19</f>
        <v>31</v>
      </c>
      <c r="U20" s="22"/>
    </row>
    <row r="21" spans="1:21">
      <c r="A21" s="9"/>
      <c r="B21" s="25" t="s">
        <v>60</v>
      </c>
      <c r="C21" s="10" t="s">
        <v>61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62</v>
      </c>
      <c r="C22" s="10" t="s">
        <v>63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64</v>
      </c>
      <c r="C23" s="10" t="s">
        <v>65</v>
      </c>
      <c r="D23" s="7">
        <v>231</v>
      </c>
      <c r="E23" s="11">
        <f t="shared" si="0"/>
        <v>115.5</v>
      </c>
      <c r="F23" s="11">
        <f t="shared" si="1"/>
        <v>12</v>
      </c>
      <c r="G23" s="11">
        <v>11</v>
      </c>
      <c r="H23" s="11">
        <v>0</v>
      </c>
      <c r="I23" s="33">
        <v>82.89</v>
      </c>
      <c r="J23" s="33">
        <v>50.69</v>
      </c>
      <c r="K23" s="33">
        <v>0</v>
      </c>
      <c r="L23" s="30">
        <f t="shared" si="2"/>
        <v>4.9200000000000017</v>
      </c>
      <c r="M23" s="30">
        <v>5</v>
      </c>
      <c r="N23" s="173"/>
      <c r="O23" s="92"/>
      <c r="P23" s="27"/>
      <c r="Q23" s="27"/>
      <c r="U23" s="22"/>
    </row>
    <row r="24" spans="1:21">
      <c r="A24" s="9"/>
      <c r="B24" s="25" t="s">
        <v>66</v>
      </c>
      <c r="C24" s="10" t="s">
        <v>67</v>
      </c>
      <c r="D24" s="7">
        <v>19</v>
      </c>
      <c r="E24" s="11">
        <f t="shared" si="0"/>
        <v>4.75</v>
      </c>
      <c r="F24" s="11">
        <f t="shared" si="1"/>
        <v>2</v>
      </c>
      <c r="G24" s="11">
        <v>0</v>
      </c>
      <c r="H24" s="11">
        <v>0</v>
      </c>
      <c r="I24" s="33">
        <v>0</v>
      </c>
      <c r="J24" s="33">
        <v>0</v>
      </c>
      <c r="K24" s="33">
        <v>0</v>
      </c>
      <c r="L24" s="30">
        <f t="shared" si="2"/>
        <v>6.75</v>
      </c>
      <c r="M24" s="30">
        <v>0</v>
      </c>
      <c r="N24" s="173">
        <v>7</v>
      </c>
      <c r="O24" s="92"/>
      <c r="P24" s="27"/>
      <c r="Q24" s="27"/>
      <c r="U24" s="22"/>
    </row>
    <row r="25" spans="1:21">
      <c r="A25" s="9"/>
      <c r="B25" s="25" t="s">
        <v>62</v>
      </c>
      <c r="C25" s="10" t="s">
        <v>68</v>
      </c>
      <c r="D25" s="7">
        <v>250</v>
      </c>
      <c r="E25" s="11">
        <f t="shared" si="0"/>
        <v>125</v>
      </c>
      <c r="F25" s="11">
        <f t="shared" si="1"/>
        <v>12</v>
      </c>
      <c r="G25" s="11">
        <v>0</v>
      </c>
      <c r="H25" s="11">
        <v>2.5</v>
      </c>
      <c r="I25" s="33">
        <v>94.5</v>
      </c>
      <c r="J25" s="33">
        <v>75</v>
      </c>
      <c r="K25" s="33">
        <v>0</v>
      </c>
      <c r="L25" s="30">
        <f t="shared" si="2"/>
        <v>-30</v>
      </c>
      <c r="M25" s="30">
        <v>-30</v>
      </c>
      <c r="N25" s="173"/>
      <c r="O25" s="92"/>
      <c r="P25" s="27"/>
      <c r="Q25" s="27">
        <v>6</v>
      </c>
      <c r="U25" s="22"/>
    </row>
    <row r="26" spans="1:21">
      <c r="A26" s="9"/>
      <c r="B26" s="25" t="s">
        <v>60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>
        <v>325</v>
      </c>
      <c r="E27" s="11">
        <f t="shared" si="0"/>
        <v>162.5</v>
      </c>
      <c r="F27" s="11">
        <f t="shared" si="1"/>
        <v>12</v>
      </c>
      <c r="G27" s="11">
        <v>0</v>
      </c>
      <c r="H27" s="11">
        <v>2.5</v>
      </c>
      <c r="I27" s="33">
        <v>56</v>
      </c>
      <c r="J27" s="33">
        <v>23</v>
      </c>
      <c r="K27" s="33">
        <v>0</v>
      </c>
      <c r="L27" s="30">
        <f t="shared" si="2"/>
        <v>98</v>
      </c>
      <c r="M27" s="30">
        <v>98</v>
      </c>
      <c r="N27" s="173"/>
      <c r="O27" s="92"/>
      <c r="P27" s="27"/>
      <c r="Q27" s="27"/>
      <c r="S27" s="22"/>
      <c r="T27" s="27">
        <v>5</v>
      </c>
      <c r="U27" s="22"/>
    </row>
    <row r="28" spans="1:21">
      <c r="A28" s="9"/>
      <c r="B28" s="25" t="s">
        <v>64</v>
      </c>
      <c r="C28" s="10" t="s">
        <v>72</v>
      </c>
      <c r="D28" s="7">
        <v>270</v>
      </c>
      <c r="E28" s="11">
        <f t="shared" si="0"/>
        <v>135</v>
      </c>
      <c r="F28" s="11">
        <f t="shared" si="1"/>
        <v>12</v>
      </c>
      <c r="G28" s="11">
        <v>5.5</v>
      </c>
      <c r="H28" s="11">
        <v>0</v>
      </c>
      <c r="I28" s="33">
        <v>96.69</v>
      </c>
      <c r="J28" s="33">
        <v>0</v>
      </c>
      <c r="K28" s="33">
        <v>0</v>
      </c>
      <c r="L28" s="30">
        <f t="shared" si="2"/>
        <v>55.81</v>
      </c>
      <c r="M28" s="30">
        <v>56</v>
      </c>
      <c r="N28" s="173"/>
      <c r="O28" s="92"/>
      <c r="P28" s="27"/>
      <c r="Q28" s="27"/>
      <c r="S28" s="22"/>
      <c r="T28" s="27">
        <v>4</v>
      </c>
      <c r="U28" s="22"/>
    </row>
    <row r="29" spans="1:21">
      <c r="A29" s="9"/>
      <c r="B29" s="25" t="s">
        <v>57</v>
      </c>
      <c r="C29" s="10" t="s">
        <v>73</v>
      </c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P29" s="27"/>
      <c r="Q29" s="27"/>
      <c r="S29" s="22"/>
      <c r="U29" s="22"/>
    </row>
    <row r="30" spans="1:21">
      <c r="A30" s="9"/>
      <c r="B30" s="25" t="s">
        <v>62</v>
      </c>
      <c r="C30" s="10" t="s">
        <v>74</v>
      </c>
      <c r="D30" s="7">
        <v>307</v>
      </c>
      <c r="E30" s="11">
        <f t="shared" si="0"/>
        <v>153.5</v>
      </c>
      <c r="F30" s="11">
        <f t="shared" si="1"/>
        <v>12</v>
      </c>
      <c r="G30" s="11">
        <v>2.75</v>
      </c>
      <c r="H30" s="11">
        <v>7.5</v>
      </c>
      <c r="I30" s="33">
        <v>277.69</v>
      </c>
      <c r="J30" s="33">
        <v>18.399999999999999</v>
      </c>
      <c r="K30" s="33">
        <v>0</v>
      </c>
      <c r="L30" s="30">
        <f t="shared" si="2"/>
        <v>-120.34</v>
      </c>
      <c r="M30" s="30">
        <v>-120</v>
      </c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>
        <v>139</v>
      </c>
      <c r="E31" s="11">
        <f t="shared" si="0"/>
        <v>34.75</v>
      </c>
      <c r="F31" s="11">
        <f t="shared" si="1"/>
        <v>2</v>
      </c>
      <c r="G31" s="11">
        <v>0</v>
      </c>
      <c r="H31" s="11">
        <v>0</v>
      </c>
      <c r="I31" s="33">
        <v>26</v>
      </c>
      <c r="J31" s="33">
        <v>23.4</v>
      </c>
      <c r="K31" s="33">
        <v>0</v>
      </c>
      <c r="L31" s="30">
        <f t="shared" si="2"/>
        <v>-12.649999999999999</v>
      </c>
      <c r="M31" s="30">
        <v>-13</v>
      </c>
      <c r="N31" s="173"/>
      <c r="O31" s="92"/>
      <c r="P31" s="27"/>
      <c r="Q31" s="27"/>
      <c r="U31" s="22"/>
    </row>
    <row r="32" spans="1:21">
      <c r="A32" s="9"/>
      <c r="B32" s="25" t="s">
        <v>77</v>
      </c>
      <c r="C32" s="10" t="s">
        <v>78</v>
      </c>
      <c r="D32" s="7">
        <v>239</v>
      </c>
      <c r="E32" s="11">
        <f t="shared" si="0"/>
        <v>119.5</v>
      </c>
      <c r="F32" s="11">
        <f t="shared" si="1"/>
        <v>12</v>
      </c>
      <c r="G32" s="11">
        <v>0</v>
      </c>
      <c r="H32" s="11">
        <v>5</v>
      </c>
      <c r="I32" s="33">
        <v>0</v>
      </c>
      <c r="J32" s="33">
        <v>0</v>
      </c>
      <c r="K32" s="33">
        <v>0</v>
      </c>
      <c r="L32" s="30">
        <f t="shared" si="2"/>
        <v>136.5</v>
      </c>
      <c r="M32" s="30">
        <v>137</v>
      </c>
      <c r="N32" s="173"/>
      <c r="O32" s="92"/>
      <c r="P32" s="27"/>
      <c r="Q32" s="27"/>
      <c r="U32" s="22"/>
    </row>
    <row r="33" spans="1:21">
      <c r="A33" s="9"/>
      <c r="B33" s="25" t="s">
        <v>79</v>
      </c>
      <c r="C33" s="10" t="s">
        <v>80</v>
      </c>
      <c r="D33" s="7">
        <v>249</v>
      </c>
      <c r="E33" s="11">
        <f t="shared" si="0"/>
        <v>124.5</v>
      </c>
      <c r="F33" s="11">
        <f t="shared" si="1"/>
        <v>12</v>
      </c>
      <c r="G33" s="11">
        <v>2.75</v>
      </c>
      <c r="H33" s="11">
        <v>2.5</v>
      </c>
      <c r="I33" s="33">
        <v>102.44</v>
      </c>
      <c r="J33" s="33">
        <v>0</v>
      </c>
      <c r="K33" s="33">
        <v>0</v>
      </c>
      <c r="L33" s="30">
        <f t="shared" si="2"/>
        <v>39.31</v>
      </c>
      <c r="M33" s="30">
        <v>39</v>
      </c>
      <c r="N33" s="173"/>
      <c r="O33" s="92"/>
      <c r="P33" s="27"/>
      <c r="Q33" s="27"/>
      <c r="U33" s="22"/>
    </row>
    <row r="34" spans="1:21">
      <c r="A34" s="9"/>
      <c r="B34" s="25" t="s">
        <v>81</v>
      </c>
      <c r="C34" s="10" t="s">
        <v>82</v>
      </c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83</v>
      </c>
      <c r="D35" s="7">
        <v>240</v>
      </c>
      <c r="E35" s="11">
        <f t="shared" si="0"/>
        <v>120</v>
      </c>
      <c r="F35" s="11">
        <f t="shared" si="1"/>
        <v>12</v>
      </c>
      <c r="G35" s="11">
        <v>2.75</v>
      </c>
      <c r="H35" s="11">
        <v>0</v>
      </c>
      <c r="I35" s="33">
        <v>6</v>
      </c>
      <c r="J35" s="33">
        <v>91.88</v>
      </c>
      <c r="K35" s="33">
        <v>0</v>
      </c>
      <c r="L35" s="30">
        <f t="shared" si="2"/>
        <v>36.870000000000005</v>
      </c>
      <c r="M35" s="30">
        <v>37</v>
      </c>
      <c r="N35" s="173"/>
      <c r="O35" s="92"/>
      <c r="P35" s="27"/>
      <c r="Q35" s="27"/>
      <c r="U35" s="22"/>
    </row>
    <row r="36" spans="1:21">
      <c r="A36" s="9"/>
      <c r="B36" s="25" t="s">
        <v>62</v>
      </c>
      <c r="C36" s="10" t="s">
        <v>84</v>
      </c>
      <c r="D36" s="7">
        <v>250</v>
      </c>
      <c r="E36" s="11">
        <f t="shared" si="0"/>
        <v>125</v>
      </c>
      <c r="F36" s="11">
        <f t="shared" si="1"/>
        <v>12</v>
      </c>
      <c r="G36" s="11">
        <v>2.75</v>
      </c>
      <c r="H36" s="11">
        <v>2.5</v>
      </c>
      <c r="I36" s="33">
        <v>217.69</v>
      </c>
      <c r="J36" s="33">
        <v>29.94</v>
      </c>
      <c r="K36" s="33">
        <v>0</v>
      </c>
      <c r="L36" s="30">
        <f t="shared" si="2"/>
        <v>-105.38</v>
      </c>
      <c r="M36" s="30">
        <v>-105</v>
      </c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>
        <v>168</v>
      </c>
      <c r="E37" s="11">
        <f t="shared" si="0"/>
        <v>42</v>
      </c>
      <c r="F37" s="11">
        <f t="shared" si="1"/>
        <v>0</v>
      </c>
      <c r="G37" s="11">
        <v>0</v>
      </c>
      <c r="H37" s="11">
        <v>2.5</v>
      </c>
      <c r="I37" s="33">
        <v>0</v>
      </c>
      <c r="J37" s="33">
        <v>37.950000000000003</v>
      </c>
      <c r="K37" s="33">
        <v>0</v>
      </c>
      <c r="L37" s="30">
        <f t="shared" si="2"/>
        <v>6.5499999999999972</v>
      </c>
      <c r="M37" s="30">
        <v>7</v>
      </c>
      <c r="N37" s="173"/>
      <c r="O37" s="92"/>
      <c r="P37" s="27" t="s">
        <v>52</v>
      </c>
      <c r="Q37" s="27"/>
      <c r="U37" s="22"/>
    </row>
    <row r="38" spans="1:21">
      <c r="A38" s="9"/>
      <c r="B38" s="25" t="s">
        <v>87</v>
      </c>
      <c r="C38" s="10" t="s">
        <v>88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>
        <v>6</v>
      </c>
      <c r="U38" s="22"/>
    </row>
    <row r="39" spans="1:21">
      <c r="A39" s="9"/>
      <c r="B39" s="25" t="s">
        <v>24</v>
      </c>
      <c r="C39" s="10" t="s">
        <v>89</v>
      </c>
      <c r="D39" s="7">
        <v>254</v>
      </c>
      <c r="E39" s="11">
        <f t="shared" si="0"/>
        <v>127</v>
      </c>
      <c r="F39" s="11">
        <f t="shared" si="1"/>
        <v>12</v>
      </c>
      <c r="G39" s="11">
        <v>2.75</v>
      </c>
      <c r="H39" s="11">
        <v>2.5</v>
      </c>
      <c r="I39" s="33">
        <v>81.5</v>
      </c>
      <c r="J39" s="33">
        <v>94.38</v>
      </c>
      <c r="K39" s="33">
        <v>0</v>
      </c>
      <c r="L39" s="30">
        <f t="shared" si="2"/>
        <v>-31.629999999999995</v>
      </c>
      <c r="M39" s="30">
        <v>-32</v>
      </c>
      <c r="N39" s="173"/>
      <c r="O39" s="92"/>
      <c r="P39" s="27"/>
      <c r="Q39" s="27"/>
      <c r="U39" s="22"/>
    </row>
    <row r="40" spans="1:21">
      <c r="A40" s="9"/>
      <c r="B40" s="25" t="s">
        <v>90</v>
      </c>
      <c r="C40" s="10" t="s">
        <v>91</v>
      </c>
      <c r="D40" s="8">
        <v>242</v>
      </c>
      <c r="E40" s="11">
        <f t="shared" si="0"/>
        <v>60.5</v>
      </c>
      <c r="F40" s="11">
        <f t="shared" si="1"/>
        <v>2</v>
      </c>
      <c r="G40" s="11">
        <v>5.5</v>
      </c>
      <c r="H40" s="11">
        <v>0</v>
      </c>
      <c r="I40" s="34">
        <v>194.93</v>
      </c>
      <c r="J40" s="34">
        <v>13.8</v>
      </c>
      <c r="K40" s="34">
        <v>0</v>
      </c>
      <c r="L40" s="30">
        <f t="shared" si="2"/>
        <v>-140.73000000000002</v>
      </c>
      <c r="M40" s="30">
        <v>-141</v>
      </c>
      <c r="N40" s="175"/>
      <c r="O40" s="25"/>
      <c r="P40" s="27"/>
      <c r="Q40" s="27">
        <v>0</v>
      </c>
      <c r="U40" s="22"/>
    </row>
    <row r="41" spans="1:21">
      <c r="A41" s="103"/>
      <c r="B41" s="25" t="s">
        <v>92</v>
      </c>
      <c r="C41" s="10" t="s">
        <v>93</v>
      </c>
      <c r="D41" s="7">
        <v>234</v>
      </c>
      <c r="E41" s="11">
        <f t="shared" si="0"/>
        <v>58.5</v>
      </c>
      <c r="F41" s="11">
        <f t="shared" si="1"/>
        <v>2</v>
      </c>
      <c r="G41" s="11">
        <v>5.5</v>
      </c>
      <c r="H41" s="11">
        <v>2.5</v>
      </c>
      <c r="I41" s="33">
        <v>102.5</v>
      </c>
      <c r="J41" s="33">
        <v>25.3</v>
      </c>
      <c r="K41" s="33">
        <v>0</v>
      </c>
      <c r="L41" s="30">
        <f t="shared" si="2"/>
        <v>-59.3</v>
      </c>
      <c r="M41" s="30">
        <v>-59</v>
      </c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>
        <v>288</v>
      </c>
      <c r="E43" s="11">
        <f t="shared" si="0"/>
        <v>144</v>
      </c>
      <c r="F43" s="11">
        <f t="shared" si="1"/>
        <v>12</v>
      </c>
      <c r="G43" s="11">
        <v>2.75</v>
      </c>
      <c r="H43" s="11">
        <v>2.5</v>
      </c>
      <c r="I43" s="33">
        <v>94</v>
      </c>
      <c r="J43" s="33">
        <v>0</v>
      </c>
      <c r="K43" s="33">
        <v>0</v>
      </c>
      <c r="L43" s="30">
        <f t="shared" si="2"/>
        <v>67.25</v>
      </c>
      <c r="M43" s="30">
        <v>67</v>
      </c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>
        <v>247</v>
      </c>
      <c r="E44" s="11">
        <f t="shared" si="0"/>
        <v>123.5</v>
      </c>
      <c r="F44" s="11">
        <f t="shared" si="1"/>
        <v>12</v>
      </c>
      <c r="G44" s="11">
        <v>5.5</v>
      </c>
      <c r="H44" s="11">
        <v>2.5</v>
      </c>
      <c r="I44" s="33">
        <v>68.69</v>
      </c>
      <c r="J44" s="33">
        <v>81.14</v>
      </c>
      <c r="K44" s="33">
        <v>0</v>
      </c>
      <c r="L44" s="30">
        <f t="shared" si="2"/>
        <v>-6.3299999999999983</v>
      </c>
      <c r="M44" s="30">
        <v>-6</v>
      </c>
      <c r="N44" s="173"/>
      <c r="O44" s="92"/>
      <c r="P44" s="27"/>
      <c r="Q44" s="27"/>
      <c r="U44" s="22"/>
    </row>
    <row r="45" spans="1:21">
      <c r="A45" s="9"/>
      <c r="B45" s="104" t="s">
        <v>99</v>
      </c>
      <c r="C45" s="10" t="s">
        <v>100</v>
      </c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  <c r="P45" s="27"/>
      <c r="Q45" s="27">
        <v>6</v>
      </c>
      <c r="U45" s="22"/>
    </row>
    <row r="46" spans="1:21">
      <c r="A46" s="9"/>
      <c r="B46" s="25" t="s">
        <v>101</v>
      </c>
      <c r="C46" s="10" t="s">
        <v>102</v>
      </c>
      <c r="D46" s="7">
        <v>190</v>
      </c>
      <c r="E46" s="11">
        <f t="shared" si="0"/>
        <v>95</v>
      </c>
      <c r="F46" s="11">
        <f t="shared" si="1"/>
        <v>12</v>
      </c>
      <c r="G46" s="11">
        <v>0</v>
      </c>
      <c r="H46" s="11">
        <v>0</v>
      </c>
      <c r="I46" s="33">
        <v>173.2</v>
      </c>
      <c r="J46" s="33">
        <v>0</v>
      </c>
      <c r="K46" s="33">
        <v>0</v>
      </c>
      <c r="L46" s="30">
        <f t="shared" si="2"/>
        <v>-66.199999999999989</v>
      </c>
      <c r="M46" s="30">
        <v>-66</v>
      </c>
      <c r="N46" s="173"/>
      <c r="O46" s="92"/>
      <c r="P46" s="27"/>
      <c r="Q46" s="27">
        <v>6</v>
      </c>
      <c r="U46" s="22"/>
    </row>
    <row r="47" spans="1:21">
      <c r="A47" s="9"/>
      <c r="B47" s="25" t="s">
        <v>103</v>
      </c>
      <c r="C47" s="10" t="s">
        <v>104</v>
      </c>
      <c r="D47" s="7">
        <v>269</v>
      </c>
      <c r="E47" s="11">
        <f t="shared" si="0"/>
        <v>134.5</v>
      </c>
      <c r="F47" s="11">
        <f t="shared" si="1"/>
        <v>12</v>
      </c>
      <c r="G47" s="11">
        <v>2.75</v>
      </c>
      <c r="H47" s="11">
        <v>7.5</v>
      </c>
      <c r="I47" s="33">
        <v>24</v>
      </c>
      <c r="J47" s="33">
        <v>46</v>
      </c>
      <c r="K47" s="33">
        <v>0</v>
      </c>
      <c r="L47" s="30">
        <f t="shared" si="2"/>
        <v>86.75</v>
      </c>
      <c r="M47" s="30">
        <v>87</v>
      </c>
      <c r="N47" s="173"/>
      <c r="O47" s="92"/>
      <c r="P47" s="27"/>
      <c r="Q47" s="27"/>
      <c r="U47" s="22"/>
    </row>
    <row r="48" spans="1:21">
      <c r="D48" s="3">
        <f t="shared" ref="D48:N48" si="3">SUM(D4:D47)</f>
        <v>6685</v>
      </c>
      <c r="E48" s="21">
        <f t="shared" si="3"/>
        <v>2953</v>
      </c>
      <c r="F48" s="3">
        <f t="shared" si="3"/>
        <v>258</v>
      </c>
      <c r="G48" s="3">
        <f t="shared" si="3"/>
        <v>82.5</v>
      </c>
      <c r="H48" s="3">
        <f t="shared" si="3"/>
        <v>70</v>
      </c>
      <c r="I48" s="3">
        <f t="shared" si="3"/>
        <v>3060.0499999999997</v>
      </c>
      <c r="J48" s="3">
        <f t="shared" si="3"/>
        <v>792.47999999999979</v>
      </c>
      <c r="K48" s="3">
        <f t="shared" si="3"/>
        <v>0</v>
      </c>
      <c r="L48" s="3">
        <f t="shared" si="3"/>
        <v>-489.02999999999986</v>
      </c>
      <c r="M48" s="3">
        <f t="shared" si="3"/>
        <v>-494</v>
      </c>
      <c r="N48" s="3">
        <f t="shared" si="3"/>
        <v>-14</v>
      </c>
      <c r="O48" s="178"/>
      <c r="P48" s="1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O47">
    <sortCondition ref="C4:C47"/>
  </sortState>
  <mergeCells count="1">
    <mergeCell ref="R26:S26"/>
  </mergeCells>
  <conditionalFormatting sqref="C4:C10 C12:C47">
    <cfRule type="expression" dxfId="27" priority="2">
      <formula>$M4&lt;0</formula>
    </cfRule>
  </conditionalFormatting>
  <conditionalFormatting sqref="M4:M47">
    <cfRule type="cellIs" dxfId="26" priority="3" operator="lessThan">
      <formula>0</formula>
    </cfRule>
  </conditionalFormatting>
  <conditionalFormatting sqref="C11">
    <cfRule type="expression" dxfId="25" priority="1">
      <formula>$M11&lt;0</formula>
    </cfRule>
  </conditionalFormatting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48"/>
  <sheetViews>
    <sheetView showGridLines="0" workbookViewId="0">
      <selection activeCell="M19" sqref="M19"/>
    </sheetView>
  </sheetViews>
  <sheetFormatPr defaultRowHeight="15"/>
  <cols>
    <col min="1" max="1" width="6.42578125" style="1" customWidth="1"/>
    <col min="2" max="2" width="12.140625" style="26" customWidth="1"/>
    <col min="3" max="3" width="14.5703125" style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3.42578125" customWidth="1"/>
    <col min="16" max="17" width="6" style="1" customWidth="1"/>
    <col min="18" max="18" width="12.42578125" bestFit="1" customWidth="1"/>
    <col min="19" max="19" width="10.5703125" customWidth="1"/>
  </cols>
  <sheetData>
    <row r="1" spans="1:22">
      <c r="A1" s="4" t="s">
        <v>0</v>
      </c>
      <c r="B1" s="109">
        <f>'Mon AM'!B1+1</f>
        <v>45433</v>
      </c>
      <c r="C1" s="29"/>
      <c r="D1" s="4" t="s">
        <v>2</v>
      </c>
      <c r="E1" s="6" t="s">
        <v>105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106</v>
      </c>
      <c r="C4" s="10" t="s">
        <v>107</v>
      </c>
      <c r="D4" s="11">
        <v>82</v>
      </c>
      <c r="E4" s="11">
        <f t="shared" ref="E4:E47" si="0">IF(AND(VALUE(B4)&lt;100, D4&gt;0),D4*0.5,D4*0.25)</f>
        <v>20.5</v>
      </c>
      <c r="F4" s="11">
        <f t="shared" ref="F4:F47" si="1">IF(P4="C",Q4,IF(AND(VALUE(B4)&lt;100, D4&gt;0),12,IF(D4&gt;0,2,0)))</f>
        <v>0</v>
      </c>
      <c r="G4" s="11">
        <v>0</v>
      </c>
      <c r="H4" s="11">
        <v>0</v>
      </c>
      <c r="I4" s="32">
        <v>11.5</v>
      </c>
      <c r="J4" s="32">
        <v>10</v>
      </c>
      <c r="K4" s="32">
        <v>0</v>
      </c>
      <c r="L4" s="30">
        <f t="shared" ref="L4:L47" si="2">(E4+F4+G4+H4)-I4-J4-K4</f>
        <v>-1</v>
      </c>
      <c r="M4" s="30">
        <v>-1</v>
      </c>
      <c r="N4" s="173"/>
      <c r="O4" s="176"/>
      <c r="P4" s="27" t="s">
        <v>52</v>
      </c>
      <c r="Q4" s="27"/>
      <c r="R4" s="15" t="s">
        <v>20</v>
      </c>
      <c r="S4" s="12">
        <f>D48</f>
        <v>1766</v>
      </c>
      <c r="U4" s="1"/>
      <c r="V4" s="1"/>
    </row>
    <row r="5" spans="1:22">
      <c r="A5" s="9"/>
      <c r="B5" s="25" t="s">
        <v>77</v>
      </c>
      <c r="C5" s="10" t="s">
        <v>108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773.5</v>
      </c>
      <c r="U5" s="1"/>
      <c r="V5" s="1"/>
    </row>
    <row r="6" spans="1:22">
      <c r="A6" s="9"/>
      <c r="B6" s="25" t="s">
        <v>57</v>
      </c>
      <c r="C6" s="10" t="s">
        <v>109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/>
      <c r="R6" s="16" t="s">
        <v>8</v>
      </c>
      <c r="S6" s="13">
        <f>F48</f>
        <v>84</v>
      </c>
    </row>
    <row r="7" spans="1:22">
      <c r="A7" s="9"/>
      <c r="B7" s="25" t="s">
        <v>110</v>
      </c>
      <c r="C7" s="10" t="s">
        <v>111</v>
      </c>
      <c r="D7" s="7">
        <v>36</v>
      </c>
      <c r="E7" s="11">
        <f t="shared" si="0"/>
        <v>9</v>
      </c>
      <c r="F7" s="11">
        <f t="shared" si="1"/>
        <v>2</v>
      </c>
      <c r="G7" s="11">
        <v>0</v>
      </c>
      <c r="H7" s="11">
        <v>0</v>
      </c>
      <c r="I7" s="33">
        <v>0</v>
      </c>
      <c r="J7" s="33">
        <v>23</v>
      </c>
      <c r="K7" s="33">
        <v>0</v>
      </c>
      <c r="L7" s="30">
        <f t="shared" si="2"/>
        <v>-12</v>
      </c>
      <c r="M7" s="30">
        <v>-12</v>
      </c>
      <c r="N7" s="173">
        <v>-12</v>
      </c>
      <c r="O7" s="92"/>
      <c r="P7" s="27"/>
      <c r="Q7" s="27"/>
      <c r="R7" s="16" t="s">
        <v>9</v>
      </c>
      <c r="S7" s="13">
        <f>G48</f>
        <v>8.25</v>
      </c>
    </row>
    <row r="8" spans="1:22">
      <c r="A8" s="9"/>
      <c r="B8" s="25" t="s">
        <v>39</v>
      </c>
      <c r="C8" s="10" t="s">
        <v>112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 t="s">
        <v>52</v>
      </c>
      <c r="Q8" s="27"/>
      <c r="R8" s="16" t="s">
        <v>10</v>
      </c>
      <c r="S8" s="13">
        <f>H48</f>
        <v>27.5</v>
      </c>
    </row>
    <row r="9" spans="1:22">
      <c r="A9" s="9"/>
      <c r="B9" s="25" t="s">
        <v>103</v>
      </c>
      <c r="C9" s="10" t="s">
        <v>113</v>
      </c>
      <c r="D9" s="7"/>
      <c r="E9" s="11">
        <f t="shared" si="0"/>
        <v>0</v>
      </c>
      <c r="F9" s="11">
        <f t="shared" si="1"/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/>
      <c r="Q9" s="27"/>
      <c r="R9" s="16" t="s">
        <v>11</v>
      </c>
      <c r="S9" s="13">
        <f>I48</f>
        <v>643.61</v>
      </c>
    </row>
    <row r="10" spans="1:22">
      <c r="A10" s="9"/>
      <c r="B10" s="25" t="s">
        <v>101</v>
      </c>
      <c r="C10" s="10" t="s">
        <v>114</v>
      </c>
      <c r="D10" s="7">
        <v>137</v>
      </c>
      <c r="E10" s="11">
        <f t="shared" si="0"/>
        <v>68.5</v>
      </c>
      <c r="F10" s="11">
        <f t="shared" si="1"/>
        <v>6</v>
      </c>
      <c r="G10" s="11">
        <v>0</v>
      </c>
      <c r="H10" s="11">
        <v>0</v>
      </c>
      <c r="I10" s="33">
        <v>26.01</v>
      </c>
      <c r="J10" s="33">
        <v>0</v>
      </c>
      <c r="K10" s="33">
        <v>0</v>
      </c>
      <c r="L10" s="30">
        <f t="shared" si="2"/>
        <v>48.489999999999995</v>
      </c>
      <c r="M10" s="30">
        <v>49</v>
      </c>
      <c r="N10" s="173"/>
      <c r="O10" s="92"/>
      <c r="P10" s="27" t="s">
        <v>141</v>
      </c>
      <c r="Q10" s="27">
        <v>6</v>
      </c>
      <c r="R10" s="16" t="s">
        <v>12</v>
      </c>
      <c r="S10" s="13">
        <f>J48</f>
        <v>153.25</v>
      </c>
    </row>
    <row r="11" spans="1:22">
      <c r="A11" s="9"/>
      <c r="B11" s="25" t="s">
        <v>26</v>
      </c>
      <c r="C11" s="10" t="s">
        <v>115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>
        <v>6</v>
      </c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116</v>
      </c>
      <c r="D12" s="7">
        <v>239</v>
      </c>
      <c r="E12" s="11">
        <f t="shared" si="0"/>
        <v>119.5</v>
      </c>
      <c r="F12" s="11">
        <f t="shared" si="1"/>
        <v>12</v>
      </c>
      <c r="G12" s="11">
        <v>0</v>
      </c>
      <c r="H12" s="11">
        <v>7.5</v>
      </c>
      <c r="I12" s="33">
        <v>128.80000000000001</v>
      </c>
      <c r="J12" s="33">
        <v>0</v>
      </c>
      <c r="K12" s="33">
        <v>0</v>
      </c>
      <c r="L12" s="30">
        <f t="shared" si="2"/>
        <v>10.199999999999989</v>
      </c>
      <c r="M12" s="30">
        <v>11</v>
      </c>
      <c r="N12" s="173"/>
      <c r="O12" s="92"/>
      <c r="P12" s="27"/>
      <c r="Q12" s="27"/>
      <c r="R12" s="17" t="s">
        <v>38</v>
      </c>
      <c r="S12" s="14">
        <f>N48</f>
        <v>-25</v>
      </c>
    </row>
    <row r="13" spans="1:22">
      <c r="A13" s="9"/>
      <c r="B13" s="25" t="s">
        <v>103</v>
      </c>
      <c r="C13" s="10" t="s">
        <v>117</v>
      </c>
      <c r="D13" s="7"/>
      <c r="E13" s="11">
        <f t="shared" si="0"/>
        <v>0</v>
      </c>
      <c r="F13" s="11">
        <f t="shared" si="1"/>
        <v>0</v>
      </c>
      <c r="G13" s="11"/>
      <c r="H13" s="11"/>
      <c r="I13" s="33"/>
      <c r="J13" s="33"/>
      <c r="K13" s="33"/>
      <c r="L13" s="30">
        <f t="shared" si="2"/>
        <v>0</v>
      </c>
      <c r="M13" s="30"/>
      <c r="N13" s="173"/>
      <c r="O13" s="92"/>
      <c r="P13" s="27"/>
      <c r="Q13" s="27">
        <v>6</v>
      </c>
      <c r="R13" s="18"/>
      <c r="S13" s="31">
        <f>S5+S6+S7-S9-S10-S11-S12</f>
        <v>93.889999999999986</v>
      </c>
      <c r="T13" s="22"/>
    </row>
    <row r="14" spans="1:22">
      <c r="A14" s="9"/>
      <c r="B14" s="25" t="s">
        <v>57</v>
      </c>
      <c r="C14" s="10" t="s">
        <v>118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44</v>
      </c>
      <c r="S14" s="20">
        <f>M48</f>
        <v>98</v>
      </c>
    </row>
    <row r="15" spans="1:22">
      <c r="A15" s="9"/>
      <c r="B15" s="25" t="s">
        <v>119</v>
      </c>
      <c r="C15" s="10" t="s">
        <v>120</v>
      </c>
      <c r="D15" s="7">
        <v>77</v>
      </c>
      <c r="E15" s="11">
        <f t="shared" si="0"/>
        <v>19.25</v>
      </c>
      <c r="F15" s="11">
        <f t="shared" si="1"/>
        <v>0</v>
      </c>
      <c r="G15" s="11">
        <v>0</v>
      </c>
      <c r="H15" s="11">
        <v>0</v>
      </c>
      <c r="I15" s="33">
        <v>0</v>
      </c>
      <c r="J15" s="33">
        <v>11.5</v>
      </c>
      <c r="K15" s="33">
        <v>0</v>
      </c>
      <c r="L15" s="30">
        <f t="shared" si="2"/>
        <v>7.75</v>
      </c>
      <c r="M15" s="30">
        <v>7</v>
      </c>
      <c r="N15" s="173"/>
      <c r="O15" s="92"/>
      <c r="P15" s="27" t="s">
        <v>52</v>
      </c>
      <c r="Q15" s="27"/>
    </row>
    <row r="16" spans="1:22">
      <c r="A16" s="9"/>
      <c r="B16" s="25" t="s">
        <v>121</v>
      </c>
      <c r="C16" s="10" t="s">
        <v>122</v>
      </c>
      <c r="D16" s="7">
        <v>54</v>
      </c>
      <c r="E16" s="11">
        <f t="shared" si="0"/>
        <v>13.5</v>
      </c>
      <c r="F16" s="11">
        <f t="shared" si="1"/>
        <v>2</v>
      </c>
      <c r="G16" s="11">
        <v>0</v>
      </c>
      <c r="H16" s="11">
        <v>2.5</v>
      </c>
      <c r="I16" s="33"/>
      <c r="J16" s="33">
        <v>0</v>
      </c>
      <c r="K16" s="33">
        <v>0</v>
      </c>
      <c r="L16" s="30">
        <f t="shared" si="2"/>
        <v>18</v>
      </c>
      <c r="M16" s="30">
        <v>18</v>
      </c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123</v>
      </c>
      <c r="C17" s="10" t="s">
        <v>124</v>
      </c>
      <c r="D17" s="7">
        <v>233</v>
      </c>
      <c r="E17" s="11">
        <f t="shared" si="0"/>
        <v>116.5</v>
      </c>
      <c r="F17" s="11">
        <f t="shared" si="1"/>
        <v>12</v>
      </c>
      <c r="G17" s="11">
        <v>0</v>
      </c>
      <c r="H17" s="11">
        <v>5</v>
      </c>
      <c r="I17" s="33">
        <v>125.3</v>
      </c>
      <c r="J17" s="33">
        <v>0</v>
      </c>
      <c r="K17" s="33">
        <v>0</v>
      </c>
      <c r="L17" s="30">
        <f t="shared" si="2"/>
        <v>8.2000000000000028</v>
      </c>
      <c r="M17" s="30">
        <v>8</v>
      </c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125</v>
      </c>
      <c r="C18" s="10" t="s">
        <v>126</v>
      </c>
      <c r="D18" s="7">
        <v>189</v>
      </c>
      <c r="E18" s="11">
        <f t="shared" si="0"/>
        <v>47.25</v>
      </c>
      <c r="F18" s="11">
        <f t="shared" si="1"/>
        <v>2</v>
      </c>
      <c r="G18" s="11">
        <v>2.75</v>
      </c>
      <c r="H18" s="11">
        <v>0</v>
      </c>
      <c r="I18" s="33">
        <v>72</v>
      </c>
      <c r="J18" s="33">
        <v>0</v>
      </c>
      <c r="K18" s="33">
        <v>0</v>
      </c>
      <c r="L18" s="30">
        <f t="shared" si="2"/>
        <v>-20</v>
      </c>
      <c r="M18" s="30">
        <v>-20</v>
      </c>
      <c r="N18" s="173">
        <v>-13</v>
      </c>
      <c r="O18" s="92" t="s">
        <v>1</v>
      </c>
      <c r="P18" s="27"/>
      <c r="Q18" s="27"/>
      <c r="R18" s="15" t="s">
        <v>53</v>
      </c>
      <c r="S18" s="96" cm="1">
        <f t="array" ref="S18">SUMPRODUCT((VALUE(B4:B47)&lt;100)*(D4:D47&gt;0))</f>
        <v>7</v>
      </c>
      <c r="T18" s="36"/>
      <c r="U18" s="36"/>
    </row>
    <row r="19" spans="1:21">
      <c r="A19" s="9"/>
      <c r="B19" s="25" t="s">
        <v>24</v>
      </c>
      <c r="C19" s="10" t="s">
        <v>127</v>
      </c>
      <c r="D19" s="7">
        <v>174</v>
      </c>
      <c r="E19" s="11">
        <f t="shared" si="0"/>
        <v>87</v>
      </c>
      <c r="F19" s="11">
        <f t="shared" si="1"/>
        <v>12</v>
      </c>
      <c r="G19" s="11">
        <v>0</v>
      </c>
      <c r="H19" s="11">
        <v>5</v>
      </c>
      <c r="I19" s="33">
        <v>57.5</v>
      </c>
      <c r="J19" s="33">
        <v>0</v>
      </c>
      <c r="K19" s="33">
        <v>0</v>
      </c>
      <c r="L19" s="30">
        <f t="shared" si="2"/>
        <v>46.5</v>
      </c>
      <c r="M19" s="30">
        <v>47</v>
      </c>
      <c r="N19" s="173"/>
      <c r="O19" s="92"/>
      <c r="P19" s="27"/>
      <c r="Q19" s="27">
        <v>6</v>
      </c>
      <c r="R19" s="16" t="s">
        <v>56</v>
      </c>
      <c r="S19" s="97" cm="1">
        <f t="array" ref="S19">SUMPRODUCT((VALUE(B4:B47)&gt;100)*(D4:D47&gt;0))</f>
        <v>5</v>
      </c>
      <c r="T19" s="36"/>
      <c r="U19" s="36"/>
    </row>
    <row r="20" spans="1:21">
      <c r="A20" s="9"/>
      <c r="B20" s="25" t="s">
        <v>128</v>
      </c>
      <c r="C20" s="10" t="s">
        <v>129</v>
      </c>
      <c r="D20" s="7">
        <v>206</v>
      </c>
      <c r="E20" s="11">
        <f t="shared" si="0"/>
        <v>103</v>
      </c>
      <c r="F20" s="11">
        <f t="shared" si="1"/>
        <v>12</v>
      </c>
      <c r="G20" s="11">
        <v>2.75</v>
      </c>
      <c r="H20" s="11">
        <v>2.5</v>
      </c>
      <c r="I20" s="33">
        <v>104</v>
      </c>
      <c r="J20" s="33">
        <v>51.75</v>
      </c>
      <c r="K20" s="33">
        <v>0</v>
      </c>
      <c r="L20" s="30">
        <f t="shared" si="2"/>
        <v>-35.5</v>
      </c>
      <c r="M20" s="30">
        <v>-35</v>
      </c>
      <c r="N20" s="173"/>
      <c r="O20" s="92"/>
      <c r="P20" s="27">
        <v>0</v>
      </c>
      <c r="Q20" s="27"/>
      <c r="R20" s="17" t="s">
        <v>59</v>
      </c>
      <c r="S20" s="98">
        <f>S18+S19</f>
        <v>12</v>
      </c>
      <c r="T20" s="36"/>
      <c r="U20" s="36"/>
    </row>
    <row r="21" spans="1:21">
      <c r="A21" s="9"/>
      <c r="B21" s="25" t="s">
        <v>142</v>
      </c>
      <c r="C21" s="10" t="s">
        <v>143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132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</row>
    <row r="23" spans="1:21">
      <c r="A23" s="9" t="s">
        <v>144</v>
      </c>
      <c r="B23" s="25" t="s">
        <v>49</v>
      </c>
      <c r="C23" s="10" t="s">
        <v>133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 t="s">
        <v>52</v>
      </c>
      <c r="Q23" s="99">
        <v>0</v>
      </c>
    </row>
    <row r="24" spans="1:21">
      <c r="A24" s="9"/>
      <c r="B24" s="25" t="s">
        <v>134</v>
      </c>
      <c r="C24" s="10" t="s">
        <v>135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136</v>
      </c>
      <c r="D25" s="7">
        <v>199</v>
      </c>
      <c r="E25" s="11">
        <f t="shared" si="0"/>
        <v>99.5</v>
      </c>
      <c r="F25" s="11">
        <f t="shared" si="1"/>
        <v>12</v>
      </c>
      <c r="G25" s="11">
        <v>2.75</v>
      </c>
      <c r="H25" s="11">
        <v>5</v>
      </c>
      <c r="I25" s="33">
        <v>89.5</v>
      </c>
      <c r="J25" s="33">
        <v>22.5</v>
      </c>
      <c r="K25" s="33">
        <v>0</v>
      </c>
      <c r="L25" s="30">
        <f t="shared" si="2"/>
        <v>7.25</v>
      </c>
      <c r="M25" s="30">
        <v>7</v>
      </c>
      <c r="N25" s="173"/>
      <c r="O25" s="92"/>
      <c r="P25" s="27"/>
      <c r="Q25" s="27">
        <v>6</v>
      </c>
    </row>
    <row r="26" spans="1:21">
      <c r="A26" s="9"/>
      <c r="B26" s="25" t="s">
        <v>39</v>
      </c>
      <c r="C26" s="10" t="s">
        <v>137</v>
      </c>
      <c r="D26" s="7">
        <v>140</v>
      </c>
      <c r="E26" s="11">
        <f t="shared" si="0"/>
        <v>70</v>
      </c>
      <c r="F26" s="11">
        <f t="shared" si="1"/>
        <v>12</v>
      </c>
      <c r="G26" s="11">
        <v>0</v>
      </c>
      <c r="H26" s="11">
        <v>0</v>
      </c>
      <c r="I26" s="33">
        <v>29</v>
      </c>
      <c r="J26" s="33">
        <v>34.5</v>
      </c>
      <c r="K26" s="33">
        <v>0</v>
      </c>
      <c r="L26" s="30">
        <f t="shared" si="2"/>
        <v>18.5</v>
      </c>
      <c r="M26" s="30">
        <v>19</v>
      </c>
      <c r="N26" s="173"/>
      <c r="O26" s="92"/>
      <c r="P26" s="27"/>
      <c r="Q26" s="172">
        <v>6</v>
      </c>
    </row>
    <row r="27" spans="1:21">
      <c r="A27" s="9"/>
      <c r="B27" s="25" t="s">
        <v>138</v>
      </c>
      <c r="C27" s="10" t="s">
        <v>104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139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>
        <v>6</v>
      </c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>
        <v>0</v>
      </c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1766</v>
      </c>
      <c r="E48" s="21">
        <f t="shared" si="3"/>
        <v>773.5</v>
      </c>
      <c r="F48" s="3">
        <f t="shared" si="3"/>
        <v>84</v>
      </c>
      <c r="G48" s="3">
        <f t="shared" si="3"/>
        <v>8.25</v>
      </c>
      <c r="H48" s="3">
        <f t="shared" si="3"/>
        <v>27.5</v>
      </c>
      <c r="I48" s="3">
        <f t="shared" si="3"/>
        <v>643.61</v>
      </c>
      <c r="J48" s="3">
        <f t="shared" si="3"/>
        <v>153.25</v>
      </c>
      <c r="K48" s="3">
        <f t="shared" si="3"/>
        <v>0</v>
      </c>
      <c r="L48" s="3">
        <f t="shared" si="3"/>
        <v>96.389999999999986</v>
      </c>
      <c r="M48" s="3">
        <f t="shared" si="3"/>
        <v>98</v>
      </c>
      <c r="N48" s="3">
        <f t="shared" si="3"/>
        <v>-25</v>
      </c>
      <c r="O48" s="178"/>
    </row>
  </sheetData>
  <sortState xmlns:xlrd2="http://schemas.microsoft.com/office/spreadsheetml/2017/richdata2" ref="C4:C20">
    <sortCondition ref="C4:C20"/>
  </sortState>
  <mergeCells count="1">
    <mergeCell ref="R27:S27"/>
  </mergeCells>
  <conditionalFormatting sqref="C4:C47">
    <cfRule type="expression" dxfId="24" priority="1">
      <formula>$M4&lt;0</formula>
    </cfRule>
  </conditionalFormatting>
  <conditionalFormatting sqref="M4:M47">
    <cfRule type="cellIs" dxfId="23" priority="2" operator="lessThan">
      <formula>0</formula>
    </cfRule>
  </conditionalFormatting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52"/>
  <sheetViews>
    <sheetView showGridLines="0" topLeftCell="A16" workbookViewId="0">
      <selection activeCell="N24" sqref="N24"/>
    </sheetView>
  </sheetViews>
  <sheetFormatPr defaultRowHeight="15"/>
  <cols>
    <col min="1" max="1" width="6.5703125" style="1" customWidth="1"/>
    <col min="2" max="2" width="12.140625" style="26" customWidth="1"/>
    <col min="3" max="3" width="15.7109375" style="1" bestFit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4.425781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AM'!B1+2</f>
        <v>45434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>
        <v>309</v>
      </c>
      <c r="E4" s="11">
        <f t="shared" ref="E4:E47" si="0">IF(AND(VALUE(B4)&lt;100, D4&gt;0),D4*0.5,D4*0.25)</f>
        <v>77.25</v>
      </c>
      <c r="F4" s="11">
        <f t="shared" ref="F4:F47" si="1">IF(P4="C",Q4,IF(AND(VALUE(B4)&lt;100, D4&gt;0),12,IF(D4&gt;0,2,0)))</f>
        <v>2</v>
      </c>
      <c r="G4" s="11">
        <v>5.5</v>
      </c>
      <c r="H4" s="11">
        <v>2.5</v>
      </c>
      <c r="I4" s="32">
        <v>70.5</v>
      </c>
      <c r="J4" s="32">
        <v>56.69</v>
      </c>
      <c r="K4" s="32">
        <v>0</v>
      </c>
      <c r="L4" s="30">
        <f t="shared" ref="L4:L47" si="2">(E4+F4+G4+H4)-I4-J4-K4</f>
        <v>-39.94</v>
      </c>
      <c r="M4" s="30">
        <v>-40</v>
      </c>
      <c r="N4" s="173"/>
      <c r="O4" s="176"/>
      <c r="P4" s="27"/>
      <c r="Q4" s="27"/>
      <c r="R4" s="15" t="s">
        <v>20</v>
      </c>
      <c r="S4" s="12">
        <f>D48</f>
        <v>8064.6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3555.4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/>
      <c r="R6" s="16" t="s">
        <v>8</v>
      </c>
      <c r="S6" s="13">
        <f>F48</f>
        <v>268</v>
      </c>
      <c r="U6" s="22"/>
    </row>
    <row r="7" spans="1:22">
      <c r="A7" s="9"/>
      <c r="B7" s="25" t="s">
        <v>26</v>
      </c>
      <c r="C7" s="10" t="s">
        <v>27</v>
      </c>
      <c r="D7" s="7">
        <v>201</v>
      </c>
      <c r="E7" s="11">
        <f t="shared" si="0"/>
        <v>100.5</v>
      </c>
      <c r="F7" s="11">
        <f t="shared" si="1"/>
        <v>12</v>
      </c>
      <c r="G7" s="11">
        <v>2.75</v>
      </c>
      <c r="H7" s="11">
        <v>5</v>
      </c>
      <c r="I7" s="33">
        <v>65.19</v>
      </c>
      <c r="J7" s="33">
        <v>22.4</v>
      </c>
      <c r="K7" s="33">
        <v>0</v>
      </c>
      <c r="L7" s="30">
        <f t="shared" si="2"/>
        <v>32.660000000000004</v>
      </c>
      <c r="M7" s="30">
        <v>33</v>
      </c>
      <c r="N7" s="173"/>
      <c r="O7" s="92"/>
      <c r="P7" s="27"/>
      <c r="Q7" s="27"/>
      <c r="R7" s="16" t="s">
        <v>9</v>
      </c>
      <c r="S7" s="13">
        <f>G48</f>
        <v>96.25</v>
      </c>
      <c r="U7" s="22"/>
    </row>
    <row r="8" spans="1:22">
      <c r="A8" s="9"/>
      <c r="B8" s="25" t="s">
        <v>28</v>
      </c>
      <c r="C8" s="10" t="s">
        <v>29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75</v>
      </c>
      <c r="U8" s="22"/>
    </row>
    <row r="9" spans="1:22">
      <c r="A9" s="9"/>
      <c r="B9" s="25" t="s">
        <v>30</v>
      </c>
      <c r="C9" s="10" t="s">
        <v>31</v>
      </c>
      <c r="D9" s="7">
        <v>277</v>
      </c>
      <c r="E9" s="11">
        <f t="shared" si="0"/>
        <v>138.5</v>
      </c>
      <c r="F9" s="11">
        <f t="shared" si="1"/>
        <v>12</v>
      </c>
      <c r="G9" s="11">
        <v>0</v>
      </c>
      <c r="H9" s="11">
        <v>5</v>
      </c>
      <c r="I9" s="33">
        <v>15</v>
      </c>
      <c r="J9" s="33">
        <v>129.55000000000001</v>
      </c>
      <c r="K9" s="33">
        <v>0</v>
      </c>
      <c r="L9" s="30">
        <f t="shared" si="2"/>
        <v>10.949999999999989</v>
      </c>
      <c r="M9" s="30">
        <v>11</v>
      </c>
      <c r="N9" s="173"/>
      <c r="O9" s="92"/>
      <c r="P9" s="27"/>
      <c r="Q9" s="27">
        <v>6</v>
      </c>
      <c r="R9" s="16" t="s">
        <v>11</v>
      </c>
      <c r="S9" s="13">
        <f>I48</f>
        <v>3110.7799999999997</v>
      </c>
      <c r="U9" s="22"/>
    </row>
    <row r="10" spans="1:22">
      <c r="A10" s="9"/>
      <c r="B10" s="25" t="s">
        <v>32</v>
      </c>
      <c r="C10" s="10" t="s">
        <v>33</v>
      </c>
      <c r="D10" s="7">
        <v>188</v>
      </c>
      <c r="E10" s="11">
        <f t="shared" si="0"/>
        <v>47</v>
      </c>
      <c r="F10" s="11">
        <f t="shared" si="1"/>
        <v>2</v>
      </c>
      <c r="G10" s="11">
        <v>0</v>
      </c>
      <c r="H10" s="11">
        <v>0</v>
      </c>
      <c r="I10" s="33">
        <v>25.2</v>
      </c>
      <c r="J10" s="33">
        <v>48.88</v>
      </c>
      <c r="K10" s="33">
        <v>0</v>
      </c>
      <c r="L10" s="30">
        <f t="shared" si="2"/>
        <v>-25.080000000000002</v>
      </c>
      <c r="M10" s="30">
        <v>-25</v>
      </c>
      <c r="N10" s="173"/>
      <c r="O10" s="92"/>
      <c r="P10" s="27"/>
      <c r="Q10" s="27"/>
      <c r="R10" s="16" t="s">
        <v>12</v>
      </c>
      <c r="S10" s="13">
        <f>J48</f>
        <v>1858.94</v>
      </c>
      <c r="U10" s="22"/>
    </row>
    <row r="11" spans="1:22">
      <c r="A11" s="9"/>
      <c r="B11" s="25" t="s">
        <v>34</v>
      </c>
      <c r="C11" s="10" t="s">
        <v>35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>
        <v>354.6</v>
      </c>
      <c r="E12" s="11">
        <f t="shared" si="0"/>
        <v>88.65</v>
      </c>
      <c r="F12" s="11">
        <f t="shared" si="1"/>
        <v>2</v>
      </c>
      <c r="G12" s="11">
        <v>2.75</v>
      </c>
      <c r="H12" s="11">
        <v>2.5</v>
      </c>
      <c r="I12" s="33">
        <v>135.19999999999999</v>
      </c>
      <c r="J12" s="33">
        <v>204.75</v>
      </c>
      <c r="K12" s="33">
        <v>0</v>
      </c>
      <c r="L12" s="30">
        <f>(E12+F12+G12+H12)-I12-J12-K12</f>
        <v>-244.04999999999998</v>
      </c>
      <c r="M12" s="30">
        <v>-244</v>
      </c>
      <c r="N12" s="173">
        <v>-21</v>
      </c>
      <c r="O12" s="92" t="s">
        <v>145</v>
      </c>
      <c r="P12" s="27"/>
      <c r="Q12" s="27"/>
      <c r="R12" s="17" t="s">
        <v>38</v>
      </c>
      <c r="S12" s="14">
        <f>N48</f>
        <v>-43</v>
      </c>
      <c r="U12" s="22"/>
    </row>
    <row r="13" spans="1:22">
      <c r="A13" s="9"/>
      <c r="B13" s="25" t="s">
        <v>39</v>
      </c>
      <c r="C13" s="10" t="s">
        <v>40</v>
      </c>
      <c r="D13" s="7">
        <v>315</v>
      </c>
      <c r="E13" s="11">
        <f t="shared" si="0"/>
        <v>157.5</v>
      </c>
      <c r="F13" s="11">
        <f t="shared" si="1"/>
        <v>12</v>
      </c>
      <c r="G13" s="11">
        <v>8.25</v>
      </c>
      <c r="H13" s="11">
        <v>2.5</v>
      </c>
      <c r="I13" s="33">
        <v>160.59</v>
      </c>
      <c r="J13" s="33">
        <v>82.25</v>
      </c>
      <c r="K13" s="33">
        <v>0</v>
      </c>
      <c r="L13" s="30">
        <f>(E13+F13+G13+H13)-I13-J13-K13</f>
        <v>-62.59</v>
      </c>
      <c r="M13" s="30">
        <v>-63</v>
      </c>
      <c r="N13" s="173"/>
      <c r="O13" s="92"/>
      <c r="P13" s="27"/>
      <c r="Q13" s="27">
        <v>0</v>
      </c>
      <c r="R13" s="18"/>
      <c r="S13" s="31">
        <f>S5+S6+S7-S9-S10-S11-S12</f>
        <v>-1007.0699999999997</v>
      </c>
      <c r="U13" s="22"/>
    </row>
    <row r="14" spans="1:22">
      <c r="A14" s="9"/>
      <c r="B14" s="25" t="s">
        <v>41</v>
      </c>
      <c r="C14" s="10" t="s">
        <v>42</v>
      </c>
      <c r="D14" s="7">
        <v>258</v>
      </c>
      <c r="E14" s="11">
        <f t="shared" si="0"/>
        <v>129</v>
      </c>
      <c r="F14" s="11">
        <f t="shared" si="1"/>
        <v>12</v>
      </c>
      <c r="G14" s="11">
        <v>2.75</v>
      </c>
      <c r="H14" s="11">
        <v>2.5</v>
      </c>
      <c r="I14" s="33">
        <v>85.5</v>
      </c>
      <c r="J14" s="33">
        <v>11.5</v>
      </c>
      <c r="K14" s="33">
        <v>0</v>
      </c>
      <c r="L14" s="30">
        <f t="shared" si="2"/>
        <v>49.25</v>
      </c>
      <c r="M14" s="30">
        <v>49</v>
      </c>
      <c r="N14" s="173"/>
      <c r="O14" s="92"/>
      <c r="P14" s="27"/>
      <c r="Q14" s="27"/>
      <c r="R14" s="19" t="s">
        <v>44</v>
      </c>
      <c r="S14" s="20">
        <f>M48</f>
        <v>-976</v>
      </c>
      <c r="U14" s="22"/>
    </row>
    <row r="15" spans="1:22">
      <c r="A15" s="9"/>
      <c r="B15" s="25" t="s">
        <v>45</v>
      </c>
      <c r="C15" s="10" t="s">
        <v>46</v>
      </c>
      <c r="D15" s="7">
        <v>151</v>
      </c>
      <c r="E15" s="11">
        <f t="shared" si="0"/>
        <v>37.75</v>
      </c>
      <c r="F15" s="11">
        <f t="shared" si="1"/>
        <v>2</v>
      </c>
      <c r="G15" s="11">
        <v>2.75</v>
      </c>
      <c r="H15" s="11">
        <v>0</v>
      </c>
      <c r="I15" s="33">
        <v>80.94</v>
      </c>
      <c r="J15" s="33">
        <v>46</v>
      </c>
      <c r="K15" s="33">
        <v>0</v>
      </c>
      <c r="L15" s="30">
        <f t="shared" si="2"/>
        <v>-84.44</v>
      </c>
      <c r="M15" s="30">
        <v>-84</v>
      </c>
      <c r="N15" s="173"/>
      <c r="O15" s="92"/>
      <c r="P15" s="27"/>
      <c r="Q15" s="27"/>
      <c r="U15" s="22"/>
    </row>
    <row r="16" spans="1:22">
      <c r="A16" s="9"/>
      <c r="B16" s="25" t="s">
        <v>47</v>
      </c>
      <c r="C16" s="10" t="s">
        <v>48</v>
      </c>
      <c r="D16" s="7">
        <v>407</v>
      </c>
      <c r="E16" s="11">
        <f t="shared" si="0"/>
        <v>203.5</v>
      </c>
      <c r="F16" s="11">
        <f t="shared" si="1"/>
        <v>12</v>
      </c>
      <c r="G16" s="11">
        <v>8.25</v>
      </c>
      <c r="H16" s="11">
        <v>7.5</v>
      </c>
      <c r="I16" s="33">
        <v>167.69</v>
      </c>
      <c r="J16" s="33">
        <v>218.43</v>
      </c>
      <c r="K16" s="33">
        <v>0</v>
      </c>
      <c r="L16" s="30">
        <f t="shared" si="2"/>
        <v>-154.87</v>
      </c>
      <c r="M16" s="30">
        <v>-155</v>
      </c>
      <c r="N16" s="173"/>
      <c r="O16" s="92"/>
      <c r="P16" s="27"/>
      <c r="Q16" s="27">
        <v>6</v>
      </c>
      <c r="U16" s="22"/>
    </row>
    <row r="17" spans="1:21">
      <c r="A17" s="9"/>
      <c r="B17" s="25" t="s">
        <v>49</v>
      </c>
      <c r="C17" s="10" t="s">
        <v>50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51</v>
      </c>
      <c r="D18" s="7">
        <v>321</v>
      </c>
      <c r="E18" s="11">
        <f t="shared" si="0"/>
        <v>160.5</v>
      </c>
      <c r="F18" s="11">
        <f t="shared" si="1"/>
        <v>12</v>
      </c>
      <c r="G18" s="11">
        <v>8.25</v>
      </c>
      <c r="H18" s="11">
        <v>2.5</v>
      </c>
      <c r="I18" s="33">
        <v>265.38</v>
      </c>
      <c r="J18" s="33">
        <v>6.9</v>
      </c>
      <c r="K18" s="33">
        <v>0</v>
      </c>
      <c r="L18" s="30">
        <f t="shared" si="2"/>
        <v>-89.03</v>
      </c>
      <c r="M18" s="30">
        <v>-89</v>
      </c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21</v>
      </c>
      <c r="T18" s="36"/>
      <c r="U18" s="22"/>
    </row>
    <row r="19" spans="1:21">
      <c r="A19" s="9"/>
      <c r="B19" s="25" t="s">
        <v>54</v>
      </c>
      <c r="C19" s="10" t="s">
        <v>55</v>
      </c>
      <c r="D19" s="7">
        <v>263</v>
      </c>
      <c r="E19" s="11">
        <f t="shared" si="0"/>
        <v>131.5</v>
      </c>
      <c r="F19" s="11">
        <f t="shared" si="1"/>
        <v>12</v>
      </c>
      <c r="G19" s="11">
        <v>5.5</v>
      </c>
      <c r="H19" s="11">
        <v>0</v>
      </c>
      <c r="I19" s="33">
        <v>111.13</v>
      </c>
      <c r="J19" s="33">
        <v>8.0500000000000007</v>
      </c>
      <c r="K19" s="33">
        <v>0</v>
      </c>
      <c r="L19" s="30">
        <f t="shared" si="2"/>
        <v>29.820000000000004</v>
      </c>
      <c r="M19" s="30">
        <v>30</v>
      </c>
      <c r="N19" s="173"/>
      <c r="O19" s="92"/>
      <c r="P19" s="27"/>
      <c r="Q19" s="27"/>
      <c r="R19" s="16" t="s">
        <v>56</v>
      </c>
      <c r="S19" s="97" cm="1">
        <f t="array" ref="S19">SUMPRODUCT((VALUE(B4:B47)&gt;100)*(D4:D47&gt;0))</f>
        <v>9</v>
      </c>
      <c r="U19" s="22"/>
    </row>
    <row r="20" spans="1:21">
      <c r="A20" s="9"/>
      <c r="B20" s="25" t="s">
        <v>57</v>
      </c>
      <c r="C20" s="10" t="s">
        <v>58</v>
      </c>
      <c r="D20" s="7">
        <v>238</v>
      </c>
      <c r="E20" s="11">
        <f t="shared" si="0"/>
        <v>119</v>
      </c>
      <c r="F20" s="11">
        <f t="shared" si="1"/>
        <v>12</v>
      </c>
      <c r="G20" s="11">
        <v>0</v>
      </c>
      <c r="H20" s="11">
        <v>5</v>
      </c>
      <c r="I20" s="33">
        <v>55.3</v>
      </c>
      <c r="J20" s="33">
        <v>46</v>
      </c>
      <c r="K20" s="33">
        <v>0</v>
      </c>
      <c r="L20" s="30">
        <f t="shared" si="2"/>
        <v>34.700000000000003</v>
      </c>
      <c r="M20" s="30">
        <v>35</v>
      </c>
      <c r="N20" s="173"/>
      <c r="O20" s="92"/>
      <c r="P20" s="27"/>
      <c r="Q20" s="27"/>
      <c r="R20" s="17" t="s">
        <v>59</v>
      </c>
      <c r="S20" s="98">
        <f>S18+S19</f>
        <v>30</v>
      </c>
      <c r="U20" s="22"/>
    </row>
    <row r="21" spans="1:21">
      <c r="A21" s="9"/>
      <c r="B21" s="25" t="s">
        <v>60</v>
      </c>
      <c r="C21" s="10" t="s">
        <v>61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62</v>
      </c>
      <c r="C22" s="10" t="s">
        <v>63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  <c r="U22" s="22"/>
    </row>
    <row r="23" spans="1:21">
      <c r="A23" s="9"/>
      <c r="B23" s="25" t="s">
        <v>64</v>
      </c>
      <c r="C23" s="10" t="s">
        <v>65</v>
      </c>
      <c r="D23" s="7">
        <v>274</v>
      </c>
      <c r="E23" s="11">
        <f t="shared" si="0"/>
        <v>137</v>
      </c>
      <c r="F23" s="11">
        <f t="shared" si="1"/>
        <v>12</v>
      </c>
      <c r="G23" s="11">
        <v>2.75</v>
      </c>
      <c r="H23" s="11">
        <v>2.5</v>
      </c>
      <c r="I23" s="33">
        <v>107.5</v>
      </c>
      <c r="J23" s="33">
        <v>0</v>
      </c>
      <c r="K23" s="33">
        <v>0</v>
      </c>
      <c r="L23" s="30">
        <f t="shared" si="2"/>
        <v>46.75</v>
      </c>
      <c r="M23" s="30">
        <v>47</v>
      </c>
      <c r="N23" s="173"/>
      <c r="O23" s="92"/>
      <c r="P23" s="27"/>
      <c r="Q23" s="27"/>
      <c r="U23" s="22"/>
    </row>
    <row r="24" spans="1:21">
      <c r="A24" s="9"/>
      <c r="B24" s="25" t="s">
        <v>66</v>
      </c>
      <c r="C24" s="10" t="s">
        <v>67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62</v>
      </c>
      <c r="C25" s="10" t="s">
        <v>68</v>
      </c>
      <c r="D25" s="7">
        <v>257</v>
      </c>
      <c r="E25" s="11">
        <f t="shared" si="0"/>
        <v>128.5</v>
      </c>
      <c r="F25" s="11">
        <f t="shared" si="1"/>
        <v>12</v>
      </c>
      <c r="G25" s="11">
        <v>0</v>
      </c>
      <c r="H25" s="11">
        <v>0</v>
      </c>
      <c r="I25" s="33">
        <v>15</v>
      </c>
      <c r="J25" s="33">
        <v>137.1</v>
      </c>
      <c r="K25" s="33">
        <v>0</v>
      </c>
      <c r="L25" s="30">
        <f t="shared" si="2"/>
        <v>-11.599999999999994</v>
      </c>
      <c r="M25" s="30">
        <v>-12</v>
      </c>
      <c r="N25" s="173"/>
      <c r="O25" s="92"/>
      <c r="P25" s="27"/>
      <c r="Q25" s="27">
        <v>6</v>
      </c>
      <c r="U25" s="22"/>
    </row>
    <row r="26" spans="1:21">
      <c r="A26" s="9"/>
      <c r="B26" s="25" t="s">
        <v>60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P27" s="27"/>
      <c r="Q27" s="27"/>
      <c r="S27" s="22"/>
      <c r="T27" s="27">
        <v>6</v>
      </c>
      <c r="U27" s="22"/>
    </row>
    <row r="28" spans="1:21">
      <c r="A28" s="9"/>
      <c r="B28" s="25" t="s">
        <v>64</v>
      </c>
      <c r="C28" s="10" t="s">
        <v>72</v>
      </c>
      <c r="D28" s="7">
        <v>335</v>
      </c>
      <c r="E28" s="11">
        <f t="shared" si="0"/>
        <v>167.5</v>
      </c>
      <c r="F28" s="11">
        <f t="shared" si="1"/>
        <v>12</v>
      </c>
      <c r="G28" s="11">
        <v>0</v>
      </c>
      <c r="H28" s="11">
        <v>0</v>
      </c>
      <c r="I28" s="33">
        <v>0</v>
      </c>
      <c r="J28" s="33">
        <v>220</v>
      </c>
      <c r="K28" s="33">
        <v>0</v>
      </c>
      <c r="L28" s="30">
        <f t="shared" si="2"/>
        <v>-40.5</v>
      </c>
      <c r="M28" s="30">
        <v>-40</v>
      </c>
      <c r="N28" s="173"/>
      <c r="O28" s="92"/>
      <c r="P28" s="27"/>
      <c r="Q28" s="27"/>
      <c r="S28" s="22"/>
      <c r="T28" s="27">
        <v>4</v>
      </c>
      <c r="U28" s="22"/>
    </row>
    <row r="29" spans="1:21">
      <c r="A29" s="9"/>
      <c r="B29" s="25" t="s">
        <v>57</v>
      </c>
      <c r="C29" s="10" t="s">
        <v>73</v>
      </c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P29" s="27"/>
      <c r="Q29" s="27">
        <v>6</v>
      </c>
      <c r="S29" s="22"/>
      <c r="U29" s="22"/>
    </row>
    <row r="30" spans="1:21">
      <c r="A30" s="9"/>
      <c r="B30" s="25" t="s">
        <v>70</v>
      </c>
      <c r="C30" s="10" t="s">
        <v>74</v>
      </c>
      <c r="D30" s="7">
        <v>364</v>
      </c>
      <c r="E30" s="11">
        <f t="shared" si="0"/>
        <v>182</v>
      </c>
      <c r="F30" s="11">
        <f t="shared" si="1"/>
        <v>12</v>
      </c>
      <c r="G30" s="11">
        <v>8.25</v>
      </c>
      <c r="H30" s="11">
        <v>2.5</v>
      </c>
      <c r="I30" s="33">
        <v>246.69</v>
      </c>
      <c r="J30" s="33">
        <v>0</v>
      </c>
      <c r="K30" s="33">
        <v>0</v>
      </c>
      <c r="L30" s="30">
        <f t="shared" si="2"/>
        <v>-41.94</v>
      </c>
      <c r="M30" s="30">
        <v>-42</v>
      </c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>
        <v>150</v>
      </c>
      <c r="E31" s="11">
        <f t="shared" si="0"/>
        <v>37.5</v>
      </c>
      <c r="F31" s="11">
        <f t="shared" si="1"/>
        <v>2</v>
      </c>
      <c r="G31" s="11">
        <v>0</v>
      </c>
      <c r="H31" s="11">
        <v>2.5</v>
      </c>
      <c r="I31" s="33">
        <v>24</v>
      </c>
      <c r="J31" s="33">
        <v>23</v>
      </c>
      <c r="K31" s="33">
        <v>0</v>
      </c>
      <c r="L31" s="30">
        <f t="shared" si="2"/>
        <v>-5</v>
      </c>
      <c r="M31" s="30">
        <v>-5</v>
      </c>
      <c r="N31" s="173"/>
      <c r="O31" s="92"/>
      <c r="P31" s="27"/>
      <c r="Q31" s="27"/>
      <c r="U31" s="22"/>
    </row>
    <row r="32" spans="1:21">
      <c r="A32" s="9"/>
      <c r="B32" s="25" t="s">
        <v>123</v>
      </c>
      <c r="C32" s="10" t="s">
        <v>78</v>
      </c>
      <c r="D32" s="7">
        <v>315</v>
      </c>
      <c r="E32" s="11">
        <f t="shared" si="0"/>
        <v>157.5</v>
      </c>
      <c r="F32" s="11">
        <f t="shared" si="1"/>
        <v>12</v>
      </c>
      <c r="G32" s="11">
        <v>0</v>
      </c>
      <c r="H32" s="11">
        <v>0</v>
      </c>
      <c r="I32" s="33">
        <v>45</v>
      </c>
      <c r="J32" s="33">
        <v>226.75</v>
      </c>
      <c r="K32" s="33">
        <v>0</v>
      </c>
      <c r="L32" s="30">
        <f t="shared" si="2"/>
        <v>-102.25</v>
      </c>
      <c r="M32" s="30">
        <v>-102</v>
      </c>
      <c r="N32" s="173">
        <v>-15</v>
      </c>
      <c r="O32" s="92" t="s">
        <v>145</v>
      </c>
      <c r="P32" s="27"/>
      <c r="Q32" s="27"/>
      <c r="U32" s="22"/>
    </row>
    <row r="33" spans="1:21">
      <c r="A33" s="9"/>
      <c r="B33" s="25" t="s">
        <v>79</v>
      </c>
      <c r="C33" s="10" t="s">
        <v>80</v>
      </c>
      <c r="D33" s="7">
        <v>273</v>
      </c>
      <c r="E33" s="11">
        <f t="shared" si="0"/>
        <v>136.5</v>
      </c>
      <c r="F33" s="11">
        <f t="shared" si="1"/>
        <v>12</v>
      </c>
      <c r="G33" s="11">
        <v>8.25</v>
      </c>
      <c r="H33" s="11">
        <v>2.5</v>
      </c>
      <c r="I33" s="33">
        <v>0</v>
      </c>
      <c r="J33" s="33">
        <v>8.0500000000000007</v>
      </c>
      <c r="K33" s="33">
        <v>0</v>
      </c>
      <c r="L33" s="30">
        <f t="shared" si="2"/>
        <v>151.19999999999999</v>
      </c>
      <c r="M33" s="30">
        <v>151</v>
      </c>
      <c r="N33" s="173"/>
      <c r="O33" s="92"/>
      <c r="P33" s="27"/>
      <c r="Q33" s="27"/>
      <c r="U33" s="22"/>
    </row>
    <row r="34" spans="1:21">
      <c r="A34" s="9"/>
      <c r="B34" s="25" t="s">
        <v>81</v>
      </c>
      <c r="C34" s="10" t="s">
        <v>82</v>
      </c>
      <c r="D34" s="7">
        <v>191</v>
      </c>
      <c r="E34" s="11">
        <f t="shared" si="0"/>
        <v>47.75</v>
      </c>
      <c r="F34" s="11">
        <f t="shared" si="1"/>
        <v>2</v>
      </c>
      <c r="G34" s="11">
        <v>5.5</v>
      </c>
      <c r="H34" s="11">
        <v>0</v>
      </c>
      <c r="I34" s="33">
        <v>6</v>
      </c>
      <c r="J34" s="33">
        <v>0</v>
      </c>
      <c r="K34" s="33">
        <v>0</v>
      </c>
      <c r="L34" s="30">
        <f t="shared" si="2"/>
        <v>49.25</v>
      </c>
      <c r="M34" s="30">
        <v>49</v>
      </c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83</v>
      </c>
      <c r="D35" s="7">
        <v>263</v>
      </c>
      <c r="E35" s="11">
        <f t="shared" si="0"/>
        <v>131.5</v>
      </c>
      <c r="F35" s="11">
        <f t="shared" si="1"/>
        <v>12</v>
      </c>
      <c r="G35" s="11">
        <v>2.75</v>
      </c>
      <c r="H35" s="11">
        <v>0</v>
      </c>
      <c r="I35" s="33">
        <v>77.290000000000006</v>
      </c>
      <c r="J35" s="33">
        <v>88.55</v>
      </c>
      <c r="K35" s="33">
        <v>0</v>
      </c>
      <c r="L35" s="30">
        <f t="shared" si="2"/>
        <v>-19.590000000000003</v>
      </c>
      <c r="M35" s="30">
        <v>-20</v>
      </c>
      <c r="N35" s="173"/>
      <c r="O35" s="92"/>
      <c r="P35" s="27"/>
      <c r="Q35" s="27"/>
      <c r="U35" s="22"/>
    </row>
    <row r="36" spans="1:21">
      <c r="A36" s="9"/>
      <c r="B36" s="25" t="s">
        <v>62</v>
      </c>
      <c r="C36" s="10" t="s">
        <v>84</v>
      </c>
      <c r="D36" s="7">
        <v>259</v>
      </c>
      <c r="E36" s="11">
        <f t="shared" si="0"/>
        <v>129.5</v>
      </c>
      <c r="F36" s="11">
        <f t="shared" si="1"/>
        <v>12</v>
      </c>
      <c r="G36" s="11">
        <v>2.75</v>
      </c>
      <c r="H36" s="11">
        <v>2.5</v>
      </c>
      <c r="I36" s="33">
        <v>122.63</v>
      </c>
      <c r="J36" s="33">
        <v>82.8</v>
      </c>
      <c r="K36" s="33">
        <v>0</v>
      </c>
      <c r="L36" s="30">
        <f t="shared" si="2"/>
        <v>-58.679999999999993</v>
      </c>
      <c r="M36" s="30">
        <v>-59</v>
      </c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>
        <v>184</v>
      </c>
      <c r="E37" s="11">
        <f t="shared" si="0"/>
        <v>46</v>
      </c>
      <c r="F37" s="11">
        <f t="shared" si="1"/>
        <v>0</v>
      </c>
      <c r="G37" s="11">
        <v>0</v>
      </c>
      <c r="H37" s="11">
        <v>5</v>
      </c>
      <c r="I37" s="33">
        <v>69.099999999999994</v>
      </c>
      <c r="J37" s="33">
        <v>19.55</v>
      </c>
      <c r="K37" s="33">
        <v>0</v>
      </c>
      <c r="L37" s="30">
        <f t="shared" si="2"/>
        <v>-37.649999999999991</v>
      </c>
      <c r="M37" s="30">
        <v>-38</v>
      </c>
      <c r="N37" s="173">
        <v>-7</v>
      </c>
      <c r="O37" s="92" t="s">
        <v>146</v>
      </c>
      <c r="P37" s="27" t="s">
        <v>52</v>
      </c>
      <c r="Q37" s="27"/>
      <c r="U37" s="22"/>
    </row>
    <row r="38" spans="1:21">
      <c r="A38" s="9"/>
      <c r="B38" s="25" t="s">
        <v>87</v>
      </c>
      <c r="C38" s="10" t="s">
        <v>88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>
        <v>6</v>
      </c>
      <c r="U38" s="22"/>
    </row>
    <row r="39" spans="1:21">
      <c r="A39" s="9"/>
      <c r="B39" s="25" t="s">
        <v>24</v>
      </c>
      <c r="C39" s="10" t="s">
        <v>89</v>
      </c>
      <c r="D39" s="7">
        <v>340</v>
      </c>
      <c r="E39" s="11">
        <f t="shared" si="0"/>
        <v>170</v>
      </c>
      <c r="F39" s="11">
        <f t="shared" si="1"/>
        <v>12</v>
      </c>
      <c r="G39" s="11">
        <v>2.75</v>
      </c>
      <c r="H39" s="11">
        <v>2.5</v>
      </c>
      <c r="I39" s="33">
        <v>294.99</v>
      </c>
      <c r="J39" s="33">
        <v>17.25</v>
      </c>
      <c r="K39" s="33">
        <v>0</v>
      </c>
      <c r="L39" s="30">
        <f t="shared" si="2"/>
        <v>-124.99000000000001</v>
      </c>
      <c r="M39" s="30">
        <v>-125</v>
      </c>
      <c r="N39" s="173"/>
      <c r="O39" s="92"/>
      <c r="P39" s="27"/>
      <c r="Q39" s="27"/>
      <c r="U39" s="22"/>
    </row>
    <row r="40" spans="1:21">
      <c r="A40" s="9"/>
      <c r="B40" s="25" t="s">
        <v>90</v>
      </c>
      <c r="C40" s="10" t="s">
        <v>91</v>
      </c>
      <c r="D40" s="8">
        <v>190</v>
      </c>
      <c r="E40" s="11">
        <f t="shared" si="0"/>
        <v>47.5</v>
      </c>
      <c r="F40" s="11">
        <f t="shared" si="1"/>
        <v>2</v>
      </c>
      <c r="G40" s="11">
        <v>0</v>
      </c>
      <c r="H40" s="11">
        <v>0</v>
      </c>
      <c r="I40" s="34">
        <v>40</v>
      </c>
      <c r="J40" s="34">
        <v>17.25</v>
      </c>
      <c r="K40" s="34">
        <v>0</v>
      </c>
      <c r="L40" s="30">
        <f t="shared" si="2"/>
        <v>-7.75</v>
      </c>
      <c r="M40" s="30">
        <v>-8</v>
      </c>
      <c r="N40" s="175"/>
      <c r="O40" s="25"/>
      <c r="P40" s="27"/>
      <c r="Q40" s="27">
        <v>6</v>
      </c>
      <c r="U40" s="22"/>
    </row>
    <row r="41" spans="1:21">
      <c r="A41" s="103"/>
      <c r="B41" s="25" t="s">
        <v>92</v>
      </c>
      <c r="C41" s="10" t="s">
        <v>93</v>
      </c>
      <c r="D41" s="7">
        <v>190</v>
      </c>
      <c r="E41" s="11">
        <f t="shared" si="0"/>
        <v>47.5</v>
      </c>
      <c r="F41" s="11">
        <f t="shared" si="1"/>
        <v>2</v>
      </c>
      <c r="G41" s="11">
        <v>2.75</v>
      </c>
      <c r="H41" s="11">
        <v>7.5</v>
      </c>
      <c r="I41" s="33">
        <v>52.5</v>
      </c>
      <c r="J41" s="33">
        <v>60.69</v>
      </c>
      <c r="K41" s="33">
        <v>0</v>
      </c>
      <c r="L41" s="30">
        <f t="shared" si="2"/>
        <v>-53.44</v>
      </c>
      <c r="M41" s="30">
        <v>-53</v>
      </c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  <c r="P42" s="27"/>
      <c r="Q42" s="27">
        <v>0</v>
      </c>
      <c r="U42" s="22"/>
    </row>
    <row r="43" spans="1:21">
      <c r="A43" s="9"/>
      <c r="B43" s="25" t="s">
        <v>96</v>
      </c>
      <c r="C43" s="10" t="s">
        <v>97</v>
      </c>
      <c r="D43" s="7">
        <v>404</v>
      </c>
      <c r="E43" s="11">
        <f t="shared" si="0"/>
        <v>202</v>
      </c>
      <c r="F43" s="11">
        <f t="shared" si="1"/>
        <v>12</v>
      </c>
      <c r="G43" s="11">
        <v>8.25</v>
      </c>
      <c r="H43" s="11">
        <v>2.5</v>
      </c>
      <c r="I43" s="33">
        <v>339.32</v>
      </c>
      <c r="J43" s="33">
        <v>14.4</v>
      </c>
      <c r="K43" s="33">
        <v>0</v>
      </c>
      <c r="L43" s="30">
        <f t="shared" si="2"/>
        <v>-128.97</v>
      </c>
      <c r="M43" s="30">
        <v>-129</v>
      </c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>
        <v>301</v>
      </c>
      <c r="E44" s="11">
        <f t="shared" si="0"/>
        <v>150.5</v>
      </c>
      <c r="F44" s="11">
        <f t="shared" si="1"/>
        <v>12</v>
      </c>
      <c r="G44" s="11">
        <v>2.75</v>
      </c>
      <c r="H44" s="11">
        <v>2.5</v>
      </c>
      <c r="I44" s="33">
        <v>30.2</v>
      </c>
      <c r="J44" s="33">
        <v>15.05</v>
      </c>
      <c r="K44" s="33">
        <v>0</v>
      </c>
      <c r="L44" s="30">
        <f t="shared" si="2"/>
        <v>122.50000000000001</v>
      </c>
      <c r="M44" s="30">
        <v>122</v>
      </c>
      <c r="N44" s="173"/>
      <c r="O44" s="92"/>
      <c r="P44" s="27"/>
      <c r="Q44" s="27">
        <v>6</v>
      </c>
      <c r="U44" s="22"/>
    </row>
    <row r="45" spans="1:21">
      <c r="A45" s="9"/>
      <c r="B45" s="104" t="s">
        <v>99</v>
      </c>
      <c r="C45" s="10" t="s">
        <v>100</v>
      </c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242</v>
      </c>
      <c r="E46" s="11">
        <f t="shared" si="0"/>
        <v>121</v>
      </c>
      <c r="F46" s="11">
        <f t="shared" si="1"/>
        <v>12</v>
      </c>
      <c r="G46" s="11">
        <v>0</v>
      </c>
      <c r="H46" s="11">
        <v>0</v>
      </c>
      <c r="I46" s="33">
        <v>181</v>
      </c>
      <c r="J46" s="33">
        <v>40.200000000000003</v>
      </c>
      <c r="K46" s="33">
        <v>0</v>
      </c>
      <c r="L46" s="30">
        <f t="shared" si="2"/>
        <v>-88.2</v>
      </c>
      <c r="M46" s="30">
        <v>-88</v>
      </c>
      <c r="N46" s="173"/>
      <c r="O46" s="92"/>
      <c r="P46" s="27"/>
      <c r="Q46" s="27">
        <v>0</v>
      </c>
      <c r="U46" s="22"/>
    </row>
    <row r="47" spans="1:21">
      <c r="A47" s="9"/>
      <c r="B47" s="25" t="s">
        <v>103</v>
      </c>
      <c r="C47" s="10" t="s">
        <v>104</v>
      </c>
      <c r="D47" s="7">
        <v>250</v>
      </c>
      <c r="E47" s="11">
        <f t="shared" si="0"/>
        <v>125</v>
      </c>
      <c r="F47" s="11">
        <f t="shared" si="1"/>
        <v>12</v>
      </c>
      <c r="G47" s="11">
        <v>2.75</v>
      </c>
      <c r="H47" s="11">
        <v>7.5</v>
      </c>
      <c r="I47" s="33">
        <v>221.94</v>
      </c>
      <c r="J47" s="33">
        <v>6.9</v>
      </c>
      <c r="K47" s="33">
        <v>0</v>
      </c>
      <c r="L47" s="30">
        <f t="shared" si="2"/>
        <v>-81.59</v>
      </c>
      <c r="M47" s="30">
        <v>-82</v>
      </c>
      <c r="N47" s="173"/>
      <c r="O47" s="92"/>
      <c r="P47" s="27"/>
      <c r="Q47" s="27"/>
    </row>
    <row r="48" spans="1:21">
      <c r="D48" s="3">
        <f t="shared" ref="D48:N48" si="3">SUM(D4:D47)</f>
        <v>8064.6</v>
      </c>
      <c r="E48" s="21">
        <f t="shared" si="3"/>
        <v>3555.4</v>
      </c>
      <c r="F48" s="3">
        <f t="shared" si="3"/>
        <v>268</v>
      </c>
      <c r="G48" s="3">
        <f t="shared" si="3"/>
        <v>96.25</v>
      </c>
      <c r="H48" s="3">
        <f t="shared" si="3"/>
        <v>75</v>
      </c>
      <c r="I48" s="3">
        <f t="shared" si="3"/>
        <v>3110.7799999999997</v>
      </c>
      <c r="J48" s="3">
        <f t="shared" si="3"/>
        <v>1858.94</v>
      </c>
      <c r="K48" s="3">
        <f t="shared" si="3"/>
        <v>0</v>
      </c>
      <c r="L48" s="3">
        <f t="shared" si="3"/>
        <v>-975.06999999999982</v>
      </c>
      <c r="M48" s="3">
        <f t="shared" si="3"/>
        <v>-976</v>
      </c>
      <c r="N48" s="3">
        <f t="shared" si="3"/>
        <v>-43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</sheetData>
  <sortState xmlns:xlrd2="http://schemas.microsoft.com/office/spreadsheetml/2017/richdata2" ref="A4:N46">
    <sortCondition ref="C4:C46"/>
  </sortState>
  <mergeCells count="1">
    <mergeCell ref="R26:S26"/>
  </mergeCells>
  <conditionalFormatting sqref="C4:C10 C12:C47">
    <cfRule type="expression" dxfId="22" priority="3">
      <formula>$M4&lt;0</formula>
    </cfRule>
  </conditionalFormatting>
  <conditionalFormatting sqref="M1:M2 M49:M1048576">
    <cfRule type="cellIs" dxfId="21" priority="10" operator="lessThan">
      <formula>0</formula>
    </cfRule>
  </conditionalFormatting>
  <conditionalFormatting sqref="M4:M47">
    <cfRule type="cellIs" dxfId="20" priority="2" operator="lessThan">
      <formula>0</formula>
    </cfRule>
  </conditionalFormatting>
  <conditionalFormatting sqref="C11">
    <cfRule type="expression" dxfId="19" priority="1">
      <formula>$M11&lt;0</formula>
    </cfRule>
  </conditionalFormatting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48"/>
  <sheetViews>
    <sheetView showGridLines="0" workbookViewId="0">
      <selection activeCell="N14" sqref="N14"/>
    </sheetView>
  </sheetViews>
  <sheetFormatPr defaultRowHeight="15"/>
  <cols>
    <col min="1" max="1" width="6.5703125" style="1" customWidth="1"/>
    <col min="2" max="2" width="12.140625" style="26" customWidth="1"/>
    <col min="3" max="3" width="13.28515625" style="1" bestFit="1" customWidth="1"/>
    <col min="4" max="13" width="12.140625" customWidth="1"/>
    <col min="14" max="14" width="12.42578125" bestFit="1" customWidth="1"/>
    <col min="15" max="15" width="15.1406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AM'!B1+2</f>
        <v>45434</v>
      </c>
      <c r="C1" s="29"/>
      <c r="D1" s="4" t="s">
        <v>2</v>
      </c>
      <c r="E1" s="6" t="s">
        <v>105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106</v>
      </c>
      <c r="C4" s="10" t="s">
        <v>107</v>
      </c>
      <c r="D4" s="11">
        <v>127</v>
      </c>
      <c r="E4" s="11">
        <f t="shared" ref="E4:E47" si="0">IF(AND(VALUE(B4)&lt;100, D4&gt;0),D4*0.5,D4*0.25)</f>
        <v>31.75</v>
      </c>
      <c r="F4" s="11">
        <f t="shared" ref="F4:F47" si="1">IF(P4="C",Q4,IF(AND(VALUE(B4)&lt;100, D4&gt;0),12,IF(D4&gt;0,2,0)))</f>
        <v>0</v>
      </c>
      <c r="G4" s="11">
        <v>0</v>
      </c>
      <c r="H4" s="11">
        <v>0</v>
      </c>
      <c r="I4" s="32">
        <v>0</v>
      </c>
      <c r="J4" s="32">
        <v>0</v>
      </c>
      <c r="K4" s="32">
        <v>0</v>
      </c>
      <c r="L4" s="30">
        <f t="shared" ref="L4:L47" si="2">(E4+F4+G4+H4)-I4-J4-K4</f>
        <v>31.75</v>
      </c>
      <c r="M4" s="30">
        <v>32</v>
      </c>
      <c r="N4" s="173"/>
      <c r="O4" s="176"/>
      <c r="P4" s="27" t="s">
        <v>52</v>
      </c>
      <c r="Q4" s="27"/>
      <c r="R4" s="15" t="s">
        <v>20</v>
      </c>
      <c r="S4" s="12">
        <f>D48</f>
        <v>2475</v>
      </c>
      <c r="U4" s="1"/>
      <c r="V4" s="1"/>
    </row>
    <row r="5" spans="1:22">
      <c r="A5" s="9"/>
      <c r="B5" s="25" t="s">
        <v>77</v>
      </c>
      <c r="C5" s="10" t="s">
        <v>108</v>
      </c>
      <c r="D5" s="7">
        <v>146</v>
      </c>
      <c r="E5" s="11">
        <f t="shared" si="0"/>
        <v>73</v>
      </c>
      <c r="F5" s="11">
        <f t="shared" si="1"/>
        <v>12</v>
      </c>
      <c r="G5" s="11">
        <v>0</v>
      </c>
      <c r="H5" s="11">
        <v>2.5</v>
      </c>
      <c r="I5" s="33">
        <v>73.5</v>
      </c>
      <c r="J5" s="33">
        <v>0</v>
      </c>
      <c r="K5" s="33">
        <v>0</v>
      </c>
      <c r="L5" s="30">
        <f t="shared" si="2"/>
        <v>14</v>
      </c>
      <c r="M5" s="30">
        <v>14</v>
      </c>
      <c r="N5" s="173"/>
      <c r="O5" s="92"/>
      <c r="P5" s="27"/>
      <c r="Q5" s="27">
        <v>6</v>
      </c>
      <c r="R5" s="16" t="s">
        <v>23</v>
      </c>
      <c r="S5" s="13">
        <f>E48</f>
        <v>1075.75</v>
      </c>
      <c r="U5" s="1"/>
      <c r="V5" s="1"/>
    </row>
    <row r="6" spans="1:22">
      <c r="A6" s="9"/>
      <c r="B6" s="25" t="s">
        <v>57</v>
      </c>
      <c r="C6" s="10" t="s">
        <v>109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/>
      <c r="R6" s="16" t="s">
        <v>8</v>
      </c>
      <c r="S6" s="13">
        <f>F48</f>
        <v>116</v>
      </c>
    </row>
    <row r="7" spans="1:22">
      <c r="A7" s="9"/>
      <c r="B7" s="25" t="s">
        <v>30</v>
      </c>
      <c r="C7" s="10" t="s">
        <v>113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 t="s">
        <v>52</v>
      </c>
      <c r="Q7" s="27">
        <v>0</v>
      </c>
      <c r="R7" s="16" t="s">
        <v>9</v>
      </c>
      <c r="S7" s="13">
        <f>G48</f>
        <v>8.25</v>
      </c>
    </row>
    <row r="8" spans="1:22">
      <c r="A8" s="9"/>
      <c r="B8" s="25" t="s">
        <v>39</v>
      </c>
      <c r="C8" s="10" t="s">
        <v>112</v>
      </c>
      <c r="D8" s="7">
        <v>189</v>
      </c>
      <c r="E8" s="11">
        <f t="shared" si="0"/>
        <v>94.5</v>
      </c>
      <c r="F8" s="11">
        <f t="shared" si="1"/>
        <v>12</v>
      </c>
      <c r="G8" s="11">
        <v>0</v>
      </c>
      <c r="H8" s="11">
        <v>2.5</v>
      </c>
      <c r="I8" s="33">
        <v>13</v>
      </c>
      <c r="J8" s="33">
        <v>85.1</v>
      </c>
      <c r="K8" s="33">
        <v>0</v>
      </c>
      <c r="L8" s="30">
        <f t="shared" si="2"/>
        <v>10.900000000000006</v>
      </c>
      <c r="M8" s="30">
        <v>11</v>
      </c>
      <c r="N8" s="173"/>
      <c r="O8" s="92"/>
      <c r="P8" s="27"/>
      <c r="Q8" s="27">
        <v>6</v>
      </c>
      <c r="R8" s="16" t="s">
        <v>10</v>
      </c>
      <c r="S8" s="13">
        <f>H48</f>
        <v>35</v>
      </c>
    </row>
    <row r="9" spans="1:22">
      <c r="A9" s="9"/>
      <c r="B9" s="25" t="s">
        <v>110</v>
      </c>
      <c r="C9" s="10" t="s">
        <v>111</v>
      </c>
      <c r="D9" s="7"/>
      <c r="E9" s="11">
        <f t="shared" si="0"/>
        <v>0</v>
      </c>
      <c r="F9" s="11">
        <f t="shared" si="1"/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/>
      <c r="Q9" s="27"/>
      <c r="R9" s="16" t="s">
        <v>11</v>
      </c>
      <c r="S9" s="13">
        <f>I48</f>
        <v>767.63000000000011</v>
      </c>
    </row>
    <row r="10" spans="1:22">
      <c r="A10" s="9"/>
      <c r="B10" s="25" t="s">
        <v>101</v>
      </c>
      <c r="C10" s="10" t="s">
        <v>114</v>
      </c>
      <c r="D10" s="7">
        <v>193</v>
      </c>
      <c r="E10" s="11">
        <f t="shared" si="0"/>
        <v>96.5</v>
      </c>
      <c r="F10" s="11">
        <f t="shared" si="1"/>
        <v>12</v>
      </c>
      <c r="G10" s="11">
        <v>0</v>
      </c>
      <c r="H10" s="11">
        <v>0</v>
      </c>
      <c r="I10" s="33">
        <v>135</v>
      </c>
      <c r="J10" s="33">
        <v>0</v>
      </c>
      <c r="K10" s="33">
        <v>0</v>
      </c>
      <c r="L10" s="30">
        <f t="shared" si="2"/>
        <v>-26.5</v>
      </c>
      <c r="M10" s="30">
        <v>-26</v>
      </c>
      <c r="N10" s="173"/>
      <c r="O10" s="92"/>
      <c r="P10" s="27"/>
      <c r="Q10" s="27">
        <v>6</v>
      </c>
      <c r="R10" s="16" t="s">
        <v>12</v>
      </c>
      <c r="S10" s="13">
        <f>J48</f>
        <v>233.32999999999998</v>
      </c>
    </row>
    <row r="11" spans="1:22">
      <c r="A11" s="9"/>
      <c r="B11" s="25" t="s">
        <v>26</v>
      </c>
      <c r="C11" s="10" t="s">
        <v>115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116</v>
      </c>
      <c r="D12" s="7">
        <v>234</v>
      </c>
      <c r="E12" s="11">
        <f t="shared" si="0"/>
        <v>117</v>
      </c>
      <c r="F12" s="11">
        <f t="shared" si="1"/>
        <v>12</v>
      </c>
      <c r="G12" s="11">
        <v>0</v>
      </c>
      <c r="H12" s="11">
        <v>2.5</v>
      </c>
      <c r="I12" s="33">
        <v>170.44</v>
      </c>
      <c r="J12" s="33">
        <v>0</v>
      </c>
      <c r="K12" s="33">
        <v>0</v>
      </c>
      <c r="L12" s="30">
        <f t="shared" si="2"/>
        <v>-38.94</v>
      </c>
      <c r="M12" s="30">
        <v>-39</v>
      </c>
      <c r="N12" s="173"/>
      <c r="O12" s="92"/>
      <c r="P12" s="27"/>
      <c r="Q12" s="27"/>
      <c r="R12" s="17" t="s">
        <v>38</v>
      </c>
      <c r="S12" s="14">
        <f>N48</f>
        <v>9</v>
      </c>
    </row>
    <row r="13" spans="1:22">
      <c r="A13" s="9"/>
      <c r="B13" s="25" t="s">
        <v>103</v>
      </c>
      <c r="C13" s="10" t="s">
        <v>117</v>
      </c>
      <c r="D13" s="7">
        <v>72</v>
      </c>
      <c r="E13" s="11">
        <f t="shared" si="0"/>
        <v>36</v>
      </c>
      <c r="F13" s="11">
        <f t="shared" si="1"/>
        <v>0</v>
      </c>
      <c r="G13" s="11">
        <v>2.75</v>
      </c>
      <c r="H13" s="11">
        <v>0</v>
      </c>
      <c r="I13" s="33">
        <v>0</v>
      </c>
      <c r="J13" s="33">
        <v>0</v>
      </c>
      <c r="K13" s="33">
        <v>0</v>
      </c>
      <c r="L13" s="30">
        <f t="shared" si="2"/>
        <v>38.75</v>
      </c>
      <c r="M13" s="30">
        <v>39</v>
      </c>
      <c r="N13" s="173"/>
      <c r="O13" s="92"/>
      <c r="P13" s="27" t="s">
        <v>52</v>
      </c>
      <c r="Q13" s="27">
        <v>0</v>
      </c>
      <c r="R13" s="18"/>
      <c r="S13" s="31">
        <f>S5+S6+S7-S9-S10-S11-S12</f>
        <v>190.03999999999991</v>
      </c>
      <c r="T13" s="22"/>
    </row>
    <row r="14" spans="1:22">
      <c r="A14" s="9"/>
      <c r="B14" s="25" t="s">
        <v>57</v>
      </c>
      <c r="C14" s="10" t="s">
        <v>118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44</v>
      </c>
      <c r="S14" s="20">
        <f>M48</f>
        <v>226</v>
      </c>
    </row>
    <row r="15" spans="1:22">
      <c r="A15" s="9"/>
      <c r="B15" s="25" t="s">
        <v>119</v>
      </c>
      <c r="C15" s="10" t="s">
        <v>120</v>
      </c>
      <c r="D15" s="7">
        <v>86</v>
      </c>
      <c r="E15" s="11">
        <f t="shared" si="0"/>
        <v>21.5</v>
      </c>
      <c r="F15" s="11">
        <f t="shared" si="1"/>
        <v>0</v>
      </c>
      <c r="G15" s="11">
        <v>0</v>
      </c>
      <c r="H15" s="11">
        <v>0</v>
      </c>
      <c r="I15" s="33">
        <v>0</v>
      </c>
      <c r="J15" s="33">
        <v>0</v>
      </c>
      <c r="K15" s="33">
        <v>0</v>
      </c>
      <c r="L15" s="30">
        <f t="shared" si="2"/>
        <v>21.5</v>
      </c>
      <c r="M15" s="30">
        <v>22</v>
      </c>
      <c r="N15" s="173"/>
      <c r="O15" s="92"/>
      <c r="P15" s="27" t="s">
        <v>52</v>
      </c>
      <c r="Q15" s="27"/>
    </row>
    <row r="16" spans="1:22">
      <c r="A16" s="9"/>
      <c r="B16" s="25" t="s">
        <v>121</v>
      </c>
      <c r="C16" s="10" t="s">
        <v>122</v>
      </c>
      <c r="D16" s="7">
        <v>100</v>
      </c>
      <c r="E16" s="11">
        <f t="shared" si="0"/>
        <v>25</v>
      </c>
      <c r="F16" s="11">
        <f t="shared" si="1"/>
        <v>2</v>
      </c>
      <c r="G16" s="11">
        <v>0</v>
      </c>
      <c r="H16" s="11">
        <v>5</v>
      </c>
      <c r="I16" s="33">
        <v>52.5</v>
      </c>
      <c r="J16" s="33">
        <v>0</v>
      </c>
      <c r="K16" s="33">
        <v>0</v>
      </c>
      <c r="L16" s="30">
        <f t="shared" si="2"/>
        <v>-20.5</v>
      </c>
      <c r="M16" s="30">
        <v>-20</v>
      </c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123</v>
      </c>
      <c r="C17" s="10" t="s">
        <v>124</v>
      </c>
      <c r="D17" s="7">
        <v>200</v>
      </c>
      <c r="E17" s="11">
        <f t="shared" si="0"/>
        <v>100</v>
      </c>
      <c r="F17" s="11">
        <f t="shared" si="1"/>
        <v>12</v>
      </c>
      <c r="G17" s="11">
        <v>0</v>
      </c>
      <c r="H17" s="11">
        <v>7.5</v>
      </c>
      <c r="I17" s="33">
        <v>68.5</v>
      </c>
      <c r="J17" s="33">
        <v>0</v>
      </c>
      <c r="K17" s="33">
        <v>0</v>
      </c>
      <c r="L17" s="30">
        <f t="shared" si="2"/>
        <v>51</v>
      </c>
      <c r="M17" s="30">
        <v>51</v>
      </c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125</v>
      </c>
      <c r="C18" s="10" t="s">
        <v>126</v>
      </c>
      <c r="D18" s="7">
        <v>244</v>
      </c>
      <c r="E18" s="11">
        <f t="shared" si="0"/>
        <v>61</v>
      </c>
      <c r="F18" s="11">
        <f t="shared" si="1"/>
        <v>2</v>
      </c>
      <c r="G18" s="11">
        <v>0</v>
      </c>
      <c r="H18" s="11">
        <v>5</v>
      </c>
      <c r="I18" s="33">
        <v>64</v>
      </c>
      <c r="J18" s="33">
        <v>8.0500000000000007</v>
      </c>
      <c r="K18" s="33">
        <v>0</v>
      </c>
      <c r="L18" s="30">
        <f t="shared" si="2"/>
        <v>-4.0500000000000007</v>
      </c>
      <c r="M18" s="30">
        <v>-4</v>
      </c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10</v>
      </c>
      <c r="T18" s="36"/>
      <c r="U18" s="36"/>
    </row>
    <row r="19" spans="1:21">
      <c r="A19" s="9"/>
      <c r="B19" s="25" t="s">
        <v>24</v>
      </c>
      <c r="C19" s="10" t="s">
        <v>127</v>
      </c>
      <c r="D19" s="7">
        <v>163</v>
      </c>
      <c r="E19" s="11">
        <f t="shared" si="0"/>
        <v>81.5</v>
      </c>
      <c r="F19" s="11">
        <f t="shared" si="1"/>
        <v>12</v>
      </c>
      <c r="G19" s="11">
        <v>0</v>
      </c>
      <c r="H19" s="11">
        <v>2.5</v>
      </c>
      <c r="I19" s="33">
        <v>0</v>
      </c>
      <c r="J19" s="33">
        <v>0</v>
      </c>
      <c r="K19" s="33">
        <v>0</v>
      </c>
      <c r="L19" s="30">
        <f t="shared" si="2"/>
        <v>96</v>
      </c>
      <c r="M19" s="30">
        <v>96</v>
      </c>
      <c r="N19" s="173"/>
      <c r="O19" s="92"/>
      <c r="P19" s="27"/>
      <c r="Q19" s="27">
        <v>6</v>
      </c>
      <c r="R19" s="16" t="s">
        <v>56</v>
      </c>
      <c r="S19" s="97" cm="1">
        <f t="array" ref="S19">SUMPRODUCT((VALUE(B4:B47)&gt;100)*(D4:D47&gt;0))</f>
        <v>6</v>
      </c>
      <c r="T19" s="36"/>
      <c r="U19" s="36"/>
    </row>
    <row r="20" spans="1:21">
      <c r="A20" s="9"/>
      <c r="B20" s="25" t="s">
        <v>128</v>
      </c>
      <c r="C20" s="10" t="s">
        <v>129</v>
      </c>
      <c r="D20" s="7">
        <v>223</v>
      </c>
      <c r="E20" s="11">
        <f t="shared" si="0"/>
        <v>111.5</v>
      </c>
      <c r="F20" s="11">
        <f t="shared" si="1"/>
        <v>12</v>
      </c>
      <c r="G20" s="11">
        <v>2.75</v>
      </c>
      <c r="H20" s="11">
        <v>2.5</v>
      </c>
      <c r="I20" s="33">
        <v>158.69</v>
      </c>
      <c r="J20" s="33">
        <v>23.8</v>
      </c>
      <c r="K20" s="33">
        <v>0</v>
      </c>
      <c r="L20" s="30">
        <f t="shared" si="2"/>
        <v>-53.739999999999995</v>
      </c>
      <c r="M20" s="30">
        <v>-54</v>
      </c>
      <c r="N20" s="173"/>
      <c r="O20" s="92"/>
      <c r="P20" s="27"/>
      <c r="Q20" s="27"/>
      <c r="R20" s="17" t="s">
        <v>59</v>
      </c>
      <c r="S20" s="98">
        <f>S18+S19</f>
        <v>16</v>
      </c>
      <c r="T20" s="36"/>
      <c r="U20" s="36"/>
    </row>
    <row r="21" spans="1:21">
      <c r="A21" s="9"/>
      <c r="B21" s="25" t="s">
        <v>130</v>
      </c>
      <c r="C21" s="10" t="s">
        <v>131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132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</row>
    <row r="23" spans="1:21">
      <c r="A23" s="9"/>
      <c r="B23" s="25" t="s">
        <v>147</v>
      </c>
      <c r="C23" s="10" t="s">
        <v>148</v>
      </c>
      <c r="D23" s="7">
        <v>63</v>
      </c>
      <c r="E23" s="11">
        <f t="shared" si="0"/>
        <v>15.75</v>
      </c>
      <c r="F23" s="11">
        <f t="shared" si="1"/>
        <v>2</v>
      </c>
      <c r="G23" s="11">
        <v>0</v>
      </c>
      <c r="H23" s="11">
        <v>0</v>
      </c>
      <c r="I23" s="33">
        <v>11</v>
      </c>
      <c r="J23" s="33">
        <v>0</v>
      </c>
      <c r="K23" s="33">
        <v>0</v>
      </c>
      <c r="L23" s="30">
        <f t="shared" si="2"/>
        <v>6.75</v>
      </c>
      <c r="M23" s="30">
        <v>6</v>
      </c>
      <c r="N23" s="173"/>
      <c r="O23" s="92"/>
      <c r="P23" s="99"/>
      <c r="Q23" s="99">
        <v>6</v>
      </c>
    </row>
    <row r="24" spans="1:21">
      <c r="A24" s="9"/>
      <c r="B24" s="25" t="s">
        <v>134</v>
      </c>
      <c r="C24" s="10" t="s">
        <v>135</v>
      </c>
      <c r="D24" s="7">
        <v>27</v>
      </c>
      <c r="E24" s="11">
        <f t="shared" si="0"/>
        <v>6.75</v>
      </c>
      <c r="F24" s="11">
        <f t="shared" si="1"/>
        <v>2</v>
      </c>
      <c r="G24" s="11">
        <v>0</v>
      </c>
      <c r="H24" s="11">
        <v>0</v>
      </c>
      <c r="I24" s="33">
        <v>0</v>
      </c>
      <c r="J24" s="33">
        <v>0</v>
      </c>
      <c r="K24" s="33">
        <v>0</v>
      </c>
      <c r="L24" s="30">
        <f t="shared" si="2"/>
        <v>8.75</v>
      </c>
      <c r="M24" s="30">
        <v>0</v>
      </c>
      <c r="N24" s="173">
        <v>9</v>
      </c>
      <c r="O24" s="92"/>
      <c r="P24" s="27"/>
      <c r="Q24" s="27"/>
    </row>
    <row r="25" spans="1:21">
      <c r="A25" s="9"/>
      <c r="B25" s="25" t="s">
        <v>41</v>
      </c>
      <c r="C25" s="10" t="s">
        <v>136</v>
      </c>
      <c r="D25" s="7">
        <v>236</v>
      </c>
      <c r="E25" s="11">
        <f t="shared" si="0"/>
        <v>118</v>
      </c>
      <c r="F25" s="11">
        <f t="shared" si="1"/>
        <v>12</v>
      </c>
      <c r="G25" s="11">
        <v>0</v>
      </c>
      <c r="H25" s="11">
        <v>5</v>
      </c>
      <c r="I25" s="33">
        <v>0</v>
      </c>
      <c r="J25" s="33">
        <v>116.38</v>
      </c>
      <c r="K25" s="33">
        <v>0</v>
      </c>
      <c r="L25" s="30">
        <f t="shared" si="2"/>
        <v>18.620000000000005</v>
      </c>
      <c r="M25" s="30">
        <v>18</v>
      </c>
      <c r="N25" s="173"/>
      <c r="O25" s="92"/>
      <c r="P25" s="27"/>
      <c r="Q25" s="27">
        <v>6</v>
      </c>
    </row>
    <row r="26" spans="1:21">
      <c r="A26" s="9"/>
      <c r="B26" s="25" t="s">
        <v>39</v>
      </c>
      <c r="C26" s="10" t="s">
        <v>137</v>
      </c>
      <c r="D26" s="7">
        <v>172</v>
      </c>
      <c r="E26" s="11">
        <f t="shared" si="0"/>
        <v>86</v>
      </c>
      <c r="F26" s="11">
        <f t="shared" si="1"/>
        <v>12</v>
      </c>
      <c r="G26" s="11">
        <v>2.75</v>
      </c>
      <c r="H26" s="11">
        <v>0</v>
      </c>
      <c r="I26" s="33">
        <v>21</v>
      </c>
      <c r="J26" s="33">
        <v>0</v>
      </c>
      <c r="K26" s="33">
        <v>0</v>
      </c>
      <c r="L26" s="30">
        <f t="shared" si="2"/>
        <v>79.75</v>
      </c>
      <c r="M26" s="30">
        <v>80</v>
      </c>
      <c r="N26" s="173"/>
      <c r="O26" s="92"/>
      <c r="P26" s="27"/>
      <c r="Q26" s="172">
        <v>6</v>
      </c>
    </row>
    <row r="27" spans="1:21">
      <c r="A27" s="9"/>
      <c r="B27" s="25" t="s">
        <v>142</v>
      </c>
      <c r="C27" s="10" t="s">
        <v>143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139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/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>
        <v>1</v>
      </c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2475</v>
      </c>
      <c r="E48" s="21">
        <f t="shared" si="3"/>
        <v>1075.75</v>
      </c>
      <c r="F48" s="3">
        <f t="shared" si="3"/>
        <v>116</v>
      </c>
      <c r="G48" s="3">
        <f t="shared" si="3"/>
        <v>8.25</v>
      </c>
      <c r="H48" s="3">
        <f t="shared" si="3"/>
        <v>35</v>
      </c>
      <c r="I48" s="3">
        <f t="shared" si="3"/>
        <v>767.63000000000011</v>
      </c>
      <c r="J48" s="3">
        <f t="shared" si="3"/>
        <v>233.32999999999998</v>
      </c>
      <c r="K48" s="3">
        <f t="shared" si="3"/>
        <v>0</v>
      </c>
      <c r="L48" s="3">
        <f t="shared" si="3"/>
        <v>234.04000000000002</v>
      </c>
      <c r="M48" s="3">
        <f t="shared" si="3"/>
        <v>226</v>
      </c>
      <c r="N48" s="3">
        <f t="shared" si="3"/>
        <v>9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47">
    <cfRule type="expression" dxfId="18" priority="1">
      <formula>$M4&lt;0</formula>
    </cfRule>
  </conditionalFormatting>
  <conditionalFormatting sqref="M4:M47">
    <cfRule type="cellIs" dxfId="17" priority="2" operator="lessThan">
      <formula>0</formula>
    </cfRule>
  </conditionalFormatting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V53"/>
  <sheetViews>
    <sheetView showGridLines="0" topLeftCell="A21" workbookViewId="0">
      <selection activeCell="N8" sqref="N8"/>
    </sheetView>
  </sheetViews>
  <sheetFormatPr defaultRowHeight="15"/>
  <cols>
    <col min="1" max="1" width="5.42578125" style="1" customWidth="1"/>
    <col min="2" max="2" width="12.140625" style="26" customWidth="1"/>
    <col min="3" max="3" width="15.7109375" style="1" bestFit="1" customWidth="1"/>
    <col min="4" max="13" width="12.140625" customWidth="1"/>
    <col min="14" max="14" width="12.42578125" bestFit="1" customWidth="1"/>
    <col min="15" max="15" width="15.85546875" customWidth="1"/>
    <col min="16" max="17" width="6" style="1" customWidth="1"/>
    <col min="18" max="18" width="12.42578125" bestFit="1" customWidth="1"/>
    <col min="19" max="19" width="10.42578125" customWidth="1"/>
  </cols>
  <sheetData>
    <row r="1" spans="1:22">
      <c r="A1" s="4" t="s">
        <v>0</v>
      </c>
      <c r="B1" s="109">
        <f>'Mon AM'!B1+3</f>
        <v>45435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>
        <v>243</v>
      </c>
      <c r="E4" s="11">
        <f t="shared" ref="E4:E45" si="0">IF(AND(VALUE(B4)&lt;100, D4&gt;0),D4*0.5,D4*0.25)</f>
        <v>60.75</v>
      </c>
      <c r="F4" s="11">
        <f t="shared" ref="F4:F45" si="1">IF(P4="C",Q4,IF(AND(VALUE(B4)&lt;100, D4&gt;0),12,IF(D4&gt;0,2,0)))</f>
        <v>2</v>
      </c>
      <c r="G4" s="11">
        <v>0</v>
      </c>
      <c r="H4" s="11">
        <v>0</v>
      </c>
      <c r="I4" s="32">
        <v>105.4</v>
      </c>
      <c r="J4" s="32">
        <v>0</v>
      </c>
      <c r="K4" s="32">
        <v>0</v>
      </c>
      <c r="L4" s="30">
        <f t="shared" ref="L4:L47" si="2">(E4+F4+G4+H4)-I4-J4-K4</f>
        <v>-42.650000000000006</v>
      </c>
      <c r="M4" s="30">
        <v>-43</v>
      </c>
      <c r="N4" s="173"/>
      <c r="O4" s="176"/>
      <c r="P4" s="27"/>
      <c r="Q4" s="27"/>
      <c r="R4" s="15" t="s">
        <v>20</v>
      </c>
      <c r="S4" s="12">
        <f>D48</f>
        <v>7436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3132.5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244</v>
      </c>
      <c r="U6" s="22"/>
    </row>
    <row r="7" spans="1:22">
      <c r="A7" s="9"/>
      <c r="B7" s="25" t="s">
        <v>26</v>
      </c>
      <c r="C7" s="10" t="s">
        <v>27</v>
      </c>
      <c r="D7" s="7">
        <v>258</v>
      </c>
      <c r="E7" s="11">
        <f t="shared" si="0"/>
        <v>129</v>
      </c>
      <c r="F7" s="11">
        <f t="shared" si="1"/>
        <v>12</v>
      </c>
      <c r="G7" s="11">
        <v>2.75</v>
      </c>
      <c r="H7" s="11">
        <v>2.5</v>
      </c>
      <c r="I7" s="33">
        <v>8</v>
      </c>
      <c r="J7" s="33">
        <v>86.05</v>
      </c>
      <c r="K7" s="33">
        <v>0</v>
      </c>
      <c r="L7" s="30">
        <f t="shared" si="2"/>
        <v>52.2</v>
      </c>
      <c r="M7" s="30">
        <v>52</v>
      </c>
      <c r="N7" s="173"/>
      <c r="O7" s="92"/>
      <c r="P7" s="27"/>
      <c r="Q7" s="27"/>
      <c r="R7" s="16" t="s">
        <v>9</v>
      </c>
      <c r="S7" s="13">
        <f>G48</f>
        <v>77</v>
      </c>
      <c r="U7" s="22"/>
    </row>
    <row r="8" spans="1:22">
      <c r="A8" s="9"/>
      <c r="B8" s="25" t="s">
        <v>149</v>
      </c>
      <c r="C8" s="10" t="s">
        <v>150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67.5</v>
      </c>
      <c r="U8" s="22"/>
    </row>
    <row r="9" spans="1:22">
      <c r="A9" s="9"/>
      <c r="B9" s="25" t="s">
        <v>30</v>
      </c>
      <c r="C9" s="10" t="s">
        <v>31</v>
      </c>
      <c r="D9" s="7">
        <v>198</v>
      </c>
      <c r="E9" s="11">
        <f t="shared" si="0"/>
        <v>99</v>
      </c>
      <c r="F9" s="11">
        <f t="shared" si="1"/>
        <v>12</v>
      </c>
      <c r="G9" s="11">
        <v>2.75</v>
      </c>
      <c r="H9" s="11">
        <v>2.5</v>
      </c>
      <c r="I9" s="33">
        <v>52.5</v>
      </c>
      <c r="J9" s="33">
        <v>17.25</v>
      </c>
      <c r="K9" s="33">
        <v>0</v>
      </c>
      <c r="L9" s="30">
        <f t="shared" si="2"/>
        <v>46.5</v>
      </c>
      <c r="M9" s="30">
        <v>47</v>
      </c>
      <c r="N9" s="173"/>
      <c r="O9" s="92"/>
      <c r="P9" s="27"/>
      <c r="Q9" s="27">
        <v>0</v>
      </c>
      <c r="R9" s="16" t="s">
        <v>11</v>
      </c>
      <c r="S9" s="13">
        <f>I48</f>
        <v>3728.3100000000004</v>
      </c>
      <c r="U9" s="22"/>
    </row>
    <row r="10" spans="1:22">
      <c r="A10" s="9"/>
      <c r="B10" s="25" t="s">
        <v>32</v>
      </c>
      <c r="C10" s="10" t="s">
        <v>33</v>
      </c>
      <c r="D10" s="7">
        <v>208</v>
      </c>
      <c r="E10" s="11">
        <f t="shared" si="0"/>
        <v>52</v>
      </c>
      <c r="F10" s="11">
        <f t="shared" si="1"/>
        <v>2</v>
      </c>
      <c r="G10" s="11">
        <v>2.75</v>
      </c>
      <c r="H10" s="11">
        <v>0</v>
      </c>
      <c r="I10" s="33">
        <v>179</v>
      </c>
      <c r="J10" s="33">
        <v>0</v>
      </c>
      <c r="K10" s="33">
        <v>0</v>
      </c>
      <c r="L10" s="30">
        <f t="shared" si="2"/>
        <v>-122.25</v>
      </c>
      <c r="M10" s="30">
        <v>-122</v>
      </c>
      <c r="N10" s="173"/>
      <c r="O10" s="92"/>
      <c r="P10" s="27"/>
      <c r="Q10" s="27"/>
      <c r="R10" s="16" t="s">
        <v>12</v>
      </c>
      <c r="S10" s="13">
        <f>J48</f>
        <v>1175.1300000000001</v>
      </c>
      <c r="U10" s="22"/>
    </row>
    <row r="11" spans="1:22">
      <c r="A11" s="9"/>
      <c r="B11" s="25" t="s">
        <v>34</v>
      </c>
      <c r="C11" s="10" t="s">
        <v>35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250</v>
      </c>
      <c r="U11" s="22"/>
    </row>
    <row r="12" spans="1:22">
      <c r="A12" s="9"/>
      <c r="B12" s="25" t="s">
        <v>36</v>
      </c>
      <c r="C12" s="10" t="s">
        <v>37</v>
      </c>
      <c r="D12" s="7">
        <v>208</v>
      </c>
      <c r="E12" s="11">
        <f t="shared" si="0"/>
        <v>52</v>
      </c>
      <c r="F12" s="11">
        <f t="shared" si="1"/>
        <v>2</v>
      </c>
      <c r="G12" s="11">
        <v>5.5</v>
      </c>
      <c r="H12" s="11">
        <v>0</v>
      </c>
      <c r="I12" s="33">
        <v>56.84</v>
      </c>
      <c r="J12" s="33">
        <v>0</v>
      </c>
      <c r="K12" s="33">
        <v>0</v>
      </c>
      <c r="L12" s="30">
        <f t="shared" si="2"/>
        <v>2.6599999999999966</v>
      </c>
      <c r="M12" s="30">
        <v>3</v>
      </c>
      <c r="N12" s="173"/>
      <c r="O12" s="92"/>
      <c r="P12" s="27"/>
      <c r="Q12" s="27"/>
      <c r="R12" s="17" t="s">
        <v>38</v>
      </c>
      <c r="S12" s="14">
        <f>N48</f>
        <v>-77</v>
      </c>
      <c r="U12" s="22"/>
    </row>
    <row r="13" spans="1:22">
      <c r="A13" s="9"/>
      <c r="B13" s="25" t="s">
        <v>39</v>
      </c>
      <c r="C13" s="10" t="s">
        <v>40</v>
      </c>
      <c r="D13" s="7">
        <v>253</v>
      </c>
      <c r="E13" s="11">
        <f t="shared" si="0"/>
        <v>126.5</v>
      </c>
      <c r="F13" s="11">
        <f t="shared" si="1"/>
        <v>12</v>
      </c>
      <c r="G13" s="11">
        <v>2.75</v>
      </c>
      <c r="H13" s="11">
        <v>2.5</v>
      </c>
      <c r="I13" s="33">
        <v>128.13</v>
      </c>
      <c r="J13" s="33">
        <v>91.35</v>
      </c>
      <c r="K13" s="33">
        <v>0</v>
      </c>
      <c r="L13" s="30">
        <f t="shared" si="2"/>
        <v>-75.72999999999999</v>
      </c>
      <c r="M13" s="30">
        <v>-76</v>
      </c>
      <c r="N13" s="173">
        <v>-28</v>
      </c>
      <c r="O13" s="92" t="s">
        <v>145</v>
      </c>
      <c r="P13" s="27"/>
      <c r="Q13" s="27"/>
      <c r="R13" s="18"/>
      <c r="S13" s="31">
        <f>S5+S6+S7-S9-S10-S11-S12</f>
        <v>-1622.9400000000005</v>
      </c>
      <c r="U13" s="22"/>
    </row>
    <row r="14" spans="1:22">
      <c r="A14" s="9"/>
      <c r="B14" s="25" t="s">
        <v>41</v>
      </c>
      <c r="C14" s="10" t="s">
        <v>42</v>
      </c>
      <c r="D14" s="7">
        <v>255</v>
      </c>
      <c r="E14" s="11">
        <f t="shared" si="0"/>
        <v>127.5</v>
      </c>
      <c r="F14" s="11">
        <f t="shared" si="1"/>
        <v>12</v>
      </c>
      <c r="G14" s="11">
        <v>2.75</v>
      </c>
      <c r="H14" s="11">
        <v>2.5</v>
      </c>
      <c r="I14" s="33">
        <v>122.7</v>
      </c>
      <c r="J14" s="33">
        <v>106.69</v>
      </c>
      <c r="K14" s="33">
        <v>0</v>
      </c>
      <c r="L14" s="30">
        <f t="shared" si="2"/>
        <v>-84.64</v>
      </c>
      <c r="M14" s="30">
        <v>-85</v>
      </c>
      <c r="N14" s="173"/>
      <c r="O14" s="92"/>
      <c r="P14" s="27"/>
      <c r="Q14" s="27"/>
      <c r="R14" s="19" t="s">
        <v>44</v>
      </c>
      <c r="S14" s="20">
        <f>M48</f>
        <v>-1630</v>
      </c>
      <c r="U14" s="22"/>
    </row>
    <row r="15" spans="1:22">
      <c r="A15" s="9"/>
      <c r="B15" s="25" t="s">
        <v>45</v>
      </c>
      <c r="C15" s="10" t="s">
        <v>46</v>
      </c>
      <c r="D15" s="7">
        <v>249</v>
      </c>
      <c r="E15" s="11">
        <f t="shared" si="0"/>
        <v>62.25</v>
      </c>
      <c r="F15" s="11">
        <f t="shared" si="1"/>
        <v>2</v>
      </c>
      <c r="G15" s="11">
        <v>0</v>
      </c>
      <c r="H15" s="11">
        <v>0</v>
      </c>
      <c r="I15" s="33">
        <v>62.4</v>
      </c>
      <c r="J15" s="33">
        <v>0</v>
      </c>
      <c r="K15" s="33">
        <v>0</v>
      </c>
      <c r="L15" s="30">
        <f t="shared" si="2"/>
        <v>1.8500000000000014</v>
      </c>
      <c r="M15" s="30">
        <v>2</v>
      </c>
      <c r="N15" s="173"/>
      <c r="O15" s="92"/>
      <c r="P15" s="27"/>
      <c r="Q15" s="27"/>
      <c r="U15" s="22"/>
    </row>
    <row r="16" spans="1:22">
      <c r="A16" s="9"/>
      <c r="B16" s="25" t="s">
        <v>47</v>
      </c>
      <c r="C16" s="10" t="s">
        <v>48</v>
      </c>
      <c r="D16" s="7">
        <v>278</v>
      </c>
      <c r="E16" s="11">
        <f t="shared" si="0"/>
        <v>139</v>
      </c>
      <c r="F16" s="11">
        <f t="shared" si="1"/>
        <v>12</v>
      </c>
      <c r="G16" s="11">
        <v>8.25</v>
      </c>
      <c r="H16" s="11">
        <v>0</v>
      </c>
      <c r="I16" s="33">
        <v>139.19999999999999</v>
      </c>
      <c r="J16" s="33">
        <v>58.25</v>
      </c>
      <c r="K16" s="33">
        <v>0</v>
      </c>
      <c r="L16" s="30">
        <f t="shared" si="2"/>
        <v>-38.199999999999989</v>
      </c>
      <c r="M16" s="30">
        <v>-38</v>
      </c>
      <c r="N16" s="173"/>
      <c r="O16" s="92"/>
      <c r="P16" s="27"/>
      <c r="Q16" s="27"/>
      <c r="U16" s="22"/>
    </row>
    <row r="17" spans="1:21">
      <c r="A17" s="9"/>
      <c r="B17" s="25" t="s">
        <v>49</v>
      </c>
      <c r="C17" s="10" t="s">
        <v>50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51</v>
      </c>
      <c r="D18" s="7">
        <v>305</v>
      </c>
      <c r="E18" s="11">
        <f t="shared" si="0"/>
        <v>152.5</v>
      </c>
      <c r="F18" s="11">
        <f t="shared" si="1"/>
        <v>12</v>
      </c>
      <c r="G18" s="11">
        <v>2.75</v>
      </c>
      <c r="H18" s="11">
        <v>5</v>
      </c>
      <c r="I18" s="33">
        <v>242.19</v>
      </c>
      <c r="J18" s="33">
        <v>0</v>
      </c>
      <c r="K18" s="33">
        <v>0</v>
      </c>
      <c r="L18" s="30">
        <f t="shared" si="2"/>
        <v>-69.94</v>
      </c>
      <c r="M18" s="30">
        <v>-70</v>
      </c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20</v>
      </c>
      <c r="T18" s="36"/>
      <c r="U18" s="22"/>
    </row>
    <row r="19" spans="1:21">
      <c r="A19" s="9"/>
      <c r="B19" s="25" t="s">
        <v>54</v>
      </c>
      <c r="C19" s="10" t="s">
        <v>55</v>
      </c>
      <c r="D19" s="7"/>
      <c r="E19" s="11">
        <f t="shared" si="0"/>
        <v>0</v>
      </c>
      <c r="F19" s="11">
        <f t="shared" si="1"/>
        <v>0</v>
      </c>
      <c r="G19" s="11"/>
      <c r="H19" s="11"/>
      <c r="I19" s="33"/>
      <c r="J19" s="33"/>
      <c r="K19" s="33"/>
      <c r="L19" s="30">
        <f t="shared" si="2"/>
        <v>0</v>
      </c>
      <c r="M19" s="30"/>
      <c r="N19" s="173"/>
      <c r="O19" s="92"/>
      <c r="P19" s="27"/>
      <c r="Q19" s="27"/>
      <c r="R19" s="16" t="s">
        <v>56</v>
      </c>
      <c r="S19" s="97" cm="1">
        <f t="array" ref="S19">SUMPRODUCT((VALUE(B4:B47)&gt;100)*(D4:D47&gt;0))</f>
        <v>9</v>
      </c>
      <c r="U19" s="22"/>
    </row>
    <row r="20" spans="1:21">
      <c r="A20" s="9"/>
      <c r="B20" s="25" t="s">
        <v>57</v>
      </c>
      <c r="C20" s="10" t="s">
        <v>58</v>
      </c>
      <c r="D20" s="7">
        <v>254</v>
      </c>
      <c r="E20" s="11">
        <f t="shared" si="0"/>
        <v>127</v>
      </c>
      <c r="F20" s="11">
        <f t="shared" si="1"/>
        <v>12</v>
      </c>
      <c r="G20" s="11">
        <v>0</v>
      </c>
      <c r="H20" s="11">
        <v>10</v>
      </c>
      <c r="I20" s="33">
        <v>178.5</v>
      </c>
      <c r="J20" s="33">
        <v>0</v>
      </c>
      <c r="K20" s="33">
        <v>0</v>
      </c>
      <c r="L20" s="30">
        <f t="shared" si="2"/>
        <v>-29.5</v>
      </c>
      <c r="M20" s="30">
        <v>-29</v>
      </c>
      <c r="N20" s="173">
        <v>-8</v>
      </c>
      <c r="O20" s="92" t="s">
        <v>146</v>
      </c>
      <c r="P20" s="27"/>
      <c r="Q20" s="27"/>
      <c r="R20" s="17" t="s">
        <v>59</v>
      </c>
      <c r="S20" s="98">
        <f>S18+S19</f>
        <v>29</v>
      </c>
      <c r="U20" s="22"/>
    </row>
    <row r="21" spans="1:21">
      <c r="A21" s="9"/>
      <c r="B21" s="25" t="s">
        <v>60</v>
      </c>
      <c r="C21" s="10" t="s">
        <v>61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62</v>
      </c>
      <c r="C22" s="10" t="s">
        <v>63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64</v>
      </c>
      <c r="C23" s="10" t="s">
        <v>65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27"/>
      <c r="Q23" s="27"/>
      <c r="U23" s="22"/>
    </row>
    <row r="24" spans="1:21">
      <c r="A24" s="9"/>
      <c r="B24" s="25" t="s">
        <v>66</v>
      </c>
      <c r="C24" s="10" t="s">
        <v>67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62</v>
      </c>
      <c r="C25" s="10" t="s">
        <v>68</v>
      </c>
      <c r="D25" s="7">
        <v>224</v>
      </c>
      <c r="E25" s="11">
        <f t="shared" si="0"/>
        <v>112</v>
      </c>
      <c r="F25" s="11">
        <f t="shared" si="1"/>
        <v>12</v>
      </c>
      <c r="G25" s="11">
        <v>0</v>
      </c>
      <c r="H25" s="11">
        <v>2.5</v>
      </c>
      <c r="I25" s="33">
        <v>14</v>
      </c>
      <c r="J25" s="33">
        <v>80.5</v>
      </c>
      <c r="K25" s="33">
        <v>0</v>
      </c>
      <c r="L25" s="30">
        <f t="shared" si="2"/>
        <v>32</v>
      </c>
      <c r="M25" s="30">
        <v>32</v>
      </c>
      <c r="N25" s="173"/>
      <c r="O25" s="92"/>
      <c r="P25" s="27"/>
      <c r="Q25" s="27">
        <v>6</v>
      </c>
      <c r="U25" s="22"/>
    </row>
    <row r="26" spans="1:21">
      <c r="A26" s="9"/>
      <c r="B26" s="25" t="s">
        <v>60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T26" s="171"/>
      <c r="U26" s="22"/>
    </row>
    <row r="27" spans="1:21">
      <c r="A27" s="9"/>
      <c r="B27" s="25" t="s">
        <v>70</v>
      </c>
      <c r="C27" s="10" t="s">
        <v>71</v>
      </c>
      <c r="D27" s="7">
        <v>239</v>
      </c>
      <c r="E27" s="11">
        <f t="shared" si="0"/>
        <v>119.5</v>
      </c>
      <c r="F27" s="11">
        <f t="shared" si="1"/>
        <v>12</v>
      </c>
      <c r="G27" s="11">
        <v>0</v>
      </c>
      <c r="H27" s="11">
        <v>5</v>
      </c>
      <c r="I27" s="33">
        <v>123</v>
      </c>
      <c r="J27" s="33">
        <v>69</v>
      </c>
      <c r="K27" s="33">
        <v>0</v>
      </c>
      <c r="L27" s="30">
        <f t="shared" si="2"/>
        <v>-55.5</v>
      </c>
      <c r="M27" s="30">
        <v>-55</v>
      </c>
      <c r="N27" s="173"/>
      <c r="O27" s="92"/>
      <c r="P27" s="27"/>
      <c r="Q27" s="27"/>
      <c r="S27" s="22"/>
      <c r="T27" s="27">
        <v>6</v>
      </c>
      <c r="U27" s="22"/>
    </row>
    <row r="28" spans="1:21">
      <c r="A28" s="9"/>
      <c r="B28" s="25" t="s">
        <v>64</v>
      </c>
      <c r="C28" s="10" t="s">
        <v>72</v>
      </c>
      <c r="D28" s="7">
        <v>273</v>
      </c>
      <c r="E28" s="11">
        <f t="shared" si="0"/>
        <v>136.5</v>
      </c>
      <c r="F28" s="11">
        <f t="shared" si="1"/>
        <v>12</v>
      </c>
      <c r="G28" s="11">
        <v>5.5</v>
      </c>
      <c r="H28" s="11">
        <v>5</v>
      </c>
      <c r="I28" s="33">
        <v>122.57</v>
      </c>
      <c r="J28" s="33">
        <v>0</v>
      </c>
      <c r="K28" s="33">
        <v>0</v>
      </c>
      <c r="L28" s="30">
        <f t="shared" si="2"/>
        <v>36.430000000000007</v>
      </c>
      <c r="M28" s="30">
        <v>36</v>
      </c>
      <c r="N28" s="173"/>
      <c r="O28" s="92"/>
      <c r="P28" s="27"/>
      <c r="Q28" s="27"/>
      <c r="S28" s="22"/>
      <c r="T28" s="171">
        <v>4</v>
      </c>
      <c r="U28" s="22"/>
    </row>
    <row r="29" spans="1:21">
      <c r="A29" s="9"/>
      <c r="B29" s="25" t="s">
        <v>138</v>
      </c>
      <c r="C29" s="10" t="s">
        <v>73</v>
      </c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P29" s="27"/>
      <c r="Q29" s="27">
        <v>0</v>
      </c>
      <c r="S29" s="22"/>
      <c r="T29" s="27"/>
      <c r="U29" s="22"/>
    </row>
    <row r="30" spans="1:21">
      <c r="A30" s="9"/>
      <c r="B30" s="25" t="s">
        <v>75</v>
      </c>
      <c r="C30" s="10" t="s">
        <v>76</v>
      </c>
      <c r="D30" s="7">
        <v>136</v>
      </c>
      <c r="E30" s="11">
        <f t="shared" si="0"/>
        <v>34</v>
      </c>
      <c r="F30" s="11">
        <f t="shared" si="1"/>
        <v>2</v>
      </c>
      <c r="G30" s="11">
        <v>0</v>
      </c>
      <c r="H30" s="11">
        <v>0</v>
      </c>
      <c r="I30" s="33">
        <v>6</v>
      </c>
      <c r="J30" s="33">
        <v>0</v>
      </c>
      <c r="K30" s="33">
        <v>0</v>
      </c>
      <c r="L30" s="30">
        <f t="shared" si="2"/>
        <v>30</v>
      </c>
      <c r="M30" s="30">
        <v>30</v>
      </c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24</v>
      </c>
      <c r="C31" s="10" t="s">
        <v>74</v>
      </c>
      <c r="D31" s="7">
        <v>273</v>
      </c>
      <c r="E31" s="11">
        <f t="shared" si="0"/>
        <v>136.5</v>
      </c>
      <c r="F31" s="11">
        <f t="shared" si="1"/>
        <v>12</v>
      </c>
      <c r="G31" s="11">
        <v>2.75</v>
      </c>
      <c r="H31" s="11">
        <v>2.5</v>
      </c>
      <c r="I31" s="33">
        <v>17</v>
      </c>
      <c r="J31" s="33">
        <v>13.8</v>
      </c>
      <c r="K31" s="33">
        <v>0</v>
      </c>
      <c r="L31" s="30">
        <f t="shared" si="2"/>
        <v>122.95</v>
      </c>
      <c r="M31" s="30">
        <v>123</v>
      </c>
      <c r="N31" s="173"/>
      <c r="O31" s="92"/>
      <c r="P31" s="27"/>
      <c r="Q31" s="27"/>
      <c r="U31" s="22"/>
    </row>
    <row r="32" spans="1:21">
      <c r="A32" s="9"/>
      <c r="B32" s="25" t="s">
        <v>87</v>
      </c>
      <c r="C32" s="10" t="s">
        <v>78</v>
      </c>
      <c r="D32" s="7">
        <v>244</v>
      </c>
      <c r="E32" s="11">
        <f t="shared" si="0"/>
        <v>122</v>
      </c>
      <c r="F32" s="11">
        <f t="shared" si="1"/>
        <v>12</v>
      </c>
      <c r="G32" s="11">
        <v>0</v>
      </c>
      <c r="H32" s="11">
        <v>7.5</v>
      </c>
      <c r="I32" s="33">
        <v>108</v>
      </c>
      <c r="J32" s="33">
        <v>33.35</v>
      </c>
      <c r="K32" s="33">
        <v>0</v>
      </c>
      <c r="L32" s="30">
        <f t="shared" si="2"/>
        <v>0.14999999999999858</v>
      </c>
      <c r="M32" s="30">
        <v>0</v>
      </c>
      <c r="N32" s="173"/>
      <c r="O32" s="92"/>
      <c r="P32" s="27"/>
      <c r="Q32" s="27">
        <v>0</v>
      </c>
      <c r="U32" s="22"/>
    </row>
    <row r="33" spans="1:21">
      <c r="A33" s="9"/>
      <c r="B33" s="25" t="s">
        <v>79</v>
      </c>
      <c r="C33" s="10" t="s">
        <v>80</v>
      </c>
      <c r="D33" s="7">
        <v>57</v>
      </c>
      <c r="E33" s="11">
        <f t="shared" si="0"/>
        <v>28.5</v>
      </c>
      <c r="F33" s="11">
        <f t="shared" si="1"/>
        <v>0</v>
      </c>
      <c r="G33" s="11">
        <v>0</v>
      </c>
      <c r="H33" s="11">
        <v>2.5</v>
      </c>
      <c r="I33" s="33">
        <v>72.5</v>
      </c>
      <c r="J33" s="33">
        <v>0</v>
      </c>
      <c r="K33" s="33">
        <v>250</v>
      </c>
      <c r="L33" s="30">
        <f t="shared" si="2"/>
        <v>-291.5</v>
      </c>
      <c r="M33" s="30">
        <v>-291</v>
      </c>
      <c r="N33" s="173"/>
      <c r="O33" s="92"/>
      <c r="P33" s="27" t="s">
        <v>52</v>
      </c>
      <c r="Q33" s="27">
        <v>0</v>
      </c>
      <c r="U33" s="22"/>
    </row>
    <row r="34" spans="1:21">
      <c r="A34" s="9"/>
      <c r="B34" s="25" t="s">
        <v>81</v>
      </c>
      <c r="C34" s="10" t="s">
        <v>82</v>
      </c>
      <c r="D34" s="7">
        <v>169</v>
      </c>
      <c r="E34" s="11">
        <f t="shared" si="0"/>
        <v>42.25</v>
      </c>
      <c r="F34" s="11">
        <f t="shared" si="1"/>
        <v>2</v>
      </c>
      <c r="G34" s="11">
        <v>0</v>
      </c>
      <c r="H34" s="11">
        <v>0</v>
      </c>
      <c r="I34" s="33">
        <v>57.75</v>
      </c>
      <c r="J34" s="33">
        <v>36</v>
      </c>
      <c r="K34" s="33">
        <v>0</v>
      </c>
      <c r="L34" s="30">
        <f t="shared" si="2"/>
        <v>-49.5</v>
      </c>
      <c r="M34" s="30">
        <v>-49</v>
      </c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83</v>
      </c>
      <c r="D35" s="7">
        <v>212</v>
      </c>
      <c r="E35" s="11">
        <f t="shared" si="0"/>
        <v>106</v>
      </c>
      <c r="F35" s="11">
        <f t="shared" si="1"/>
        <v>12</v>
      </c>
      <c r="G35" s="11">
        <v>2.75</v>
      </c>
      <c r="H35" s="11">
        <v>2.5</v>
      </c>
      <c r="I35" s="33">
        <v>229.69</v>
      </c>
      <c r="J35" s="33">
        <v>0</v>
      </c>
      <c r="K35" s="33">
        <v>0</v>
      </c>
      <c r="L35" s="30">
        <f t="shared" si="2"/>
        <v>-106.44</v>
      </c>
      <c r="M35" s="30">
        <v>-106</v>
      </c>
      <c r="N35" s="173">
        <v>-41</v>
      </c>
      <c r="O35" s="92" t="s">
        <v>145</v>
      </c>
      <c r="P35" s="27"/>
      <c r="Q35" s="27"/>
      <c r="U35" s="22"/>
    </row>
    <row r="36" spans="1:21">
      <c r="A36" s="9"/>
      <c r="B36" s="25" t="s">
        <v>62</v>
      </c>
      <c r="C36" s="10" t="s">
        <v>84</v>
      </c>
      <c r="D36" s="7">
        <v>299</v>
      </c>
      <c r="E36" s="11">
        <f t="shared" si="0"/>
        <v>149.5</v>
      </c>
      <c r="F36" s="11">
        <f t="shared" si="1"/>
        <v>12</v>
      </c>
      <c r="G36" s="11">
        <v>0</v>
      </c>
      <c r="H36" s="11">
        <v>0</v>
      </c>
      <c r="I36" s="33">
        <v>253</v>
      </c>
      <c r="J36" s="33">
        <v>0</v>
      </c>
      <c r="K36" s="33">
        <v>0</v>
      </c>
      <c r="L36" s="30">
        <f t="shared" si="2"/>
        <v>-91.5</v>
      </c>
      <c r="M36" s="30">
        <v>-91</v>
      </c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>
        <v>558</v>
      </c>
      <c r="E37" s="11">
        <f t="shared" si="0"/>
        <v>139.5</v>
      </c>
      <c r="F37" s="11">
        <f t="shared" si="1"/>
        <v>0</v>
      </c>
      <c r="G37" s="11">
        <v>5.5</v>
      </c>
      <c r="H37" s="11">
        <v>2.5</v>
      </c>
      <c r="I37" s="33">
        <v>455.5</v>
      </c>
      <c r="J37" s="33">
        <v>19.55</v>
      </c>
      <c r="K37" s="33">
        <v>0</v>
      </c>
      <c r="L37" s="30">
        <f t="shared" si="2"/>
        <v>-327.55</v>
      </c>
      <c r="M37" s="30">
        <v>-328</v>
      </c>
      <c r="N37" s="173"/>
      <c r="O37" s="92"/>
      <c r="P37" s="27" t="s">
        <v>52</v>
      </c>
      <c r="Q37" s="27">
        <v>0</v>
      </c>
      <c r="U37" s="22"/>
    </row>
    <row r="38" spans="1:21">
      <c r="A38" s="9"/>
      <c r="B38" s="25" t="s">
        <v>87</v>
      </c>
      <c r="C38" s="10" t="s">
        <v>88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/>
      <c r="U38" s="22"/>
    </row>
    <row r="39" spans="1:21">
      <c r="A39" s="9"/>
      <c r="B39" s="25" t="s">
        <v>24</v>
      </c>
      <c r="C39" s="10" t="s">
        <v>89</v>
      </c>
      <c r="D39" s="7">
        <v>265</v>
      </c>
      <c r="E39" s="11">
        <f t="shared" si="0"/>
        <v>132.5</v>
      </c>
      <c r="F39" s="11">
        <f t="shared" si="1"/>
        <v>12</v>
      </c>
      <c r="G39" s="11">
        <v>5.5</v>
      </c>
      <c r="H39" s="11">
        <v>2.5</v>
      </c>
      <c r="I39" s="33">
        <v>56.84</v>
      </c>
      <c r="J39" s="33">
        <v>133.52000000000001</v>
      </c>
      <c r="K39" s="33">
        <v>0</v>
      </c>
      <c r="L39" s="30">
        <f t="shared" si="2"/>
        <v>-37.860000000000014</v>
      </c>
      <c r="M39" s="30">
        <v>-38</v>
      </c>
      <c r="N39" s="173"/>
      <c r="O39" s="92"/>
      <c r="P39" s="27"/>
      <c r="Q39" s="27"/>
      <c r="U39" s="22"/>
    </row>
    <row r="40" spans="1:21">
      <c r="A40" s="9"/>
      <c r="B40" s="25" t="s">
        <v>90</v>
      </c>
      <c r="C40" s="10" t="s">
        <v>91</v>
      </c>
      <c r="D40" s="8">
        <v>305</v>
      </c>
      <c r="E40" s="11">
        <f t="shared" si="0"/>
        <v>76.25</v>
      </c>
      <c r="F40" s="11">
        <f t="shared" si="1"/>
        <v>2</v>
      </c>
      <c r="G40" s="11">
        <v>2.75</v>
      </c>
      <c r="H40" s="11">
        <v>2.5</v>
      </c>
      <c r="I40" s="34">
        <v>98.8</v>
      </c>
      <c r="J40" s="34">
        <v>106.94</v>
      </c>
      <c r="K40" s="34">
        <v>0</v>
      </c>
      <c r="L40" s="30">
        <f t="shared" si="2"/>
        <v>-122.24</v>
      </c>
      <c r="M40" s="30">
        <v>-122</v>
      </c>
      <c r="N40" s="175"/>
      <c r="O40" s="25"/>
      <c r="P40" s="27"/>
      <c r="Q40" s="27"/>
      <c r="U40" s="22"/>
    </row>
    <row r="41" spans="1:21">
      <c r="A41" s="103"/>
      <c r="B41" s="25" t="s">
        <v>92</v>
      </c>
      <c r="C41" s="10" t="s">
        <v>93</v>
      </c>
      <c r="D41" s="7">
        <v>266</v>
      </c>
      <c r="E41" s="11">
        <f t="shared" si="0"/>
        <v>66.5</v>
      </c>
      <c r="F41" s="11">
        <f t="shared" si="1"/>
        <v>2</v>
      </c>
      <c r="G41" s="11">
        <v>11</v>
      </c>
      <c r="H41" s="11">
        <v>0</v>
      </c>
      <c r="I41" s="33">
        <v>134.08000000000001</v>
      </c>
      <c r="J41" s="33">
        <v>195.13</v>
      </c>
      <c r="K41" s="33">
        <v>0</v>
      </c>
      <c r="L41" s="30">
        <f t="shared" si="2"/>
        <v>-249.71</v>
      </c>
      <c r="M41" s="30">
        <v>-250</v>
      </c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>
        <v>389</v>
      </c>
      <c r="E43" s="11">
        <f t="shared" si="0"/>
        <v>194.5</v>
      </c>
      <c r="F43" s="11">
        <f t="shared" si="1"/>
        <v>12</v>
      </c>
      <c r="G43" s="11">
        <v>5.5</v>
      </c>
      <c r="H43" s="11">
        <v>0</v>
      </c>
      <c r="I43" s="33">
        <v>315</v>
      </c>
      <c r="J43" s="33">
        <v>0</v>
      </c>
      <c r="K43" s="33">
        <v>0</v>
      </c>
      <c r="L43" s="30">
        <f t="shared" si="2"/>
        <v>-103</v>
      </c>
      <c r="M43" s="30">
        <v>-103</v>
      </c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>
        <v>280</v>
      </c>
      <c r="E44" s="11">
        <f t="shared" si="0"/>
        <v>140</v>
      </c>
      <c r="F44" s="11">
        <f t="shared" si="1"/>
        <v>12</v>
      </c>
      <c r="G44" s="11">
        <v>5.5</v>
      </c>
      <c r="H44" s="11">
        <v>5</v>
      </c>
      <c r="I44" s="33">
        <v>143.19</v>
      </c>
      <c r="J44" s="33">
        <v>0</v>
      </c>
      <c r="K44" s="33">
        <v>0</v>
      </c>
      <c r="L44" s="30">
        <f t="shared" si="2"/>
        <v>19.310000000000002</v>
      </c>
      <c r="M44" s="30">
        <v>19</v>
      </c>
      <c r="N44" s="173"/>
      <c r="O44" s="92"/>
      <c r="P44" s="27"/>
      <c r="Q44" s="27"/>
      <c r="U44" s="22"/>
    </row>
    <row r="45" spans="1:21">
      <c r="A45" s="9"/>
      <c r="B45" s="104" t="s">
        <v>99</v>
      </c>
      <c r="C45" s="10" t="s">
        <v>100</v>
      </c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202</v>
      </c>
      <c r="E46" s="11">
        <f>IF(AND(VALUE(B46)&lt;100, D46&gt;0),D46*0.5,D46*0.25)</f>
        <v>101</v>
      </c>
      <c r="F46" s="11">
        <f>IF(P46="C",Q46,IF(AND(VALUE(B46)&lt;100, D46&gt;0),12,IF(D46&gt;0,2,0)))</f>
        <v>12</v>
      </c>
      <c r="G46" s="11">
        <v>0</v>
      </c>
      <c r="H46" s="11">
        <v>0</v>
      </c>
      <c r="I46" s="33">
        <v>175.4</v>
      </c>
      <c r="J46" s="33">
        <v>0</v>
      </c>
      <c r="K46" s="33">
        <v>0</v>
      </c>
      <c r="L46" s="30">
        <f t="shared" si="2"/>
        <v>-62.400000000000006</v>
      </c>
      <c r="M46" s="30">
        <v>-62</v>
      </c>
      <c r="N46" s="173"/>
      <c r="O46" s="92"/>
      <c r="P46" s="27"/>
      <c r="Q46" s="27"/>
      <c r="U46" s="22"/>
    </row>
    <row r="47" spans="1:21">
      <c r="A47" s="9"/>
      <c r="B47" s="25" t="s">
        <v>103</v>
      </c>
      <c r="C47" s="10" t="s">
        <v>104</v>
      </c>
      <c r="D47" s="7">
        <v>336</v>
      </c>
      <c r="E47" s="11">
        <f>IF(AND(VALUE(B47)&lt;100, D47&gt;0),D47*0.5,D47*0.25)</f>
        <v>168</v>
      </c>
      <c r="F47" s="11">
        <f>IF(P47="C",Q47,IF(AND(VALUE(B47)&lt;100, D47&gt;0),12,IF(D47&gt;0,2,0)))</f>
        <v>12</v>
      </c>
      <c r="G47" s="11">
        <v>0</v>
      </c>
      <c r="H47" s="11">
        <v>2.5</v>
      </c>
      <c r="I47" s="33">
        <v>71.13</v>
      </c>
      <c r="J47" s="33">
        <v>127.75</v>
      </c>
      <c r="K47" s="33">
        <v>0</v>
      </c>
      <c r="L47" s="30">
        <f t="shared" si="2"/>
        <v>-16.379999999999995</v>
      </c>
      <c r="M47" s="30">
        <v>-16</v>
      </c>
      <c r="N47" s="173"/>
      <c r="O47" s="92"/>
      <c r="P47" s="27"/>
      <c r="Q47" s="27">
        <v>6</v>
      </c>
      <c r="U47" s="22"/>
    </row>
    <row r="48" spans="1:21">
      <c r="D48" s="3">
        <f>SUM(D4:D47)</f>
        <v>7436</v>
      </c>
      <c r="E48" s="21">
        <f t="shared" ref="E48:N48" si="3">SUM(E4:E47)</f>
        <v>3132.5</v>
      </c>
      <c r="F48" s="3">
        <f t="shared" si="3"/>
        <v>244</v>
      </c>
      <c r="G48" s="3">
        <f t="shared" si="3"/>
        <v>77</v>
      </c>
      <c r="H48" s="3">
        <f t="shared" si="3"/>
        <v>67.5</v>
      </c>
      <c r="I48" s="3">
        <f t="shared" si="3"/>
        <v>3728.3100000000004</v>
      </c>
      <c r="J48" s="3">
        <f t="shared" si="3"/>
        <v>1175.1300000000001</v>
      </c>
      <c r="K48" s="3">
        <f t="shared" si="3"/>
        <v>250</v>
      </c>
      <c r="L48" s="3">
        <f t="shared" si="3"/>
        <v>-1632.44</v>
      </c>
      <c r="M48" s="3">
        <f t="shared" si="3"/>
        <v>-1630</v>
      </c>
      <c r="N48" s="3">
        <f t="shared" si="3"/>
        <v>-77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47">
    <cfRule type="expression" dxfId="16" priority="2">
      <formula>$M4&lt;0</formula>
    </cfRule>
  </conditionalFormatting>
  <conditionalFormatting sqref="M4:M47">
    <cfRule type="cellIs" dxfId="15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V48"/>
  <sheetViews>
    <sheetView showGridLines="0" workbookViewId="0">
      <selection activeCell="N20" sqref="N20"/>
    </sheetView>
  </sheetViews>
  <sheetFormatPr defaultRowHeight="15"/>
  <cols>
    <col min="1" max="1" width="6.42578125" style="1" customWidth="1"/>
    <col min="2" max="2" width="12.140625" style="26" customWidth="1"/>
    <col min="3" max="3" width="13.28515625" style="1" bestFit="1" customWidth="1"/>
    <col min="4" max="13" width="12.140625" customWidth="1"/>
    <col min="14" max="14" width="13.140625" customWidth="1"/>
    <col min="15" max="15" width="14.7109375" customWidth="1"/>
    <col min="16" max="17" width="6" style="1" customWidth="1"/>
    <col min="18" max="18" width="12.42578125" bestFit="1" customWidth="1"/>
    <col min="19" max="19" width="10.5703125" customWidth="1"/>
  </cols>
  <sheetData>
    <row r="1" spans="1:22">
      <c r="A1" s="4" t="s">
        <v>0</v>
      </c>
      <c r="B1" s="109">
        <f>'Mon AM'!B1+3</f>
        <v>45435</v>
      </c>
      <c r="C1" s="29"/>
      <c r="D1" s="4" t="s">
        <v>2</v>
      </c>
      <c r="E1" s="6" t="s">
        <v>105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106</v>
      </c>
      <c r="C4" s="10" t="s">
        <v>107</v>
      </c>
      <c r="D4" s="11">
        <v>92</v>
      </c>
      <c r="E4" s="11">
        <f t="shared" ref="E4:E47" si="0">IF(AND(VALUE(B4)&lt;100, D4&gt;0),D4*0.5,D4*0.25)</f>
        <v>23</v>
      </c>
      <c r="F4" s="11">
        <f t="shared" ref="F4:F47" si="1">IF(P4="C",Q4,IF(AND(VALUE(B4)&lt;100, D4&gt;0),12,IF(D4&gt;0,2,0)))</f>
        <v>0</v>
      </c>
      <c r="G4" s="11">
        <v>0</v>
      </c>
      <c r="H4" s="11">
        <v>2.5</v>
      </c>
      <c r="I4" s="32">
        <v>0</v>
      </c>
      <c r="J4" s="32">
        <v>0</v>
      </c>
      <c r="K4" s="32">
        <v>0</v>
      </c>
      <c r="L4" s="30">
        <f t="shared" ref="L4:L47" si="2">(E4+F4+G4+H4)-I4-J4-K4</f>
        <v>25.5</v>
      </c>
      <c r="M4" s="30">
        <v>25</v>
      </c>
      <c r="N4" s="173"/>
      <c r="O4" s="176"/>
      <c r="P4" s="27" t="s">
        <v>52</v>
      </c>
      <c r="Q4" s="27"/>
      <c r="R4" s="15" t="s">
        <v>20</v>
      </c>
      <c r="S4" s="12">
        <f>D48</f>
        <v>2942</v>
      </c>
      <c r="U4" s="1"/>
      <c r="V4" s="1"/>
    </row>
    <row r="5" spans="1:22">
      <c r="A5" s="9"/>
      <c r="B5" s="25" t="s">
        <v>77</v>
      </c>
      <c r="C5" s="10" t="s">
        <v>108</v>
      </c>
      <c r="D5" s="7">
        <v>250</v>
      </c>
      <c r="E5" s="11">
        <f t="shared" si="0"/>
        <v>125</v>
      </c>
      <c r="F5" s="11">
        <f t="shared" si="1"/>
        <v>12</v>
      </c>
      <c r="G5" s="11">
        <v>0</v>
      </c>
      <c r="H5" s="11">
        <v>2.5</v>
      </c>
      <c r="I5" s="33">
        <v>308</v>
      </c>
      <c r="J5" s="33">
        <v>0</v>
      </c>
      <c r="K5" s="33">
        <v>0</v>
      </c>
      <c r="L5" s="30">
        <f t="shared" si="2"/>
        <v>-168.5</v>
      </c>
      <c r="M5" s="30">
        <v>-168</v>
      </c>
      <c r="N5" s="173"/>
      <c r="O5" s="92"/>
      <c r="P5" s="27"/>
      <c r="Q5" s="27">
        <v>6</v>
      </c>
      <c r="R5" s="16" t="s">
        <v>23</v>
      </c>
      <c r="S5" s="13">
        <f>E48</f>
        <v>1319.5</v>
      </c>
      <c r="U5" s="1"/>
      <c r="V5" s="1"/>
    </row>
    <row r="6" spans="1:22">
      <c r="A6" s="9"/>
      <c r="B6" s="25" t="s">
        <v>57</v>
      </c>
      <c r="C6" s="10" t="s">
        <v>109</v>
      </c>
      <c r="D6" s="7">
        <v>96</v>
      </c>
      <c r="E6" s="11">
        <f t="shared" si="0"/>
        <v>48</v>
      </c>
      <c r="F6" s="11">
        <f t="shared" si="1"/>
        <v>6</v>
      </c>
      <c r="G6" s="11">
        <v>0</v>
      </c>
      <c r="H6" s="11">
        <v>0</v>
      </c>
      <c r="I6" s="33">
        <v>37</v>
      </c>
      <c r="J6" s="33">
        <v>13.8</v>
      </c>
      <c r="K6" s="33">
        <v>0</v>
      </c>
      <c r="L6" s="30">
        <f t="shared" si="2"/>
        <v>3.1999999999999993</v>
      </c>
      <c r="M6" s="30">
        <v>3</v>
      </c>
      <c r="N6" s="173"/>
      <c r="O6" s="92"/>
      <c r="P6" s="27" t="s">
        <v>52</v>
      </c>
      <c r="Q6" s="27">
        <v>6</v>
      </c>
      <c r="R6" s="16" t="s">
        <v>8</v>
      </c>
      <c r="S6" s="13">
        <f>F48</f>
        <v>116</v>
      </c>
    </row>
    <row r="7" spans="1:22">
      <c r="A7" s="9"/>
      <c r="B7" s="25" t="s">
        <v>110</v>
      </c>
      <c r="C7" s="10" t="s">
        <v>111</v>
      </c>
      <c r="D7" s="7">
        <v>43</v>
      </c>
      <c r="E7" s="11">
        <f t="shared" si="0"/>
        <v>10.75</v>
      </c>
      <c r="F7" s="11">
        <f t="shared" si="1"/>
        <v>2</v>
      </c>
      <c r="G7" s="11">
        <v>0</v>
      </c>
      <c r="H7" s="11">
        <v>0</v>
      </c>
      <c r="I7" s="33">
        <v>0</v>
      </c>
      <c r="J7" s="33">
        <v>0</v>
      </c>
      <c r="K7" s="33">
        <v>0</v>
      </c>
      <c r="L7" s="30">
        <f t="shared" si="2"/>
        <v>12.75</v>
      </c>
      <c r="M7" s="30">
        <v>13</v>
      </c>
      <c r="N7" s="173"/>
      <c r="O7" s="92"/>
      <c r="P7" s="27"/>
      <c r="Q7" s="27"/>
      <c r="R7" s="16" t="s">
        <v>9</v>
      </c>
      <c r="S7" s="13">
        <f>G48</f>
        <v>8.25</v>
      </c>
    </row>
    <row r="8" spans="1:22">
      <c r="A8" s="9"/>
      <c r="B8" s="25" t="s">
        <v>39</v>
      </c>
      <c r="C8" s="10" t="s">
        <v>112</v>
      </c>
      <c r="D8" s="7">
        <v>274</v>
      </c>
      <c r="E8" s="11">
        <f t="shared" si="0"/>
        <v>137</v>
      </c>
      <c r="F8" s="11">
        <f t="shared" si="1"/>
        <v>12</v>
      </c>
      <c r="G8" s="11">
        <v>0</v>
      </c>
      <c r="H8" s="11">
        <v>5</v>
      </c>
      <c r="I8" s="33">
        <v>67.5</v>
      </c>
      <c r="J8" s="33">
        <v>155.25</v>
      </c>
      <c r="K8" s="33">
        <v>0</v>
      </c>
      <c r="L8" s="30">
        <f t="shared" si="2"/>
        <v>-68.75</v>
      </c>
      <c r="M8" s="30">
        <v>-69</v>
      </c>
      <c r="N8" s="173"/>
      <c r="O8" s="92"/>
      <c r="P8" s="27"/>
      <c r="Q8" s="27">
        <v>6</v>
      </c>
      <c r="R8" s="16" t="s">
        <v>10</v>
      </c>
      <c r="S8" s="13">
        <f>H48</f>
        <v>42.5</v>
      </c>
    </row>
    <row r="9" spans="1:22">
      <c r="A9" s="9"/>
      <c r="B9" s="25" t="s">
        <v>103</v>
      </c>
      <c r="C9" s="10" t="s">
        <v>113</v>
      </c>
      <c r="D9" s="7">
        <v>125</v>
      </c>
      <c r="E9" s="11">
        <f t="shared" si="0"/>
        <v>62.5</v>
      </c>
      <c r="F9" s="11">
        <f t="shared" si="1"/>
        <v>0</v>
      </c>
      <c r="G9" s="11">
        <v>0</v>
      </c>
      <c r="H9" s="11">
        <v>2.5</v>
      </c>
      <c r="I9" s="33">
        <v>61.6</v>
      </c>
      <c r="J9" s="33">
        <v>53.1</v>
      </c>
      <c r="K9" s="33">
        <v>0</v>
      </c>
      <c r="L9" s="30">
        <f t="shared" si="2"/>
        <v>-49.7</v>
      </c>
      <c r="M9" s="30">
        <v>-50</v>
      </c>
      <c r="N9" s="173"/>
      <c r="O9" s="92"/>
      <c r="P9" s="27" t="s">
        <v>52</v>
      </c>
      <c r="Q9" s="27">
        <v>0</v>
      </c>
      <c r="R9" s="16" t="s">
        <v>11</v>
      </c>
      <c r="S9" s="13">
        <f>I48</f>
        <v>1744.22</v>
      </c>
    </row>
    <row r="10" spans="1:22">
      <c r="A10" s="9"/>
      <c r="B10" s="25" t="s">
        <v>101</v>
      </c>
      <c r="C10" s="10" t="s">
        <v>114</v>
      </c>
      <c r="D10" s="7">
        <v>211</v>
      </c>
      <c r="E10" s="11">
        <f t="shared" si="0"/>
        <v>105.5</v>
      </c>
      <c r="F10" s="11">
        <f t="shared" si="1"/>
        <v>12</v>
      </c>
      <c r="G10" s="11">
        <v>0</v>
      </c>
      <c r="H10" s="11">
        <v>0</v>
      </c>
      <c r="I10" s="33">
        <v>203</v>
      </c>
      <c r="J10" s="33">
        <v>10</v>
      </c>
      <c r="K10" s="33">
        <v>0</v>
      </c>
      <c r="L10" s="30">
        <f t="shared" si="2"/>
        <v>-95.5</v>
      </c>
      <c r="M10" s="30">
        <v>-95</v>
      </c>
      <c r="N10" s="173"/>
      <c r="O10" s="92"/>
      <c r="P10" s="27"/>
      <c r="Q10" s="27">
        <v>6</v>
      </c>
      <c r="R10" s="16" t="s">
        <v>12</v>
      </c>
      <c r="S10" s="13">
        <f>J48</f>
        <v>656.04</v>
      </c>
    </row>
    <row r="11" spans="1:22">
      <c r="A11" s="9"/>
      <c r="B11" s="25" t="s">
        <v>26</v>
      </c>
      <c r="C11" s="10" t="s">
        <v>115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116</v>
      </c>
      <c r="D12" s="7">
        <v>200</v>
      </c>
      <c r="E12" s="11">
        <f t="shared" si="0"/>
        <v>100</v>
      </c>
      <c r="F12" s="11">
        <f t="shared" si="1"/>
        <v>12</v>
      </c>
      <c r="G12" s="11">
        <v>2.75</v>
      </c>
      <c r="H12" s="11">
        <v>0</v>
      </c>
      <c r="I12" s="33">
        <v>136.88</v>
      </c>
      <c r="J12" s="33">
        <v>53.39</v>
      </c>
      <c r="K12" s="33">
        <v>0</v>
      </c>
      <c r="L12" s="30">
        <f t="shared" si="2"/>
        <v>-75.52</v>
      </c>
      <c r="M12" s="30">
        <v>-76</v>
      </c>
      <c r="N12" s="173"/>
      <c r="O12" s="92"/>
      <c r="P12" s="27"/>
      <c r="Q12" s="27"/>
      <c r="R12" s="17" t="s">
        <v>38</v>
      </c>
      <c r="S12" s="14">
        <f>N48</f>
        <v>-40</v>
      </c>
    </row>
    <row r="13" spans="1:22">
      <c r="A13" s="9"/>
      <c r="B13" s="25" t="s">
        <v>103</v>
      </c>
      <c r="C13" s="10" t="s">
        <v>117</v>
      </c>
      <c r="D13" s="7">
        <v>378</v>
      </c>
      <c r="E13" s="11">
        <f t="shared" si="0"/>
        <v>189</v>
      </c>
      <c r="F13" s="11">
        <f t="shared" si="1"/>
        <v>12</v>
      </c>
      <c r="G13" s="11">
        <v>0</v>
      </c>
      <c r="H13" s="11">
        <v>7.5</v>
      </c>
      <c r="I13" s="33">
        <v>66.5</v>
      </c>
      <c r="J13" s="33">
        <v>250</v>
      </c>
      <c r="K13" s="33">
        <v>0</v>
      </c>
      <c r="L13" s="30">
        <f t="shared" si="2"/>
        <v>-108</v>
      </c>
      <c r="M13" s="30">
        <v>-108</v>
      </c>
      <c r="N13" s="173"/>
      <c r="O13" s="92"/>
      <c r="P13" s="27"/>
      <c r="Q13" s="27">
        <v>6</v>
      </c>
      <c r="R13" s="18"/>
      <c r="S13" s="31">
        <f>S5+S6+S7-S9-S10-S11-S12</f>
        <v>-916.51</v>
      </c>
      <c r="T13" s="22"/>
    </row>
    <row r="14" spans="1:22">
      <c r="A14" s="9"/>
      <c r="B14" s="25" t="s">
        <v>57</v>
      </c>
      <c r="C14" s="10" t="s">
        <v>118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44</v>
      </c>
      <c r="S14" s="20">
        <f>M48</f>
        <v>-914</v>
      </c>
    </row>
    <row r="15" spans="1:22">
      <c r="A15" s="9"/>
      <c r="B15" s="25" t="s">
        <v>119</v>
      </c>
      <c r="C15" s="10" t="s">
        <v>120</v>
      </c>
      <c r="D15" s="7">
        <v>91</v>
      </c>
      <c r="E15" s="11">
        <f t="shared" si="0"/>
        <v>22.75</v>
      </c>
      <c r="F15" s="11">
        <f t="shared" si="1"/>
        <v>0</v>
      </c>
      <c r="G15" s="11">
        <v>0</v>
      </c>
      <c r="H15" s="11">
        <v>2.5</v>
      </c>
      <c r="I15" s="33">
        <v>13</v>
      </c>
      <c r="J15" s="33">
        <v>0</v>
      </c>
      <c r="K15" s="33">
        <v>0</v>
      </c>
      <c r="L15" s="30">
        <f t="shared" si="2"/>
        <v>12.25</v>
      </c>
      <c r="M15" s="30">
        <v>12</v>
      </c>
      <c r="N15" s="173"/>
      <c r="O15" s="92"/>
      <c r="P15" s="27" t="s">
        <v>52</v>
      </c>
      <c r="Q15" s="27"/>
    </row>
    <row r="16" spans="1:22">
      <c r="A16" s="9"/>
      <c r="B16" s="25" t="s">
        <v>121</v>
      </c>
      <c r="C16" s="10" t="s">
        <v>122</v>
      </c>
      <c r="D16" s="7">
        <v>135</v>
      </c>
      <c r="E16" s="11">
        <f t="shared" si="0"/>
        <v>33.75</v>
      </c>
      <c r="F16" s="11">
        <f t="shared" si="1"/>
        <v>2</v>
      </c>
      <c r="G16" s="11">
        <v>0</v>
      </c>
      <c r="H16" s="11">
        <v>5</v>
      </c>
      <c r="I16" s="33">
        <v>195.25</v>
      </c>
      <c r="J16" s="33">
        <v>0</v>
      </c>
      <c r="K16" s="33">
        <v>0</v>
      </c>
      <c r="L16" s="30">
        <f t="shared" si="2"/>
        <v>-154.5</v>
      </c>
      <c r="M16" s="30">
        <v>-154</v>
      </c>
      <c r="N16" s="173">
        <v>-40</v>
      </c>
      <c r="O16" s="92" t="s">
        <v>145</v>
      </c>
      <c r="P16" s="27"/>
      <c r="Q16" s="27"/>
      <c r="R16" s="36"/>
      <c r="S16" s="36"/>
      <c r="T16" s="36"/>
      <c r="U16" s="36"/>
    </row>
    <row r="17" spans="1:21">
      <c r="A17" s="9"/>
      <c r="B17" s="25" t="s">
        <v>123</v>
      </c>
      <c r="C17" s="10" t="s">
        <v>124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125</v>
      </c>
      <c r="C18" s="10" t="s">
        <v>126</v>
      </c>
      <c r="D18" s="7">
        <v>180</v>
      </c>
      <c r="E18" s="11">
        <f t="shared" si="0"/>
        <v>45</v>
      </c>
      <c r="F18" s="11">
        <f t="shared" si="1"/>
        <v>2</v>
      </c>
      <c r="G18" s="11">
        <v>0</v>
      </c>
      <c r="H18" s="11">
        <v>5</v>
      </c>
      <c r="I18" s="33">
        <v>65.5</v>
      </c>
      <c r="J18" s="33">
        <v>0</v>
      </c>
      <c r="K18" s="33">
        <v>0</v>
      </c>
      <c r="L18" s="30">
        <f t="shared" si="2"/>
        <v>-13.5</v>
      </c>
      <c r="M18" s="30">
        <v>-13</v>
      </c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11</v>
      </c>
      <c r="T18" s="36"/>
      <c r="U18" s="36"/>
    </row>
    <row r="19" spans="1:21">
      <c r="A19" s="9"/>
      <c r="B19" s="25" t="s">
        <v>24</v>
      </c>
      <c r="C19" s="10" t="s">
        <v>127</v>
      </c>
      <c r="D19" s="7">
        <v>191</v>
      </c>
      <c r="E19" s="11">
        <f t="shared" si="0"/>
        <v>95.5</v>
      </c>
      <c r="F19" s="11">
        <f t="shared" si="1"/>
        <v>12</v>
      </c>
      <c r="G19" s="11">
        <v>2.75</v>
      </c>
      <c r="H19" s="11">
        <v>2.5</v>
      </c>
      <c r="I19" s="33">
        <v>0</v>
      </c>
      <c r="J19" s="33">
        <v>0</v>
      </c>
      <c r="K19" s="33">
        <v>0</v>
      </c>
      <c r="L19" s="30">
        <f t="shared" si="2"/>
        <v>112.75</v>
      </c>
      <c r="M19" s="30">
        <v>112</v>
      </c>
      <c r="N19" s="173"/>
      <c r="O19" s="92"/>
      <c r="P19" s="27"/>
      <c r="Q19" s="27">
        <v>6</v>
      </c>
      <c r="R19" s="16" t="s">
        <v>56</v>
      </c>
      <c r="S19" s="97" cm="1">
        <f t="array" ref="S19">SUMPRODUCT((VALUE(B4:B47)&gt;100)*(D4:D47&gt;0))</f>
        <v>6</v>
      </c>
      <c r="T19" s="36"/>
      <c r="U19" s="36"/>
    </row>
    <row r="20" spans="1:21">
      <c r="A20" s="9"/>
      <c r="B20" s="25" t="s">
        <v>128</v>
      </c>
      <c r="C20" s="10" t="s">
        <v>129</v>
      </c>
      <c r="D20" s="7">
        <v>203</v>
      </c>
      <c r="E20" s="11">
        <f t="shared" si="0"/>
        <v>101.5</v>
      </c>
      <c r="F20" s="11">
        <f t="shared" si="1"/>
        <v>12</v>
      </c>
      <c r="G20" s="11">
        <v>0</v>
      </c>
      <c r="H20" s="11">
        <v>5</v>
      </c>
      <c r="I20" s="33">
        <v>116</v>
      </c>
      <c r="J20" s="33">
        <v>109</v>
      </c>
      <c r="K20" s="33">
        <v>0</v>
      </c>
      <c r="L20" s="30">
        <f t="shared" si="2"/>
        <v>-106.5</v>
      </c>
      <c r="M20" s="30">
        <v>-106</v>
      </c>
      <c r="N20" s="173"/>
      <c r="O20" s="92"/>
      <c r="P20" s="27"/>
      <c r="Q20" s="27"/>
      <c r="R20" s="17" t="s">
        <v>59</v>
      </c>
      <c r="S20" s="98">
        <f>S18+S19</f>
        <v>17</v>
      </c>
      <c r="T20" s="36"/>
      <c r="U20" s="36"/>
    </row>
    <row r="21" spans="1:21">
      <c r="A21" s="9"/>
      <c r="B21" s="25" t="s">
        <v>130</v>
      </c>
      <c r="C21" s="10" t="s">
        <v>131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132</v>
      </c>
      <c r="D22" s="7"/>
      <c r="E22" s="11">
        <f>IF(AND(VALUE(B22)&lt;100, D22&gt;0),D22*0.5,D22*0.25)</f>
        <v>0</v>
      </c>
      <c r="F22" s="11">
        <f>IF(P22="C",Q22,IF(AND(VALUE(B22)&lt;100, D22&gt;0),12,IF(D22&gt;0,2,0)))</f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</row>
    <row r="23" spans="1:21">
      <c r="A23" s="9"/>
      <c r="B23" s="25" t="s">
        <v>147</v>
      </c>
      <c r="C23" s="10" t="s">
        <v>148</v>
      </c>
      <c r="D23" s="7">
        <v>65</v>
      </c>
      <c r="E23" s="11">
        <f>IF(AND(VALUE(B23)&lt;100, D23&gt;0),D23*0.5,D23*0.25)</f>
        <v>16.25</v>
      </c>
      <c r="F23" s="11">
        <f>IF(P23="C",Q23,IF(AND(VALUE(B23)&lt;100, D23&gt;0),12,IF(D23&gt;0,2,0)))</f>
        <v>2</v>
      </c>
      <c r="G23" s="11">
        <v>2.75</v>
      </c>
      <c r="H23" s="11">
        <v>0</v>
      </c>
      <c r="I23" s="33">
        <v>94.69</v>
      </c>
      <c r="J23" s="33">
        <v>0</v>
      </c>
      <c r="K23" s="33">
        <v>0</v>
      </c>
      <c r="L23" s="30">
        <f t="shared" si="2"/>
        <v>-73.69</v>
      </c>
      <c r="M23" s="30">
        <v>-74</v>
      </c>
      <c r="N23" s="173"/>
      <c r="O23" s="92"/>
      <c r="P23" s="99"/>
      <c r="Q23" s="99">
        <v>6</v>
      </c>
    </row>
    <row r="24" spans="1:21">
      <c r="A24" s="9"/>
      <c r="B24" s="25" t="s">
        <v>134</v>
      </c>
      <c r="C24" s="10" t="s">
        <v>135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136</v>
      </c>
      <c r="D25" s="7">
        <v>274</v>
      </c>
      <c r="E25" s="11">
        <f t="shared" si="0"/>
        <v>137</v>
      </c>
      <c r="F25" s="11">
        <f t="shared" si="1"/>
        <v>12</v>
      </c>
      <c r="G25" s="11">
        <v>0</v>
      </c>
      <c r="H25" s="11">
        <v>0</v>
      </c>
      <c r="I25" s="33">
        <v>293</v>
      </c>
      <c r="J25" s="33">
        <v>11.5</v>
      </c>
      <c r="K25" s="33">
        <v>0</v>
      </c>
      <c r="L25" s="30">
        <f t="shared" si="2"/>
        <v>-155.5</v>
      </c>
      <c r="M25" s="30">
        <v>-155</v>
      </c>
      <c r="N25" s="173"/>
      <c r="O25" s="92"/>
      <c r="P25" s="27"/>
      <c r="Q25" s="27">
        <v>6</v>
      </c>
    </row>
    <row r="26" spans="1:21">
      <c r="A26" s="9"/>
      <c r="B26" s="25" t="s">
        <v>39</v>
      </c>
      <c r="C26" s="10" t="s">
        <v>137</v>
      </c>
      <c r="D26" s="7">
        <v>134</v>
      </c>
      <c r="E26" s="11">
        <f t="shared" si="0"/>
        <v>67</v>
      </c>
      <c r="F26" s="11">
        <f t="shared" si="1"/>
        <v>6</v>
      </c>
      <c r="G26" s="11">
        <v>0</v>
      </c>
      <c r="H26" s="11">
        <v>2.5</v>
      </c>
      <c r="I26" s="33">
        <v>86.3</v>
      </c>
      <c r="J26" s="33">
        <v>0</v>
      </c>
      <c r="K26" s="33">
        <v>0</v>
      </c>
      <c r="L26" s="30">
        <f t="shared" si="2"/>
        <v>-10.799999999999997</v>
      </c>
      <c r="M26" s="30">
        <v>-11</v>
      </c>
      <c r="N26" s="173"/>
      <c r="O26" s="92"/>
      <c r="P26" s="27" t="s">
        <v>52</v>
      </c>
      <c r="Q26" s="172">
        <v>6</v>
      </c>
    </row>
    <row r="27" spans="1:21">
      <c r="A27" s="9"/>
      <c r="B27" s="25" t="s">
        <v>142</v>
      </c>
      <c r="C27" s="10" t="s">
        <v>151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139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/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>
        <v>1</v>
      </c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2942</v>
      </c>
      <c r="E48" s="21">
        <f t="shared" si="3"/>
        <v>1319.5</v>
      </c>
      <c r="F48" s="3">
        <f t="shared" si="3"/>
        <v>116</v>
      </c>
      <c r="G48" s="3">
        <f t="shared" si="3"/>
        <v>8.25</v>
      </c>
      <c r="H48" s="3">
        <f t="shared" si="3"/>
        <v>42.5</v>
      </c>
      <c r="I48" s="3">
        <f t="shared" si="3"/>
        <v>1744.22</v>
      </c>
      <c r="J48" s="3">
        <f t="shared" si="3"/>
        <v>656.04</v>
      </c>
      <c r="K48" s="3">
        <f t="shared" si="3"/>
        <v>0</v>
      </c>
      <c r="L48" s="3">
        <f t="shared" si="3"/>
        <v>-914.01</v>
      </c>
      <c r="M48" s="3">
        <f t="shared" si="3"/>
        <v>-914</v>
      </c>
      <c r="N48" s="3">
        <f t="shared" si="3"/>
        <v>-40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22 C24:C47">
    <cfRule type="expression" dxfId="14" priority="3">
      <formula>$M4&lt;0</formula>
    </cfRule>
  </conditionalFormatting>
  <conditionalFormatting sqref="M4:M47">
    <cfRule type="cellIs" dxfId="13" priority="2" operator="lessThan">
      <formula>0</formula>
    </cfRule>
  </conditionalFormatting>
  <conditionalFormatting sqref="C23">
    <cfRule type="expression" dxfId="12" priority="1">
      <formula>$M23&lt;0</formula>
    </cfRule>
  </conditionalFormatting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V61"/>
  <sheetViews>
    <sheetView showGridLines="0" topLeftCell="A21" workbookViewId="0">
      <selection activeCell="O8" sqref="O8"/>
    </sheetView>
  </sheetViews>
  <sheetFormatPr defaultRowHeight="15"/>
  <cols>
    <col min="1" max="1" width="6.140625" style="1" customWidth="1"/>
    <col min="2" max="2" width="12.140625" style="26" customWidth="1"/>
    <col min="3" max="3" width="15.7109375" style="1" bestFit="1" customWidth="1"/>
    <col min="4" max="13" width="12.140625" customWidth="1"/>
    <col min="14" max="14" width="12.42578125" bestFit="1" customWidth="1"/>
    <col min="15" max="15" width="1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AM'!B1+4</f>
        <v>45436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>
        <v>183</v>
      </c>
      <c r="E4" s="11">
        <f t="shared" ref="E4:E47" si="0">IF(AND(VALUE(B4)&lt;100, D4&gt;0),D4*0.5,D4*0.25)</f>
        <v>45.75</v>
      </c>
      <c r="F4" s="11">
        <f t="shared" ref="F4:F47" si="1">IF(P4="C",Q4,IF(AND(VALUE(B4)&lt;100, D4&gt;0),12,IF(D4&gt;0,2,0)))</f>
        <v>2</v>
      </c>
      <c r="G4" s="11">
        <v>0</v>
      </c>
      <c r="H4" s="11">
        <v>2.5</v>
      </c>
      <c r="I4" s="32">
        <v>61.5</v>
      </c>
      <c r="J4" s="32">
        <v>8.0500000000000007</v>
      </c>
      <c r="K4" s="32">
        <v>0</v>
      </c>
      <c r="L4" s="30">
        <f t="shared" ref="L4:L47" si="2">(E4+F4+G4+H4)-I4-J4-K4</f>
        <v>-19.3</v>
      </c>
      <c r="M4" s="30">
        <v>-19</v>
      </c>
      <c r="N4" s="173"/>
      <c r="O4" s="176"/>
      <c r="P4" s="27"/>
      <c r="Q4" s="27"/>
      <c r="R4" s="15" t="s">
        <v>20</v>
      </c>
      <c r="S4" s="12">
        <f>D48</f>
        <v>5891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2675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 t="s">
        <v>52</v>
      </c>
      <c r="Q6" s="27">
        <v>0</v>
      </c>
      <c r="R6" s="16" t="s">
        <v>8</v>
      </c>
      <c r="S6" s="13">
        <f>F48</f>
        <v>268</v>
      </c>
      <c r="U6" s="22"/>
    </row>
    <row r="7" spans="1:22">
      <c r="A7" s="9"/>
      <c r="B7" s="25" t="s">
        <v>26</v>
      </c>
      <c r="C7" s="10" t="s">
        <v>27</v>
      </c>
      <c r="D7" s="7">
        <v>178</v>
      </c>
      <c r="E7" s="11">
        <f t="shared" si="0"/>
        <v>89</v>
      </c>
      <c r="F7" s="11">
        <f t="shared" si="1"/>
        <v>12</v>
      </c>
      <c r="G7" s="11">
        <v>2.75</v>
      </c>
      <c r="H7" s="11">
        <v>0</v>
      </c>
      <c r="I7" s="33">
        <v>0</v>
      </c>
      <c r="J7" s="33">
        <v>93.68</v>
      </c>
      <c r="K7" s="33">
        <v>13</v>
      </c>
      <c r="L7" s="30">
        <f t="shared" si="2"/>
        <v>-2.9300000000000068</v>
      </c>
      <c r="M7" s="30">
        <v>-3</v>
      </c>
      <c r="N7" s="173">
        <v>-3</v>
      </c>
      <c r="O7" s="92" t="s">
        <v>152</v>
      </c>
      <c r="P7" s="27"/>
      <c r="Q7" s="27"/>
      <c r="R7" s="16" t="s">
        <v>9</v>
      </c>
      <c r="S7" s="13">
        <f>G48</f>
        <v>27.5</v>
      </c>
      <c r="U7" s="22"/>
    </row>
    <row r="8" spans="1:22">
      <c r="A8" s="9"/>
      <c r="B8" s="25" t="s">
        <v>34</v>
      </c>
      <c r="C8" s="10" t="s">
        <v>35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75</v>
      </c>
      <c r="U8" s="22"/>
    </row>
    <row r="9" spans="1:22">
      <c r="A9" s="9"/>
      <c r="B9" s="25" t="s">
        <v>30</v>
      </c>
      <c r="C9" s="10" t="s">
        <v>31</v>
      </c>
      <c r="D9" s="7">
        <v>136</v>
      </c>
      <c r="E9" s="11">
        <f t="shared" si="0"/>
        <v>68</v>
      </c>
      <c r="F9" s="11">
        <f t="shared" si="1"/>
        <v>12</v>
      </c>
      <c r="G9" s="11">
        <v>0</v>
      </c>
      <c r="H9" s="11">
        <v>0</v>
      </c>
      <c r="I9" s="33">
        <v>70</v>
      </c>
      <c r="J9" s="33">
        <v>0</v>
      </c>
      <c r="K9" s="33">
        <v>0</v>
      </c>
      <c r="L9" s="30">
        <f t="shared" si="2"/>
        <v>10</v>
      </c>
      <c r="M9" s="30">
        <v>10</v>
      </c>
      <c r="N9" s="173"/>
      <c r="O9" s="92"/>
      <c r="P9" s="27"/>
      <c r="Q9" s="27">
        <v>6</v>
      </c>
      <c r="R9" s="16" t="s">
        <v>11</v>
      </c>
      <c r="S9" s="13">
        <f>I48</f>
        <v>2291.06</v>
      </c>
      <c r="U9" s="22"/>
    </row>
    <row r="10" spans="1:22">
      <c r="A10" s="9"/>
      <c r="B10" s="25" t="s">
        <v>32</v>
      </c>
      <c r="C10" s="10" t="s">
        <v>33</v>
      </c>
      <c r="D10" s="7">
        <v>103</v>
      </c>
      <c r="E10" s="11">
        <f t="shared" si="0"/>
        <v>25.75</v>
      </c>
      <c r="F10" s="11">
        <f t="shared" si="1"/>
        <v>2</v>
      </c>
      <c r="G10" s="11">
        <v>0</v>
      </c>
      <c r="H10" s="11">
        <v>0</v>
      </c>
      <c r="I10" s="33">
        <v>0</v>
      </c>
      <c r="J10" s="33">
        <v>8.0500000000000007</v>
      </c>
      <c r="K10" s="33">
        <v>0</v>
      </c>
      <c r="L10" s="30">
        <f t="shared" si="2"/>
        <v>19.7</v>
      </c>
      <c r="M10" s="30">
        <v>20</v>
      </c>
      <c r="N10" s="173"/>
      <c r="O10" s="92"/>
      <c r="P10" s="27"/>
      <c r="Q10" s="27"/>
      <c r="R10" s="16" t="s">
        <v>12</v>
      </c>
      <c r="S10" s="13">
        <f>J48</f>
        <v>637.41999999999996</v>
      </c>
      <c r="U10" s="22"/>
    </row>
    <row r="11" spans="1:22">
      <c r="A11" s="9"/>
      <c r="B11" s="25" t="s">
        <v>103</v>
      </c>
      <c r="C11" s="10" t="s">
        <v>153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188</v>
      </c>
      <c r="U11" s="22"/>
    </row>
    <row r="12" spans="1:22">
      <c r="A12" s="9"/>
      <c r="B12" s="25" t="s">
        <v>36</v>
      </c>
      <c r="C12" s="10" t="s">
        <v>37</v>
      </c>
      <c r="D12" s="7">
        <v>172</v>
      </c>
      <c r="E12" s="11">
        <f t="shared" si="0"/>
        <v>43</v>
      </c>
      <c r="F12" s="11">
        <f t="shared" si="1"/>
        <v>2</v>
      </c>
      <c r="G12" s="11">
        <v>0</v>
      </c>
      <c r="H12" s="11">
        <v>5</v>
      </c>
      <c r="I12" s="33">
        <v>21</v>
      </c>
      <c r="J12" s="33">
        <v>8.0500000000000007</v>
      </c>
      <c r="K12" s="33">
        <v>0</v>
      </c>
      <c r="L12" s="30">
        <f t="shared" si="2"/>
        <v>20.95</v>
      </c>
      <c r="M12" s="30">
        <v>21</v>
      </c>
      <c r="N12" s="173"/>
      <c r="O12" s="92"/>
      <c r="P12" s="27"/>
      <c r="Q12" s="27"/>
      <c r="R12" s="17" t="s">
        <v>38</v>
      </c>
      <c r="S12" s="14">
        <f>N48</f>
        <v>-3</v>
      </c>
      <c r="U12" s="22"/>
    </row>
    <row r="13" spans="1:22">
      <c r="A13" s="9"/>
      <c r="B13" s="25" t="s">
        <v>39</v>
      </c>
      <c r="C13" s="10" t="s">
        <v>40</v>
      </c>
      <c r="D13" s="7">
        <v>170</v>
      </c>
      <c r="E13" s="11">
        <f t="shared" si="0"/>
        <v>85</v>
      </c>
      <c r="F13" s="11">
        <f t="shared" si="1"/>
        <v>12</v>
      </c>
      <c r="G13" s="11">
        <v>0</v>
      </c>
      <c r="H13" s="11">
        <v>0</v>
      </c>
      <c r="I13" s="33">
        <v>11</v>
      </c>
      <c r="J13" s="33">
        <v>58</v>
      </c>
      <c r="K13" s="33">
        <v>0</v>
      </c>
      <c r="L13" s="30">
        <f t="shared" si="2"/>
        <v>28</v>
      </c>
      <c r="M13" s="30">
        <v>28</v>
      </c>
      <c r="N13" s="173"/>
      <c r="O13" s="92"/>
      <c r="P13" s="27"/>
      <c r="Q13" s="27">
        <v>6</v>
      </c>
      <c r="R13" s="18"/>
      <c r="S13" s="31">
        <f>S5+S6+S7-S9-S10-S11-S12</f>
        <v>-142.9799999999999</v>
      </c>
      <c r="U13" s="22"/>
    </row>
    <row r="14" spans="1:22">
      <c r="A14" s="9"/>
      <c r="B14" s="25" t="s">
        <v>41</v>
      </c>
      <c r="C14" s="10" t="s">
        <v>42</v>
      </c>
      <c r="D14" s="7">
        <v>185</v>
      </c>
      <c r="E14" s="11">
        <f t="shared" si="0"/>
        <v>92.5</v>
      </c>
      <c r="F14" s="11">
        <f t="shared" si="1"/>
        <v>12</v>
      </c>
      <c r="G14" s="11">
        <v>0</v>
      </c>
      <c r="H14" s="11">
        <v>0</v>
      </c>
      <c r="I14" s="33">
        <v>25.8</v>
      </c>
      <c r="J14" s="33">
        <v>25.25</v>
      </c>
      <c r="K14" s="33">
        <v>0</v>
      </c>
      <c r="L14" s="30">
        <f t="shared" si="2"/>
        <v>53.45</v>
      </c>
      <c r="M14" s="30">
        <v>53</v>
      </c>
      <c r="N14" s="173"/>
      <c r="O14" s="92"/>
      <c r="P14" s="27"/>
      <c r="Q14" s="27"/>
      <c r="R14" s="19" t="s">
        <v>44</v>
      </c>
      <c r="S14" s="20">
        <f>M48</f>
        <v>-68</v>
      </c>
      <c r="U14" s="22"/>
    </row>
    <row r="15" spans="1:22">
      <c r="A15" s="9"/>
      <c r="B15" s="25" t="s">
        <v>45</v>
      </c>
      <c r="C15" s="10" t="s">
        <v>46</v>
      </c>
      <c r="D15" s="7">
        <v>103</v>
      </c>
      <c r="E15" s="11">
        <f t="shared" si="0"/>
        <v>25.75</v>
      </c>
      <c r="F15" s="11">
        <f t="shared" si="1"/>
        <v>2</v>
      </c>
      <c r="G15" s="11">
        <v>0</v>
      </c>
      <c r="H15" s="11">
        <v>0</v>
      </c>
      <c r="I15" s="33">
        <v>50</v>
      </c>
      <c r="J15" s="33">
        <v>20.7</v>
      </c>
      <c r="K15" s="33">
        <v>0</v>
      </c>
      <c r="L15" s="30">
        <f t="shared" si="2"/>
        <v>-42.95</v>
      </c>
      <c r="M15" s="30">
        <v>-43</v>
      </c>
      <c r="N15" s="173"/>
      <c r="O15" s="92"/>
      <c r="P15" s="27"/>
      <c r="Q15" s="27"/>
      <c r="U15" s="22"/>
    </row>
    <row r="16" spans="1:22">
      <c r="A16" s="9"/>
      <c r="B16" s="25" t="s">
        <v>47</v>
      </c>
      <c r="C16" s="10" t="s">
        <v>48</v>
      </c>
      <c r="D16" s="7">
        <v>205</v>
      </c>
      <c r="E16" s="11">
        <f t="shared" si="0"/>
        <v>102.5</v>
      </c>
      <c r="F16" s="11">
        <f t="shared" si="1"/>
        <v>12</v>
      </c>
      <c r="G16" s="11">
        <v>0</v>
      </c>
      <c r="H16" s="11">
        <v>2.5</v>
      </c>
      <c r="I16" s="33">
        <v>86</v>
      </c>
      <c r="J16" s="33">
        <v>48.55</v>
      </c>
      <c r="K16" s="33">
        <v>0</v>
      </c>
      <c r="L16" s="30">
        <f t="shared" si="2"/>
        <v>-17.549999999999997</v>
      </c>
      <c r="M16" s="30">
        <v>-18</v>
      </c>
      <c r="N16" s="173"/>
      <c r="O16" s="92"/>
      <c r="P16" s="27"/>
      <c r="Q16" s="27"/>
      <c r="U16" s="22"/>
    </row>
    <row r="17" spans="1:21">
      <c r="A17" s="9"/>
      <c r="B17" s="25" t="s">
        <v>49</v>
      </c>
      <c r="C17" s="10" t="s">
        <v>50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51</v>
      </c>
      <c r="D18" s="7">
        <v>358</v>
      </c>
      <c r="E18" s="11">
        <f t="shared" si="0"/>
        <v>179</v>
      </c>
      <c r="F18" s="11">
        <f t="shared" si="1"/>
        <v>12</v>
      </c>
      <c r="G18" s="11">
        <v>2.75</v>
      </c>
      <c r="H18" s="11">
        <v>7.5</v>
      </c>
      <c r="I18" s="33">
        <v>200</v>
      </c>
      <c r="J18" s="33">
        <v>86.74</v>
      </c>
      <c r="K18" s="33">
        <v>0</v>
      </c>
      <c r="L18" s="30">
        <f t="shared" si="2"/>
        <v>-85.49</v>
      </c>
      <c r="M18" s="30">
        <v>-85</v>
      </c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21</v>
      </c>
      <c r="T18" s="36"/>
      <c r="U18" s="22"/>
    </row>
    <row r="19" spans="1:21">
      <c r="A19" s="9"/>
      <c r="B19" s="25" t="s">
        <v>54</v>
      </c>
      <c r="C19" s="10" t="s">
        <v>55</v>
      </c>
      <c r="D19" s="7">
        <v>245</v>
      </c>
      <c r="E19" s="11">
        <f t="shared" si="0"/>
        <v>122.5</v>
      </c>
      <c r="F19" s="11">
        <f t="shared" si="1"/>
        <v>12</v>
      </c>
      <c r="G19" s="11">
        <v>5.5</v>
      </c>
      <c r="H19" s="11">
        <v>0</v>
      </c>
      <c r="I19" s="33">
        <v>151.32</v>
      </c>
      <c r="J19" s="33">
        <v>0</v>
      </c>
      <c r="K19" s="33">
        <v>0</v>
      </c>
      <c r="L19" s="30">
        <f t="shared" si="2"/>
        <v>-11.319999999999993</v>
      </c>
      <c r="M19" s="30">
        <v>-11</v>
      </c>
      <c r="N19" s="173"/>
      <c r="O19" s="92"/>
      <c r="P19" s="27"/>
      <c r="Q19" s="27"/>
      <c r="R19" s="16" t="s">
        <v>56</v>
      </c>
      <c r="S19" s="97" cm="1">
        <f t="array" ref="S19">SUMPRODUCT((VALUE(B4:B47)&gt;100)*(D4:D47&gt;0))</f>
        <v>8</v>
      </c>
      <c r="U19" s="22"/>
    </row>
    <row r="20" spans="1:21">
      <c r="A20" s="9"/>
      <c r="B20" s="25" t="s">
        <v>57</v>
      </c>
      <c r="C20" s="10" t="s">
        <v>58</v>
      </c>
      <c r="D20" s="7">
        <v>217</v>
      </c>
      <c r="E20" s="11">
        <f t="shared" si="0"/>
        <v>108.5</v>
      </c>
      <c r="F20" s="11">
        <f t="shared" si="1"/>
        <v>12</v>
      </c>
      <c r="G20" s="11">
        <v>0</v>
      </c>
      <c r="H20" s="11">
        <v>7.5</v>
      </c>
      <c r="I20" s="33">
        <v>198</v>
      </c>
      <c r="J20" s="33">
        <v>11.5</v>
      </c>
      <c r="K20" s="33">
        <v>0</v>
      </c>
      <c r="L20" s="30">
        <f t="shared" si="2"/>
        <v>-81.5</v>
      </c>
      <c r="M20" s="30">
        <v>-81</v>
      </c>
      <c r="N20" s="173"/>
      <c r="O20" s="92"/>
      <c r="P20" s="27"/>
      <c r="Q20" s="27"/>
      <c r="R20" s="17" t="s">
        <v>59</v>
      </c>
      <c r="S20" s="98">
        <f>S18+S19</f>
        <v>29</v>
      </c>
      <c r="U20" s="22"/>
    </row>
    <row r="21" spans="1:21">
      <c r="A21" s="9"/>
      <c r="B21" s="25" t="s">
        <v>60</v>
      </c>
      <c r="C21" s="10" t="s">
        <v>61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62</v>
      </c>
      <c r="C22" s="10" t="s">
        <v>63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64</v>
      </c>
      <c r="C23" s="10" t="s">
        <v>154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27"/>
      <c r="Q23" s="27"/>
      <c r="U23" s="22"/>
    </row>
    <row r="24" spans="1:21">
      <c r="A24" s="9"/>
      <c r="B24" s="25" t="s">
        <v>66</v>
      </c>
      <c r="C24" s="10" t="s">
        <v>67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62</v>
      </c>
      <c r="C25" s="10" t="s">
        <v>68</v>
      </c>
      <c r="D25" s="7">
        <v>195</v>
      </c>
      <c r="E25" s="11">
        <f t="shared" si="0"/>
        <v>97.5</v>
      </c>
      <c r="F25" s="11">
        <f t="shared" si="1"/>
        <v>12</v>
      </c>
      <c r="G25" s="11">
        <v>0</v>
      </c>
      <c r="H25" s="11">
        <v>2.5</v>
      </c>
      <c r="I25" s="33">
        <v>100.5</v>
      </c>
      <c r="J25" s="33">
        <v>13.8</v>
      </c>
      <c r="K25" s="33">
        <v>0</v>
      </c>
      <c r="L25" s="30">
        <f t="shared" si="2"/>
        <v>-2.3000000000000007</v>
      </c>
      <c r="M25" s="30">
        <v>-2</v>
      </c>
      <c r="N25" s="173"/>
      <c r="O25" s="92"/>
      <c r="P25" s="27"/>
      <c r="Q25" s="27">
        <v>6</v>
      </c>
      <c r="U25" s="22"/>
    </row>
    <row r="26" spans="1:21">
      <c r="A26" s="9"/>
      <c r="B26" s="25" t="s">
        <v>60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>
        <v>295</v>
      </c>
      <c r="E27" s="11">
        <f t="shared" si="0"/>
        <v>147.5</v>
      </c>
      <c r="F27" s="11">
        <f t="shared" si="1"/>
        <v>12</v>
      </c>
      <c r="G27" s="11">
        <v>0</v>
      </c>
      <c r="H27" s="11">
        <v>7.5</v>
      </c>
      <c r="I27" s="33">
        <v>68.5</v>
      </c>
      <c r="J27" s="33">
        <v>20.7</v>
      </c>
      <c r="K27" s="33">
        <v>0</v>
      </c>
      <c r="L27" s="30">
        <f t="shared" si="2"/>
        <v>77.8</v>
      </c>
      <c r="M27" s="30">
        <v>78</v>
      </c>
      <c r="N27" s="173"/>
      <c r="O27" s="92"/>
      <c r="P27" s="27"/>
      <c r="Q27" s="27"/>
      <c r="S27" s="22"/>
      <c r="T27" s="27">
        <v>6</v>
      </c>
      <c r="U27" s="22"/>
    </row>
    <row r="28" spans="1:21">
      <c r="A28" s="9"/>
      <c r="B28" s="25" t="s">
        <v>64</v>
      </c>
      <c r="C28" s="10" t="s">
        <v>72</v>
      </c>
      <c r="D28" s="7">
        <v>263</v>
      </c>
      <c r="E28" s="11">
        <f t="shared" si="0"/>
        <v>131.5</v>
      </c>
      <c r="F28" s="11">
        <f t="shared" si="1"/>
        <v>12</v>
      </c>
      <c r="G28" s="11">
        <v>8.25</v>
      </c>
      <c r="H28" s="11">
        <v>2.5</v>
      </c>
      <c r="I28" s="33">
        <v>111.69</v>
      </c>
      <c r="J28" s="33">
        <v>28.75</v>
      </c>
      <c r="K28" s="33">
        <v>0</v>
      </c>
      <c r="L28" s="30">
        <f t="shared" si="2"/>
        <v>13.810000000000002</v>
      </c>
      <c r="M28" s="30">
        <v>14</v>
      </c>
      <c r="N28" s="173"/>
      <c r="O28" s="92"/>
      <c r="P28" s="27"/>
      <c r="Q28" s="27"/>
      <c r="S28" s="22"/>
      <c r="T28" s="27">
        <v>4</v>
      </c>
      <c r="U28" s="22"/>
    </row>
    <row r="29" spans="1:21">
      <c r="A29" s="9"/>
      <c r="B29" s="25" t="s">
        <v>57</v>
      </c>
      <c r="C29" s="10" t="s">
        <v>73</v>
      </c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P29" s="27"/>
      <c r="Q29" s="27">
        <v>6</v>
      </c>
      <c r="S29" s="22"/>
      <c r="U29" s="22"/>
    </row>
    <row r="30" spans="1:21">
      <c r="A30" s="9"/>
      <c r="B30" s="25" t="s">
        <v>103</v>
      </c>
      <c r="C30" s="10" t="s">
        <v>74</v>
      </c>
      <c r="D30" s="7">
        <v>358</v>
      </c>
      <c r="E30" s="11">
        <f t="shared" si="0"/>
        <v>179</v>
      </c>
      <c r="F30" s="11">
        <f t="shared" si="1"/>
        <v>12</v>
      </c>
      <c r="G30" s="11">
        <v>0</v>
      </c>
      <c r="H30" s="11">
        <v>7.5</v>
      </c>
      <c r="I30" s="33">
        <v>189</v>
      </c>
      <c r="J30" s="33">
        <v>56.75</v>
      </c>
      <c r="K30" s="33">
        <v>0</v>
      </c>
      <c r="L30" s="30">
        <f t="shared" si="2"/>
        <v>-47.25</v>
      </c>
      <c r="M30" s="30">
        <v>-47</v>
      </c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>
        <v>58</v>
      </c>
      <c r="E31" s="11">
        <f t="shared" si="0"/>
        <v>14.5</v>
      </c>
      <c r="F31" s="11">
        <f t="shared" si="1"/>
        <v>2</v>
      </c>
      <c r="G31" s="11">
        <v>0</v>
      </c>
      <c r="H31" s="11">
        <v>0</v>
      </c>
      <c r="I31" s="33">
        <v>20.7</v>
      </c>
      <c r="J31" s="33">
        <v>0</v>
      </c>
      <c r="K31" s="33">
        <v>0</v>
      </c>
      <c r="L31" s="30">
        <f t="shared" si="2"/>
        <v>-4.1999999999999993</v>
      </c>
      <c r="M31" s="30">
        <v>-4</v>
      </c>
      <c r="N31" s="173"/>
      <c r="O31" s="92"/>
      <c r="P31" s="27"/>
      <c r="Q31" s="27"/>
      <c r="U31" s="22"/>
    </row>
    <row r="32" spans="1:21">
      <c r="A32" s="9"/>
      <c r="B32" s="25" t="s">
        <v>87</v>
      </c>
      <c r="C32" s="10" t="s">
        <v>78</v>
      </c>
      <c r="D32" s="7">
        <v>227</v>
      </c>
      <c r="E32" s="11">
        <f t="shared" si="0"/>
        <v>113.5</v>
      </c>
      <c r="F32" s="11">
        <f t="shared" si="1"/>
        <v>12</v>
      </c>
      <c r="G32" s="11">
        <v>0</v>
      </c>
      <c r="H32" s="11">
        <v>7.5</v>
      </c>
      <c r="I32" s="33">
        <v>109.6</v>
      </c>
      <c r="J32" s="33">
        <v>8.0500000000000007</v>
      </c>
      <c r="K32" s="33">
        <v>0</v>
      </c>
      <c r="L32" s="30">
        <f t="shared" si="2"/>
        <v>15.350000000000005</v>
      </c>
      <c r="M32" s="30">
        <v>15</v>
      </c>
      <c r="N32" s="173"/>
      <c r="O32" s="92"/>
      <c r="P32" s="27"/>
      <c r="Q32" s="27"/>
      <c r="U32" s="22"/>
    </row>
    <row r="33" spans="1:21">
      <c r="A33" s="9"/>
      <c r="B33" s="25" t="s">
        <v>79</v>
      </c>
      <c r="C33" s="10" t="s">
        <v>80</v>
      </c>
      <c r="D33" s="7">
        <v>174</v>
      </c>
      <c r="E33" s="11">
        <f t="shared" si="0"/>
        <v>87</v>
      </c>
      <c r="F33" s="11">
        <f t="shared" si="1"/>
        <v>12</v>
      </c>
      <c r="G33" s="11">
        <v>0</v>
      </c>
      <c r="H33" s="11">
        <v>2.5</v>
      </c>
      <c r="I33" s="33">
        <v>29.5</v>
      </c>
      <c r="J33" s="33">
        <v>0</v>
      </c>
      <c r="K33" s="33">
        <v>175</v>
      </c>
      <c r="L33" s="30">
        <f t="shared" si="2"/>
        <v>-103</v>
      </c>
      <c r="M33" s="30">
        <v>-103</v>
      </c>
      <c r="N33" s="173"/>
      <c r="O33" s="92"/>
      <c r="P33" s="27"/>
      <c r="Q33" s="27">
        <v>6</v>
      </c>
      <c r="U33" s="22"/>
    </row>
    <row r="34" spans="1:21">
      <c r="A34" s="9"/>
      <c r="B34" s="25" t="s">
        <v>81</v>
      </c>
      <c r="C34" s="10" t="s">
        <v>82</v>
      </c>
      <c r="D34" s="7">
        <v>118</v>
      </c>
      <c r="E34" s="11">
        <f t="shared" si="0"/>
        <v>29.5</v>
      </c>
      <c r="F34" s="11">
        <f t="shared" si="1"/>
        <v>2</v>
      </c>
      <c r="G34" s="11">
        <v>0</v>
      </c>
      <c r="H34" s="11">
        <v>0</v>
      </c>
      <c r="I34" s="33">
        <v>21</v>
      </c>
      <c r="J34" s="33">
        <v>20</v>
      </c>
      <c r="K34" s="33">
        <v>0</v>
      </c>
      <c r="L34" s="30">
        <f t="shared" si="2"/>
        <v>-9.5</v>
      </c>
      <c r="M34" s="30">
        <v>-9</v>
      </c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83</v>
      </c>
      <c r="D35" s="7">
        <v>179</v>
      </c>
      <c r="E35" s="11">
        <f t="shared" si="0"/>
        <v>89.5</v>
      </c>
      <c r="F35" s="11">
        <f t="shared" si="1"/>
        <v>12</v>
      </c>
      <c r="G35" s="11">
        <v>2.75</v>
      </c>
      <c r="H35" s="11">
        <v>0</v>
      </c>
      <c r="I35" s="33">
        <v>62.82</v>
      </c>
      <c r="J35" s="33">
        <v>0</v>
      </c>
      <c r="K35" s="33">
        <v>0</v>
      </c>
      <c r="L35" s="30">
        <f t="shared" si="2"/>
        <v>41.43</v>
      </c>
      <c r="M35" s="30">
        <v>41</v>
      </c>
      <c r="N35" s="173"/>
      <c r="O35" s="92"/>
      <c r="P35" s="27"/>
      <c r="Q35" s="27"/>
      <c r="U35" s="22"/>
    </row>
    <row r="36" spans="1:21">
      <c r="A36" s="9"/>
      <c r="B36" s="25" t="s">
        <v>62</v>
      </c>
      <c r="C36" s="10" t="s">
        <v>84</v>
      </c>
      <c r="D36" s="7">
        <v>213</v>
      </c>
      <c r="E36" s="11">
        <f t="shared" si="0"/>
        <v>106.5</v>
      </c>
      <c r="F36" s="11">
        <f t="shared" si="1"/>
        <v>12</v>
      </c>
      <c r="G36" s="11">
        <v>0</v>
      </c>
      <c r="H36" s="11">
        <v>0</v>
      </c>
      <c r="I36" s="33">
        <v>72.69</v>
      </c>
      <c r="J36" s="33">
        <v>28.75</v>
      </c>
      <c r="K36" s="33">
        <v>0</v>
      </c>
      <c r="L36" s="30">
        <f t="shared" si="2"/>
        <v>17.060000000000002</v>
      </c>
      <c r="M36" s="30">
        <v>17</v>
      </c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  <c r="P37" s="27" t="s">
        <v>52</v>
      </c>
      <c r="Q37" s="27">
        <v>0</v>
      </c>
      <c r="U37" s="22"/>
    </row>
    <row r="38" spans="1:21">
      <c r="A38" s="9"/>
      <c r="B38" s="25" t="s">
        <v>87</v>
      </c>
      <c r="C38" s="10" t="s">
        <v>88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 t="s">
        <v>141</v>
      </c>
      <c r="Q38" s="27"/>
      <c r="U38" s="22"/>
    </row>
    <row r="39" spans="1:21">
      <c r="A39" s="9"/>
      <c r="B39" s="25" t="s">
        <v>24</v>
      </c>
      <c r="C39" s="10" t="s">
        <v>89</v>
      </c>
      <c r="D39" s="7">
        <v>185</v>
      </c>
      <c r="E39" s="11">
        <f t="shared" si="0"/>
        <v>92.5</v>
      </c>
      <c r="F39" s="11">
        <f t="shared" si="1"/>
        <v>12</v>
      </c>
      <c r="G39" s="11">
        <v>2.75</v>
      </c>
      <c r="H39" s="11">
        <v>0</v>
      </c>
      <c r="I39" s="33">
        <v>8</v>
      </c>
      <c r="J39" s="33">
        <v>20.7</v>
      </c>
      <c r="K39" s="33">
        <v>0</v>
      </c>
      <c r="L39" s="30">
        <f t="shared" si="2"/>
        <v>78.55</v>
      </c>
      <c r="M39" s="30">
        <v>79</v>
      </c>
      <c r="N39" s="173"/>
      <c r="O39" s="92"/>
      <c r="P39" s="27"/>
      <c r="Q39" s="27"/>
      <c r="U39" s="22"/>
    </row>
    <row r="40" spans="1:21">
      <c r="A40" s="9"/>
      <c r="B40" s="25" t="s">
        <v>90</v>
      </c>
      <c r="C40" s="10" t="s">
        <v>91</v>
      </c>
      <c r="D40" s="8">
        <v>106</v>
      </c>
      <c r="E40" s="11">
        <f t="shared" si="0"/>
        <v>26.5</v>
      </c>
      <c r="F40" s="11">
        <f t="shared" si="1"/>
        <v>2</v>
      </c>
      <c r="G40" s="11">
        <v>0</v>
      </c>
      <c r="H40" s="11">
        <v>2.5</v>
      </c>
      <c r="I40" s="34">
        <v>46.5</v>
      </c>
      <c r="J40" s="34">
        <v>8.0500000000000007</v>
      </c>
      <c r="K40" s="34">
        <v>0</v>
      </c>
      <c r="L40" s="30">
        <f t="shared" si="2"/>
        <v>-23.55</v>
      </c>
      <c r="M40" s="30">
        <v>-23</v>
      </c>
      <c r="N40" s="175"/>
      <c r="O40" s="25"/>
      <c r="P40" s="27"/>
      <c r="Q40" s="27">
        <v>0</v>
      </c>
      <c r="U40" s="22"/>
    </row>
    <row r="41" spans="1:21">
      <c r="A41" s="103"/>
      <c r="B41" s="25" t="s">
        <v>92</v>
      </c>
      <c r="C41" s="10" t="s">
        <v>93</v>
      </c>
      <c r="D41" s="7">
        <v>239</v>
      </c>
      <c r="E41" s="11">
        <f t="shared" si="0"/>
        <v>59.75</v>
      </c>
      <c r="F41" s="11">
        <f t="shared" si="1"/>
        <v>2</v>
      </c>
      <c r="G41" s="11">
        <v>2.75</v>
      </c>
      <c r="H41" s="11">
        <v>5</v>
      </c>
      <c r="I41" s="33">
        <v>157.74</v>
      </c>
      <c r="J41" s="33">
        <v>0</v>
      </c>
      <c r="K41" s="33">
        <v>0</v>
      </c>
      <c r="L41" s="30">
        <f t="shared" si="2"/>
        <v>-88.240000000000009</v>
      </c>
      <c r="M41" s="30">
        <v>-88</v>
      </c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>
        <v>271</v>
      </c>
      <c r="E43" s="11">
        <f t="shared" si="0"/>
        <v>135.5</v>
      </c>
      <c r="F43" s="11">
        <f t="shared" si="1"/>
        <v>12</v>
      </c>
      <c r="G43" s="11">
        <v>0</v>
      </c>
      <c r="H43" s="11">
        <v>0</v>
      </c>
      <c r="I43" s="33">
        <v>6</v>
      </c>
      <c r="J43" s="33">
        <v>49.5</v>
      </c>
      <c r="K43" s="33">
        <v>0</v>
      </c>
      <c r="L43" s="30">
        <f t="shared" si="2"/>
        <v>92</v>
      </c>
      <c r="M43" s="30">
        <v>92</v>
      </c>
      <c r="N43" s="173"/>
      <c r="O43" s="92"/>
      <c r="P43" s="27"/>
      <c r="Q43" s="27">
        <v>0</v>
      </c>
      <c r="U43" s="22"/>
    </row>
    <row r="44" spans="1:21">
      <c r="A44" s="9"/>
      <c r="B44" s="25" t="s">
        <v>39</v>
      </c>
      <c r="C44" s="10" t="s">
        <v>98</v>
      </c>
      <c r="D44" s="7">
        <v>251</v>
      </c>
      <c r="E44" s="11">
        <f t="shared" si="0"/>
        <v>125.5</v>
      </c>
      <c r="F44" s="11">
        <f t="shared" si="1"/>
        <v>12</v>
      </c>
      <c r="G44" s="11">
        <v>0</v>
      </c>
      <c r="H44" s="11">
        <v>5</v>
      </c>
      <c r="I44" s="33">
        <v>83.2</v>
      </c>
      <c r="J44" s="33">
        <v>0</v>
      </c>
      <c r="K44" s="33">
        <v>0</v>
      </c>
      <c r="L44" s="30">
        <f t="shared" si="2"/>
        <v>59.3</v>
      </c>
      <c r="M44" s="30">
        <v>59</v>
      </c>
      <c r="N44" s="173"/>
      <c r="O44" s="92"/>
      <c r="P44" s="27"/>
      <c r="Q44" s="27">
        <v>6</v>
      </c>
      <c r="U44" s="22"/>
    </row>
    <row r="45" spans="1:21">
      <c r="A45" s="9"/>
      <c r="B45" s="104" t="s">
        <v>99</v>
      </c>
      <c r="C45" s="10" t="s">
        <v>100</v>
      </c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256</v>
      </c>
      <c r="E46" s="11">
        <f t="shared" si="0"/>
        <v>128</v>
      </c>
      <c r="F46" s="11">
        <f t="shared" si="1"/>
        <v>12</v>
      </c>
      <c r="G46" s="11">
        <v>0</v>
      </c>
      <c r="H46" s="11">
        <v>0</v>
      </c>
      <c r="I46" s="33">
        <v>200</v>
      </c>
      <c r="J46" s="33">
        <v>13.8</v>
      </c>
      <c r="K46" s="33">
        <v>0</v>
      </c>
      <c r="L46" s="30">
        <f t="shared" si="2"/>
        <v>-73.8</v>
      </c>
      <c r="M46" s="30">
        <v>-74</v>
      </c>
      <c r="N46" s="173"/>
      <c r="O46" s="92"/>
      <c r="P46" s="27"/>
      <c r="Q46" s="27">
        <v>6</v>
      </c>
      <c r="U46" s="22"/>
    </row>
    <row r="47" spans="1:21">
      <c r="A47" s="9"/>
      <c r="B47" s="25" t="s">
        <v>103</v>
      </c>
      <c r="C47" s="10" t="s">
        <v>104</v>
      </c>
      <c r="D47" s="7">
        <v>248</v>
      </c>
      <c r="E47" s="11">
        <f t="shared" si="0"/>
        <v>124</v>
      </c>
      <c r="F47" s="11">
        <f t="shared" si="1"/>
        <v>12</v>
      </c>
      <c r="G47" s="11">
        <v>0</v>
      </c>
      <c r="H47" s="11">
        <v>7.5</v>
      </c>
      <c r="I47" s="33">
        <v>129</v>
      </c>
      <c r="J47" s="33">
        <v>0</v>
      </c>
      <c r="K47" s="33">
        <v>0</v>
      </c>
      <c r="L47" s="30">
        <f t="shared" si="2"/>
        <v>14.5</v>
      </c>
      <c r="M47" s="30">
        <v>15</v>
      </c>
      <c r="N47" s="173"/>
      <c r="O47" s="92"/>
      <c r="P47" s="27"/>
      <c r="Q47" s="27"/>
      <c r="U47" s="22"/>
    </row>
    <row r="48" spans="1:21">
      <c r="D48" s="3">
        <f t="shared" ref="D48:N48" si="3">SUM(D4:D47)</f>
        <v>5891</v>
      </c>
      <c r="E48" s="21">
        <f t="shared" si="3"/>
        <v>2675</v>
      </c>
      <c r="F48" s="3">
        <f t="shared" si="3"/>
        <v>268</v>
      </c>
      <c r="G48" s="3">
        <f t="shared" si="3"/>
        <v>27.5</v>
      </c>
      <c r="H48" s="3">
        <f t="shared" si="3"/>
        <v>75</v>
      </c>
      <c r="I48" s="3">
        <f t="shared" si="3"/>
        <v>2291.06</v>
      </c>
      <c r="J48" s="3">
        <f t="shared" si="3"/>
        <v>637.41999999999996</v>
      </c>
      <c r="K48" s="3">
        <f t="shared" si="3"/>
        <v>188</v>
      </c>
      <c r="L48" s="3">
        <f t="shared" si="3"/>
        <v>-70.980000000000018</v>
      </c>
      <c r="M48" s="3">
        <f t="shared" si="3"/>
        <v>-68</v>
      </c>
      <c r="N48" s="3">
        <f t="shared" si="3"/>
        <v>-3</v>
      </c>
      <c r="O48" s="178"/>
      <c r="U48" s="22"/>
    </row>
    <row r="49" spans="5:21">
      <c r="E49" s="2"/>
      <c r="U49" s="22"/>
    </row>
    <row r="50" spans="5:21">
      <c r="E50" s="2"/>
      <c r="U50" s="22"/>
    </row>
    <row r="51" spans="5:21">
      <c r="E51" s="2"/>
      <c r="U51" s="22"/>
    </row>
    <row r="52" spans="5:21">
      <c r="E52" s="2"/>
      <c r="U52" s="22"/>
    </row>
    <row r="53" spans="5:21">
      <c r="E53" s="2"/>
      <c r="U53" s="22"/>
    </row>
    <row r="54" spans="5:21">
      <c r="U54" s="22"/>
    </row>
    <row r="55" spans="5:21">
      <c r="U55" s="22"/>
    </row>
    <row r="56" spans="5:21">
      <c r="U56" s="22"/>
    </row>
    <row r="57" spans="5:21">
      <c r="U57" s="22"/>
    </row>
    <row r="58" spans="5:21">
      <c r="U58" s="22"/>
    </row>
    <row r="59" spans="5:21">
      <c r="U59" s="22"/>
    </row>
    <row r="60" spans="5:21">
      <c r="U60" s="22"/>
    </row>
    <row r="61" spans="5:21">
      <c r="U61" s="2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47">
    <cfRule type="expression" dxfId="11" priority="2">
      <formula>$M4&lt;0</formula>
    </cfRule>
  </conditionalFormatting>
  <conditionalFormatting sqref="M4:M47">
    <cfRule type="cellIs" dxfId="10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V48"/>
  <sheetViews>
    <sheetView showGridLines="0" workbookViewId="0">
      <selection activeCell="M19" sqref="M19"/>
    </sheetView>
  </sheetViews>
  <sheetFormatPr defaultRowHeight="15"/>
  <cols>
    <col min="1" max="1" width="6.42578125" style="1" customWidth="1"/>
    <col min="2" max="2" width="12.140625" style="26" customWidth="1"/>
    <col min="3" max="3" width="13.85546875" style="1" customWidth="1"/>
    <col min="4" max="13" width="12.140625" customWidth="1"/>
    <col min="14" max="14" width="12.42578125" bestFit="1" customWidth="1"/>
    <col min="15" max="15" width="17.7109375" customWidth="1"/>
    <col min="16" max="17" width="6" style="1" customWidth="1"/>
    <col min="18" max="18" width="12.42578125" bestFit="1" customWidth="1"/>
    <col min="19" max="19" width="10.42578125" customWidth="1"/>
    <col min="22" max="22" width="12.140625" bestFit="1" customWidth="1"/>
  </cols>
  <sheetData>
    <row r="1" spans="1:22">
      <c r="A1" s="4" t="s">
        <v>0</v>
      </c>
      <c r="B1" s="109">
        <f>'Mon AM'!B1+4</f>
        <v>45436</v>
      </c>
      <c r="C1" s="29"/>
      <c r="D1" s="4" t="s">
        <v>2</v>
      </c>
      <c r="E1" s="6" t="s">
        <v>105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106</v>
      </c>
      <c r="C4" s="10" t="s">
        <v>107</v>
      </c>
      <c r="D4" s="11">
        <v>92</v>
      </c>
      <c r="E4" s="11">
        <f t="shared" ref="E4:E47" si="0">IF(AND(VALUE(B4)&lt;100, D4&gt;0),D4*0.5,D4*0.25)</f>
        <v>23</v>
      </c>
      <c r="F4" s="11">
        <f t="shared" ref="F4:F47" si="1">IF(P4="C",Q4,IF(AND(VALUE(B4)&lt;100, D4&gt;0),12,IF(D4&gt;0,2,0)))</f>
        <v>0</v>
      </c>
      <c r="G4" s="11">
        <v>0</v>
      </c>
      <c r="H4" s="11">
        <v>0</v>
      </c>
      <c r="I4" s="32">
        <v>0</v>
      </c>
      <c r="J4" s="32">
        <v>0</v>
      </c>
      <c r="K4" s="32">
        <v>0</v>
      </c>
      <c r="L4" s="30">
        <f t="shared" ref="L4:L47" si="2">(E4+F4+G4+H4)-I4-J4-K4</f>
        <v>23</v>
      </c>
      <c r="M4" s="30">
        <v>23</v>
      </c>
      <c r="N4" s="173"/>
      <c r="O4" s="176"/>
      <c r="P4" s="27" t="s">
        <v>52</v>
      </c>
      <c r="Q4" s="27"/>
      <c r="R4" s="15" t="s">
        <v>20</v>
      </c>
      <c r="S4" s="12">
        <f>D48</f>
        <v>2273</v>
      </c>
      <c r="U4" s="1"/>
      <c r="V4" s="1"/>
    </row>
    <row r="5" spans="1:22">
      <c r="A5" s="9"/>
      <c r="B5" s="25" t="s">
        <v>77</v>
      </c>
      <c r="C5" s="10" t="s">
        <v>108</v>
      </c>
      <c r="D5" s="7">
        <v>167</v>
      </c>
      <c r="E5" s="11">
        <f t="shared" si="0"/>
        <v>83.5</v>
      </c>
      <c r="F5" s="11">
        <f t="shared" si="1"/>
        <v>12</v>
      </c>
      <c r="G5" s="11">
        <v>0</v>
      </c>
      <c r="H5" s="11">
        <v>2.5</v>
      </c>
      <c r="I5" s="33">
        <v>5</v>
      </c>
      <c r="J5" s="33">
        <v>45.5</v>
      </c>
      <c r="K5" s="33">
        <v>0</v>
      </c>
      <c r="L5" s="30">
        <f t="shared" si="2"/>
        <v>47.5</v>
      </c>
      <c r="M5" s="30">
        <v>48</v>
      </c>
      <c r="N5" s="173"/>
      <c r="O5" s="92"/>
      <c r="P5" s="27"/>
      <c r="Q5" s="27">
        <v>6</v>
      </c>
      <c r="R5" s="16" t="s">
        <v>23</v>
      </c>
      <c r="S5" s="13">
        <f>E48</f>
        <v>1008.25</v>
      </c>
      <c r="U5" s="1"/>
      <c r="V5" s="1"/>
    </row>
    <row r="6" spans="1:22">
      <c r="A6" s="9"/>
      <c r="B6" s="25" t="s">
        <v>57</v>
      </c>
      <c r="C6" s="10" t="s">
        <v>109</v>
      </c>
      <c r="D6" s="7">
        <v>107</v>
      </c>
      <c r="E6" s="11">
        <f t="shared" si="0"/>
        <v>53.5</v>
      </c>
      <c r="F6" s="11">
        <f t="shared" si="1"/>
        <v>6</v>
      </c>
      <c r="G6" s="11">
        <v>0</v>
      </c>
      <c r="H6" s="11">
        <v>0</v>
      </c>
      <c r="I6" s="33">
        <v>0</v>
      </c>
      <c r="J6" s="33">
        <v>23</v>
      </c>
      <c r="K6" s="33">
        <v>0</v>
      </c>
      <c r="L6" s="30">
        <f t="shared" si="2"/>
        <v>36.5</v>
      </c>
      <c r="M6" s="30">
        <v>37</v>
      </c>
      <c r="N6" s="173"/>
      <c r="O6" s="92"/>
      <c r="P6" s="27" t="s">
        <v>52</v>
      </c>
      <c r="Q6" s="27">
        <v>6</v>
      </c>
      <c r="R6" s="16" t="s">
        <v>8</v>
      </c>
      <c r="S6" s="13">
        <f>F48</f>
        <v>96</v>
      </c>
    </row>
    <row r="7" spans="1:22">
      <c r="A7" s="9"/>
      <c r="B7" s="25" t="s">
        <v>110</v>
      </c>
      <c r="C7" s="10" t="s">
        <v>111</v>
      </c>
      <c r="D7" s="7">
        <v>55</v>
      </c>
      <c r="E7" s="11">
        <f t="shared" si="0"/>
        <v>13.75</v>
      </c>
      <c r="F7" s="11">
        <f t="shared" si="1"/>
        <v>2</v>
      </c>
      <c r="G7" s="11">
        <v>0</v>
      </c>
      <c r="H7" s="11">
        <v>0</v>
      </c>
      <c r="I7" s="33">
        <v>0</v>
      </c>
      <c r="J7" s="33">
        <v>0</v>
      </c>
      <c r="K7" s="33">
        <v>0</v>
      </c>
      <c r="L7" s="30">
        <f t="shared" si="2"/>
        <v>15.75</v>
      </c>
      <c r="M7" s="30">
        <v>0</v>
      </c>
      <c r="N7" s="173">
        <v>16</v>
      </c>
      <c r="O7" s="92"/>
      <c r="P7" s="27"/>
      <c r="Q7" s="27"/>
      <c r="R7" s="16" t="s">
        <v>9</v>
      </c>
      <c r="S7" s="13">
        <f>G48</f>
        <v>11</v>
      </c>
    </row>
    <row r="8" spans="1:22">
      <c r="A8" s="9"/>
      <c r="B8" s="25" t="s">
        <v>39</v>
      </c>
      <c r="C8" s="10" t="s">
        <v>112</v>
      </c>
      <c r="D8" s="7">
        <v>152</v>
      </c>
      <c r="E8" s="11">
        <f t="shared" si="0"/>
        <v>76</v>
      </c>
      <c r="F8" s="11">
        <f t="shared" si="1"/>
        <v>12</v>
      </c>
      <c r="G8" s="11">
        <v>0</v>
      </c>
      <c r="H8" s="11">
        <v>5</v>
      </c>
      <c r="I8" s="33">
        <v>46.5</v>
      </c>
      <c r="J8" s="33">
        <v>0</v>
      </c>
      <c r="K8" s="33">
        <v>0</v>
      </c>
      <c r="L8" s="30">
        <f t="shared" si="2"/>
        <v>46.5</v>
      </c>
      <c r="M8" s="30">
        <v>47</v>
      </c>
      <c r="N8" s="173"/>
      <c r="O8" s="92"/>
      <c r="P8" s="27"/>
      <c r="Q8" s="27">
        <v>6</v>
      </c>
      <c r="R8" s="16" t="s">
        <v>10</v>
      </c>
      <c r="S8" s="13">
        <f>H48</f>
        <v>30</v>
      </c>
    </row>
    <row r="9" spans="1:22">
      <c r="A9" s="9"/>
      <c r="B9" s="25" t="s">
        <v>103</v>
      </c>
      <c r="C9" s="10" t="s">
        <v>113</v>
      </c>
      <c r="D9" s="7">
        <v>144</v>
      </c>
      <c r="E9" s="11">
        <f t="shared" si="0"/>
        <v>72</v>
      </c>
      <c r="F9" s="11">
        <f t="shared" si="1"/>
        <v>0</v>
      </c>
      <c r="G9" s="11">
        <v>5.5</v>
      </c>
      <c r="H9" s="11">
        <v>0</v>
      </c>
      <c r="I9" s="33">
        <v>159.58000000000001</v>
      </c>
      <c r="J9" s="33">
        <v>0</v>
      </c>
      <c r="K9" s="33">
        <v>0</v>
      </c>
      <c r="L9" s="30">
        <f t="shared" si="2"/>
        <v>-82.080000000000013</v>
      </c>
      <c r="M9" s="30">
        <v>-82</v>
      </c>
      <c r="N9" s="173"/>
      <c r="O9" s="92"/>
      <c r="P9" s="27" t="s">
        <v>52</v>
      </c>
      <c r="Q9" s="27">
        <v>0</v>
      </c>
      <c r="R9" s="16" t="s">
        <v>11</v>
      </c>
      <c r="S9" s="13">
        <f>I48</f>
        <v>963.54000000000008</v>
      </c>
    </row>
    <row r="10" spans="1:22">
      <c r="A10" s="9"/>
      <c r="B10" s="25" t="s">
        <v>101</v>
      </c>
      <c r="C10" s="10" t="s">
        <v>114</v>
      </c>
      <c r="D10" s="7">
        <v>166</v>
      </c>
      <c r="E10" s="11">
        <f t="shared" si="0"/>
        <v>83</v>
      </c>
      <c r="F10" s="11">
        <f t="shared" si="1"/>
        <v>12</v>
      </c>
      <c r="G10" s="11">
        <v>0</v>
      </c>
      <c r="H10" s="11">
        <v>0</v>
      </c>
      <c r="I10" s="33">
        <v>119</v>
      </c>
      <c r="J10" s="33">
        <v>0</v>
      </c>
      <c r="K10" s="33">
        <v>0</v>
      </c>
      <c r="L10" s="30">
        <f t="shared" si="2"/>
        <v>-24</v>
      </c>
      <c r="M10" s="30">
        <v>-24</v>
      </c>
      <c r="N10" s="173"/>
      <c r="O10" s="92"/>
      <c r="P10" s="27"/>
      <c r="Q10" s="27">
        <v>6</v>
      </c>
      <c r="R10" s="16" t="s">
        <v>12</v>
      </c>
      <c r="S10" s="13">
        <f>J48</f>
        <v>303.06</v>
      </c>
    </row>
    <row r="11" spans="1:22">
      <c r="A11" s="9"/>
      <c r="B11" s="25" t="s">
        <v>26</v>
      </c>
      <c r="C11" s="10" t="s">
        <v>115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116</v>
      </c>
      <c r="D12" s="7">
        <v>301</v>
      </c>
      <c r="E12" s="11">
        <f t="shared" si="0"/>
        <v>150.5</v>
      </c>
      <c r="F12" s="11">
        <f t="shared" si="1"/>
        <v>12</v>
      </c>
      <c r="G12" s="11">
        <v>0</v>
      </c>
      <c r="H12" s="11">
        <v>5</v>
      </c>
      <c r="I12" s="33">
        <v>208.08</v>
      </c>
      <c r="J12" s="33">
        <v>150.93</v>
      </c>
      <c r="K12" s="33">
        <v>0</v>
      </c>
      <c r="L12" s="30">
        <f t="shared" si="2"/>
        <v>-191.51000000000002</v>
      </c>
      <c r="M12" s="30">
        <v>-191</v>
      </c>
      <c r="N12" s="173"/>
      <c r="O12" s="92"/>
      <c r="P12" s="27"/>
      <c r="Q12" s="27"/>
      <c r="R12" s="17" t="s">
        <v>38</v>
      </c>
      <c r="S12" s="14">
        <f>N48</f>
        <v>16</v>
      </c>
    </row>
    <row r="13" spans="1:22">
      <c r="A13" s="9"/>
      <c r="B13" s="25" t="s">
        <v>103</v>
      </c>
      <c r="C13" s="10" t="s">
        <v>117</v>
      </c>
      <c r="D13" s="7">
        <v>135</v>
      </c>
      <c r="E13" s="11">
        <f t="shared" si="0"/>
        <v>67.5</v>
      </c>
      <c r="F13" s="11">
        <f t="shared" si="1"/>
        <v>6</v>
      </c>
      <c r="G13" s="11">
        <v>0</v>
      </c>
      <c r="H13" s="11">
        <v>0</v>
      </c>
      <c r="I13" s="33">
        <v>0</v>
      </c>
      <c r="J13" s="33">
        <v>0</v>
      </c>
      <c r="K13" s="33">
        <v>0</v>
      </c>
      <c r="L13" s="30">
        <f t="shared" si="2"/>
        <v>73.5</v>
      </c>
      <c r="M13" s="30">
        <v>74</v>
      </c>
      <c r="N13" s="173"/>
      <c r="O13" s="92"/>
      <c r="P13" s="27" t="s">
        <v>52</v>
      </c>
      <c r="Q13" s="27">
        <v>6</v>
      </c>
      <c r="R13" s="18"/>
      <c r="S13" s="31">
        <f>S5+S6+S7-S9-S10-S11-S12</f>
        <v>-167.35000000000008</v>
      </c>
      <c r="T13" s="22"/>
    </row>
    <row r="14" spans="1:22">
      <c r="A14" s="9"/>
      <c r="B14" s="25" t="s">
        <v>57</v>
      </c>
      <c r="C14" s="10" t="s">
        <v>118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44</v>
      </c>
      <c r="S14" s="20">
        <f>M48</f>
        <v>-134</v>
      </c>
    </row>
    <row r="15" spans="1:22">
      <c r="A15" s="9"/>
      <c r="B15" s="25" t="s">
        <v>119</v>
      </c>
      <c r="C15" s="10" t="s">
        <v>120</v>
      </c>
      <c r="D15" s="7">
        <v>74</v>
      </c>
      <c r="E15" s="11">
        <f t="shared" si="0"/>
        <v>18.5</v>
      </c>
      <c r="F15" s="11">
        <f t="shared" si="1"/>
        <v>0</v>
      </c>
      <c r="G15" s="11">
        <v>0</v>
      </c>
      <c r="H15" s="11">
        <v>0</v>
      </c>
      <c r="I15" s="33">
        <v>17.3</v>
      </c>
      <c r="J15" s="33">
        <v>21.5</v>
      </c>
      <c r="K15" s="33">
        <v>0</v>
      </c>
      <c r="L15" s="30">
        <f t="shared" si="2"/>
        <v>-20.3</v>
      </c>
      <c r="M15" s="30">
        <v>-20</v>
      </c>
      <c r="N15" s="173"/>
      <c r="O15" s="92"/>
      <c r="P15" s="27" t="s">
        <v>52</v>
      </c>
      <c r="Q15" s="27">
        <v>0</v>
      </c>
    </row>
    <row r="16" spans="1:22">
      <c r="A16" s="9"/>
      <c r="B16" s="25" t="s">
        <v>121</v>
      </c>
      <c r="C16" s="10" t="s">
        <v>122</v>
      </c>
      <c r="D16" s="7">
        <v>134</v>
      </c>
      <c r="E16" s="11">
        <f t="shared" si="0"/>
        <v>33.5</v>
      </c>
      <c r="F16" s="11">
        <f t="shared" si="1"/>
        <v>2</v>
      </c>
      <c r="G16" s="11">
        <v>0</v>
      </c>
      <c r="H16" s="11">
        <v>5</v>
      </c>
      <c r="I16" s="33">
        <v>0</v>
      </c>
      <c r="J16" s="33">
        <v>0</v>
      </c>
      <c r="K16" s="33">
        <v>0</v>
      </c>
      <c r="L16" s="30">
        <f t="shared" si="2"/>
        <v>40.5</v>
      </c>
      <c r="M16" s="30">
        <v>40</v>
      </c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123</v>
      </c>
      <c r="C17" s="10" t="s">
        <v>124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 t="s">
        <v>52</v>
      </c>
      <c r="Q17" s="27">
        <v>0</v>
      </c>
      <c r="R17" s="36"/>
      <c r="S17" s="36"/>
      <c r="T17" s="36"/>
      <c r="U17" s="36"/>
    </row>
    <row r="18" spans="1:21">
      <c r="A18" s="9"/>
      <c r="B18" s="25" t="s">
        <v>125</v>
      </c>
      <c r="C18" s="10" t="s">
        <v>126</v>
      </c>
      <c r="D18" s="7">
        <v>158</v>
      </c>
      <c r="E18" s="11">
        <f t="shared" si="0"/>
        <v>39.5</v>
      </c>
      <c r="F18" s="11">
        <f t="shared" si="1"/>
        <v>2</v>
      </c>
      <c r="G18" s="11">
        <v>0</v>
      </c>
      <c r="H18" s="11">
        <v>0</v>
      </c>
      <c r="I18" s="33">
        <v>45</v>
      </c>
      <c r="J18" s="33">
        <v>0</v>
      </c>
      <c r="K18" s="33">
        <v>0</v>
      </c>
      <c r="L18" s="30">
        <f t="shared" si="2"/>
        <v>-3.5</v>
      </c>
      <c r="M18" s="30">
        <v>-3</v>
      </c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11</v>
      </c>
      <c r="T18" s="36"/>
      <c r="U18" s="36"/>
    </row>
    <row r="19" spans="1:21">
      <c r="A19" s="9"/>
      <c r="B19" s="25" t="s">
        <v>24</v>
      </c>
      <c r="C19" s="10" t="s">
        <v>127</v>
      </c>
      <c r="D19" s="7">
        <v>146</v>
      </c>
      <c r="E19" s="11">
        <f t="shared" si="0"/>
        <v>73</v>
      </c>
      <c r="F19" s="11">
        <f t="shared" si="1"/>
        <v>6</v>
      </c>
      <c r="G19" s="11">
        <v>0</v>
      </c>
      <c r="H19" s="11">
        <v>5</v>
      </c>
      <c r="I19" s="33">
        <v>106.5</v>
      </c>
      <c r="J19" s="33">
        <v>0</v>
      </c>
      <c r="K19" s="33">
        <v>0</v>
      </c>
      <c r="L19" s="30">
        <f t="shared" si="2"/>
        <v>-22.5</v>
      </c>
      <c r="M19" s="30">
        <v>-22</v>
      </c>
      <c r="N19" s="173"/>
      <c r="O19" s="92"/>
      <c r="P19" s="27" t="s">
        <v>52</v>
      </c>
      <c r="Q19" s="27">
        <v>6</v>
      </c>
      <c r="R19" s="16" t="s">
        <v>56</v>
      </c>
      <c r="S19" s="97" cm="1">
        <f t="array" ref="S19">SUMPRODUCT((VALUE(B4:B47)&gt;100)*(D4:D47&gt;0))</f>
        <v>5</v>
      </c>
      <c r="T19" s="36"/>
      <c r="U19" s="36"/>
    </row>
    <row r="20" spans="1:21">
      <c r="A20" s="9"/>
      <c r="B20" s="25" t="s">
        <v>128</v>
      </c>
      <c r="C20" s="10" t="s">
        <v>129</v>
      </c>
      <c r="D20" s="7">
        <v>157</v>
      </c>
      <c r="E20" s="11">
        <f t="shared" si="0"/>
        <v>78.5</v>
      </c>
      <c r="F20" s="11">
        <f t="shared" si="1"/>
        <v>12</v>
      </c>
      <c r="G20" s="11">
        <v>5.5</v>
      </c>
      <c r="H20" s="11">
        <v>2.5</v>
      </c>
      <c r="I20" s="33">
        <v>187.08</v>
      </c>
      <c r="J20" s="33">
        <v>0</v>
      </c>
      <c r="K20" s="33">
        <v>0</v>
      </c>
      <c r="L20" s="30">
        <f t="shared" si="2"/>
        <v>-88.580000000000013</v>
      </c>
      <c r="M20" s="30">
        <v>-89</v>
      </c>
      <c r="N20" s="173"/>
      <c r="O20" s="92"/>
      <c r="P20" s="27"/>
      <c r="Q20" s="27"/>
      <c r="R20" s="17" t="s">
        <v>59</v>
      </c>
      <c r="S20" s="98">
        <f>S18+S19</f>
        <v>16</v>
      </c>
      <c r="T20" s="36"/>
      <c r="U20" s="36"/>
    </row>
    <row r="21" spans="1:21">
      <c r="A21" s="9"/>
      <c r="B21" s="25" t="s">
        <v>130</v>
      </c>
      <c r="C21" s="10" t="s">
        <v>131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132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</row>
    <row r="23" spans="1:21">
      <c r="A23" s="9"/>
      <c r="B23" s="25" t="s">
        <v>142</v>
      </c>
      <c r="C23" s="10" t="s">
        <v>151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134</v>
      </c>
      <c r="C24" s="10" t="s">
        <v>135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136</v>
      </c>
      <c r="D25" s="7">
        <v>155</v>
      </c>
      <c r="E25" s="11">
        <f t="shared" si="0"/>
        <v>77.5</v>
      </c>
      <c r="F25" s="11">
        <f t="shared" si="1"/>
        <v>6</v>
      </c>
      <c r="G25" s="11">
        <v>0</v>
      </c>
      <c r="H25" s="11">
        <v>5</v>
      </c>
      <c r="I25" s="33">
        <v>57.5</v>
      </c>
      <c r="J25" s="33">
        <v>0</v>
      </c>
      <c r="K25" s="33">
        <v>0</v>
      </c>
      <c r="L25" s="30">
        <f t="shared" si="2"/>
        <v>31</v>
      </c>
      <c r="M25" s="30">
        <v>31</v>
      </c>
      <c r="N25" s="173"/>
      <c r="O25" s="92"/>
      <c r="P25" s="27" t="s">
        <v>52</v>
      </c>
      <c r="Q25" s="27">
        <v>6</v>
      </c>
    </row>
    <row r="26" spans="1:21">
      <c r="A26" s="9"/>
      <c r="B26" s="25" t="s">
        <v>39</v>
      </c>
      <c r="C26" s="10" t="s">
        <v>137</v>
      </c>
      <c r="D26" s="7">
        <v>130</v>
      </c>
      <c r="E26" s="11">
        <f t="shared" si="0"/>
        <v>65</v>
      </c>
      <c r="F26" s="11">
        <f t="shared" si="1"/>
        <v>6</v>
      </c>
      <c r="G26" s="11">
        <v>0</v>
      </c>
      <c r="H26" s="11">
        <v>0</v>
      </c>
      <c r="I26" s="33">
        <v>12</v>
      </c>
      <c r="J26" s="33">
        <v>62.13</v>
      </c>
      <c r="K26" s="33">
        <v>0</v>
      </c>
      <c r="L26" s="30">
        <f t="shared" si="2"/>
        <v>-3.1300000000000026</v>
      </c>
      <c r="M26" s="30">
        <v>-3</v>
      </c>
      <c r="N26" s="173"/>
      <c r="O26" s="92"/>
      <c r="P26" s="27" t="s">
        <v>52</v>
      </c>
      <c r="Q26" s="172">
        <v>6</v>
      </c>
    </row>
    <row r="27" spans="1:21">
      <c r="A27" s="9"/>
      <c r="B27" s="25" t="s">
        <v>138</v>
      </c>
      <c r="C27" s="10" t="s">
        <v>104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139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/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/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2273</v>
      </c>
      <c r="E48" s="21">
        <f t="shared" si="3"/>
        <v>1008.25</v>
      </c>
      <c r="F48" s="3">
        <f t="shared" si="3"/>
        <v>96</v>
      </c>
      <c r="G48" s="3">
        <f t="shared" si="3"/>
        <v>11</v>
      </c>
      <c r="H48" s="3">
        <f t="shared" si="3"/>
        <v>30</v>
      </c>
      <c r="I48" s="3">
        <f t="shared" si="3"/>
        <v>963.54000000000008</v>
      </c>
      <c r="J48" s="3">
        <f t="shared" si="3"/>
        <v>303.06</v>
      </c>
      <c r="K48" s="3">
        <f t="shared" si="3"/>
        <v>0</v>
      </c>
      <c r="L48" s="3">
        <f t="shared" si="3"/>
        <v>-121.35000000000002</v>
      </c>
      <c r="M48" s="3">
        <f t="shared" si="3"/>
        <v>-134</v>
      </c>
      <c r="N48" s="3">
        <f t="shared" si="3"/>
        <v>16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47">
    <cfRule type="expression" dxfId="9" priority="2">
      <formula>$M4&lt;0</formula>
    </cfRule>
  </conditionalFormatting>
  <conditionalFormatting sqref="M4:M47">
    <cfRule type="cellIs" dxfId="8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V53"/>
  <sheetViews>
    <sheetView showGridLines="0" workbookViewId="0">
      <selection activeCell="O24" sqref="O24"/>
    </sheetView>
  </sheetViews>
  <sheetFormatPr defaultRowHeight="15"/>
  <cols>
    <col min="1" max="1" width="6.5703125" style="1" customWidth="1"/>
    <col min="2" max="2" width="12.140625" style="26" customWidth="1"/>
    <col min="3" max="3" width="15.7109375" style="1" bestFit="1" customWidth="1"/>
    <col min="4" max="13" width="12.140625" customWidth="1"/>
    <col min="14" max="14" width="13.42578125" customWidth="1"/>
    <col min="15" max="15" width="14.7109375" customWidth="1"/>
    <col min="16" max="17" width="6" style="1" customWidth="1"/>
    <col min="18" max="18" width="12.42578125" bestFit="1" customWidth="1"/>
    <col min="19" max="19" width="10.42578125" customWidth="1"/>
  </cols>
  <sheetData>
    <row r="1" spans="1:22">
      <c r="A1" s="4" t="s">
        <v>0</v>
      </c>
      <c r="B1" s="109">
        <f>'Mon AM'!B1+5</f>
        <v>45437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/>
      <c r="Q4" s="27"/>
      <c r="R4" s="15" t="s">
        <v>20</v>
      </c>
      <c r="S4" s="12">
        <f>D48</f>
        <v>0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/>
      <c r="R6" s="16" t="s">
        <v>8</v>
      </c>
      <c r="S6" s="13">
        <f>F48</f>
        <v>0</v>
      </c>
      <c r="U6" s="22"/>
    </row>
    <row r="7" spans="1:22">
      <c r="A7" s="9"/>
      <c r="B7" s="25" t="s">
        <v>26</v>
      </c>
      <c r="C7" s="10" t="s">
        <v>27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0</v>
      </c>
      <c r="U7" s="22"/>
    </row>
    <row r="8" spans="1:22">
      <c r="A8" s="9"/>
      <c r="B8" s="25" t="s">
        <v>149</v>
      </c>
      <c r="C8" s="10" t="s">
        <v>150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0</v>
      </c>
      <c r="U8" s="22"/>
    </row>
    <row r="9" spans="1:22">
      <c r="A9" s="9"/>
      <c r="B9" s="25" t="s">
        <v>30</v>
      </c>
      <c r="C9" s="10" t="s">
        <v>31</v>
      </c>
      <c r="D9" s="7"/>
      <c r="E9" s="11">
        <f t="shared" si="0"/>
        <v>0</v>
      </c>
      <c r="F9" s="11">
        <f t="shared" si="1"/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/>
      <c r="Q9" s="27">
        <v>6</v>
      </c>
      <c r="R9" s="16" t="s">
        <v>11</v>
      </c>
      <c r="S9" s="13">
        <f>I48</f>
        <v>0</v>
      </c>
      <c r="U9" s="22"/>
    </row>
    <row r="10" spans="1:22">
      <c r="A10" s="9"/>
      <c r="B10" s="25" t="s">
        <v>32</v>
      </c>
      <c r="C10" s="10" t="s">
        <v>33</v>
      </c>
      <c r="D10" s="7"/>
      <c r="E10" s="11">
        <f t="shared" si="0"/>
        <v>0</v>
      </c>
      <c r="F10" s="11">
        <f t="shared" si="1"/>
        <v>0</v>
      </c>
      <c r="G10" s="11"/>
      <c r="H10" s="11"/>
      <c r="I10" s="33"/>
      <c r="J10" s="33"/>
      <c r="K10" s="33"/>
      <c r="L10" s="30">
        <f t="shared" si="2"/>
        <v>0</v>
      </c>
      <c r="M10" s="30"/>
      <c r="N10" s="173"/>
      <c r="O10" s="92"/>
      <c r="P10" s="27"/>
      <c r="Q10" s="27"/>
      <c r="R10" s="16" t="s">
        <v>12</v>
      </c>
      <c r="S10" s="13">
        <f>J48</f>
        <v>0</v>
      </c>
      <c r="U10" s="22"/>
    </row>
    <row r="11" spans="1:22">
      <c r="A11" s="9"/>
      <c r="B11" s="25" t="s">
        <v>34</v>
      </c>
      <c r="C11" s="10" t="s">
        <v>35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155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0</v>
      </c>
      <c r="U12" s="22"/>
    </row>
    <row r="13" spans="1:22">
      <c r="A13" s="9"/>
      <c r="B13" s="25" t="s">
        <v>39</v>
      </c>
      <c r="C13" s="10" t="s">
        <v>40</v>
      </c>
      <c r="D13" s="7"/>
      <c r="E13" s="11">
        <f t="shared" si="0"/>
        <v>0</v>
      </c>
      <c r="F13" s="11">
        <f t="shared" si="1"/>
        <v>0</v>
      </c>
      <c r="G13" s="11"/>
      <c r="H13" s="11"/>
      <c r="I13" s="33"/>
      <c r="J13" s="33"/>
      <c r="K13" s="33"/>
      <c r="L13" s="30">
        <f t="shared" si="2"/>
        <v>0</v>
      </c>
      <c r="M13" s="30"/>
      <c r="N13" s="173"/>
      <c r="O13" s="92"/>
      <c r="P13" s="27" t="s">
        <v>52</v>
      </c>
      <c r="Q13" s="27">
        <v>0</v>
      </c>
      <c r="R13" s="18"/>
      <c r="S13" s="31">
        <f>S5+S6+S7-S9-S10-S11-S12</f>
        <v>0</v>
      </c>
      <c r="U13" s="22"/>
    </row>
    <row r="14" spans="1:22">
      <c r="A14" s="9"/>
      <c r="B14" s="25" t="s">
        <v>41</v>
      </c>
      <c r="C14" s="10" t="s">
        <v>42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44</v>
      </c>
      <c r="S14" s="20">
        <f>M48</f>
        <v>0</v>
      </c>
      <c r="U14" s="22"/>
    </row>
    <row r="15" spans="1:22">
      <c r="A15" s="9"/>
      <c r="B15" s="25" t="s">
        <v>45</v>
      </c>
      <c r="C15" s="10" t="s">
        <v>156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>
        <v>0</v>
      </c>
      <c r="U15" s="22"/>
    </row>
    <row r="16" spans="1:22">
      <c r="A16" s="9"/>
      <c r="B16" s="25" t="s">
        <v>47</v>
      </c>
      <c r="C16" s="10" t="s">
        <v>48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>
        <v>6</v>
      </c>
      <c r="U16" s="22"/>
    </row>
    <row r="17" spans="1:21">
      <c r="A17" s="9"/>
      <c r="B17" s="25" t="s">
        <v>49</v>
      </c>
      <c r="C17" s="10" t="s">
        <v>50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51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0</v>
      </c>
      <c r="T18" s="36"/>
      <c r="U18" s="22"/>
    </row>
    <row r="19" spans="1:21">
      <c r="A19" s="9"/>
      <c r="B19" s="25" t="s">
        <v>54</v>
      </c>
      <c r="C19" s="10" t="s">
        <v>55</v>
      </c>
      <c r="D19" s="7"/>
      <c r="E19" s="11">
        <f t="shared" si="0"/>
        <v>0</v>
      </c>
      <c r="F19" s="11">
        <f t="shared" si="1"/>
        <v>0</v>
      </c>
      <c r="G19" s="11"/>
      <c r="H19" s="11"/>
      <c r="I19" s="33"/>
      <c r="J19" s="33"/>
      <c r="K19" s="33"/>
      <c r="L19" s="30">
        <f t="shared" si="2"/>
        <v>0</v>
      </c>
      <c r="M19" s="30"/>
      <c r="N19" s="173"/>
      <c r="O19" s="92"/>
      <c r="P19" s="27"/>
      <c r="Q19" s="27"/>
      <c r="R19" s="16" t="s">
        <v>56</v>
      </c>
      <c r="S19" s="97" cm="1">
        <f t="array" ref="S19">SUMPRODUCT((VALUE(B4:B47)&gt;100)*(D4:D47&gt;0))</f>
        <v>0</v>
      </c>
      <c r="U19" s="22"/>
    </row>
    <row r="20" spans="1:21">
      <c r="A20" s="9"/>
      <c r="B20" s="25" t="s">
        <v>57</v>
      </c>
      <c r="C20" s="10" t="s">
        <v>58</v>
      </c>
      <c r="D20" s="7"/>
      <c r="E20" s="11">
        <f t="shared" si="0"/>
        <v>0</v>
      </c>
      <c r="F20" s="11">
        <f t="shared" si="1"/>
        <v>0</v>
      </c>
      <c r="G20" s="11"/>
      <c r="H20" s="11"/>
      <c r="I20" s="33"/>
      <c r="J20" s="33"/>
      <c r="K20" s="33"/>
      <c r="L20" s="30">
        <f t="shared" si="2"/>
        <v>0</v>
      </c>
      <c r="M20" s="30"/>
      <c r="N20" s="173"/>
      <c r="O20" s="92"/>
      <c r="P20" s="27"/>
      <c r="Q20" s="27"/>
      <c r="R20" s="17" t="s">
        <v>59</v>
      </c>
      <c r="S20" s="98">
        <f>S18+S19</f>
        <v>0</v>
      </c>
      <c r="U20" s="22"/>
    </row>
    <row r="21" spans="1:21">
      <c r="A21" s="9"/>
      <c r="B21" s="25" t="s">
        <v>60</v>
      </c>
      <c r="C21" s="10" t="s">
        <v>61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62</v>
      </c>
      <c r="C22" s="10" t="s">
        <v>63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  <c r="U22" s="22"/>
    </row>
    <row r="23" spans="1:21">
      <c r="A23" s="9"/>
      <c r="B23" s="25" t="s">
        <v>64</v>
      </c>
      <c r="C23" s="10" t="s">
        <v>154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27"/>
      <c r="Q23" s="27"/>
      <c r="U23" s="22"/>
    </row>
    <row r="24" spans="1:21">
      <c r="A24" s="9"/>
      <c r="B24" s="25" t="s">
        <v>66</v>
      </c>
      <c r="C24" s="10" t="s">
        <v>67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>
        <v>0</v>
      </c>
      <c r="U24" s="22"/>
    </row>
    <row r="25" spans="1:21">
      <c r="A25" s="9"/>
      <c r="B25" s="25" t="s">
        <v>62</v>
      </c>
      <c r="C25" s="10" t="s">
        <v>68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/>
      <c r="Q25" s="27">
        <v>6</v>
      </c>
      <c r="U25" s="22"/>
    </row>
    <row r="26" spans="1:21">
      <c r="A26" s="9"/>
      <c r="B26" s="25" t="s">
        <v>60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>
        <v>6</v>
      </c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P27" s="27"/>
      <c r="Q27" s="27"/>
      <c r="S27" s="22"/>
      <c r="T27" s="27">
        <v>2</v>
      </c>
      <c r="U27" s="22"/>
    </row>
    <row r="28" spans="1:21">
      <c r="A28" s="9"/>
      <c r="B28" s="25" t="s">
        <v>64</v>
      </c>
      <c r="C28" s="10" t="s">
        <v>72</v>
      </c>
      <c r="D28" s="7"/>
      <c r="E28" s="11">
        <f>IF(AND(VALUE(B28)&lt;100, D28&gt;0),D28*0.5,D28*0.25)</f>
        <v>0</v>
      </c>
      <c r="F28" s="11">
        <f>IF(P28="C",Q28,IF(AND(VALUE(B28)&lt;100, D28&gt;0),12,IF(D28&gt;0,2,0)))</f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>
        <v>6</v>
      </c>
      <c r="S28" s="22"/>
      <c r="T28" s="27">
        <v>1</v>
      </c>
      <c r="U28" s="22"/>
    </row>
    <row r="29" spans="1:21">
      <c r="A29" s="9"/>
      <c r="B29" s="25" t="s">
        <v>57</v>
      </c>
      <c r="C29" s="10" t="s">
        <v>73</v>
      </c>
      <c r="D29" s="7"/>
      <c r="E29" s="11">
        <f>IF(AND(VALUE(B29)&lt;100, D29&gt;0),D29*0.5,D29*0.25)</f>
        <v>0</v>
      </c>
      <c r="F29" s="11">
        <f>IF(P29="C",Q29,IF(AND(VALUE(B29)&lt;100, D29&gt;0),12,IF(D29&gt;0,2,0)))</f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P29" s="27"/>
      <c r="Q29" s="27">
        <v>0</v>
      </c>
      <c r="S29" s="22"/>
      <c r="U29" s="22"/>
    </row>
    <row r="30" spans="1:21">
      <c r="A30" s="9"/>
      <c r="B30" s="25" t="s">
        <v>87</v>
      </c>
      <c r="C30" s="10" t="s">
        <v>74</v>
      </c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24</v>
      </c>
      <c r="C31" s="10" t="s">
        <v>157</v>
      </c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P31" s="27" t="s">
        <v>52</v>
      </c>
      <c r="Q31" s="27">
        <v>0</v>
      </c>
      <c r="U31" s="22"/>
    </row>
    <row r="32" spans="1:21">
      <c r="A32" s="9"/>
      <c r="B32" s="25" t="s">
        <v>28</v>
      </c>
      <c r="C32" s="10" t="s">
        <v>78</v>
      </c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  <c r="P32" s="27"/>
      <c r="Q32" s="27"/>
      <c r="U32" s="22"/>
    </row>
    <row r="33" spans="1:21">
      <c r="A33" s="9"/>
      <c r="B33" s="25" t="s">
        <v>79</v>
      </c>
      <c r="C33" s="10" t="s">
        <v>80</v>
      </c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  <c r="P33" s="27"/>
      <c r="Q33" s="27"/>
      <c r="U33" s="22"/>
    </row>
    <row r="34" spans="1:21">
      <c r="A34" s="9"/>
      <c r="B34" s="25" t="s">
        <v>81</v>
      </c>
      <c r="C34" s="10" t="s">
        <v>82</v>
      </c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83</v>
      </c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P35" s="27"/>
      <c r="Q35" s="27"/>
      <c r="U35" s="22"/>
    </row>
    <row r="36" spans="1:21">
      <c r="A36" s="9"/>
      <c r="B36" s="25" t="s">
        <v>62</v>
      </c>
      <c r="C36" s="10" t="s">
        <v>84</v>
      </c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P36" s="27"/>
      <c r="Q36" s="27">
        <v>6</v>
      </c>
      <c r="U36" s="22"/>
    </row>
    <row r="37" spans="1:21">
      <c r="A37" s="9"/>
      <c r="B37" s="25" t="s">
        <v>85</v>
      </c>
      <c r="C37" s="10" t="s">
        <v>86</v>
      </c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  <c r="P37" s="27" t="s">
        <v>52</v>
      </c>
      <c r="Q37" s="27"/>
      <c r="U37" s="22"/>
    </row>
    <row r="38" spans="1:21">
      <c r="A38" s="9"/>
      <c r="B38" s="25" t="s">
        <v>87</v>
      </c>
      <c r="C38" s="10" t="s">
        <v>88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>
        <v>6</v>
      </c>
      <c r="U38" s="22"/>
    </row>
    <row r="39" spans="1:21">
      <c r="A39" s="9"/>
      <c r="B39" s="25" t="s">
        <v>24</v>
      </c>
      <c r="C39" s="10" t="s">
        <v>89</v>
      </c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  <c r="P39" s="27"/>
      <c r="Q39" s="27"/>
      <c r="U39" s="22"/>
    </row>
    <row r="40" spans="1:21">
      <c r="A40" s="9"/>
      <c r="B40" s="25" t="s">
        <v>90</v>
      </c>
      <c r="C40" s="10" t="s">
        <v>91</v>
      </c>
      <c r="D40" s="8"/>
      <c r="E40" s="11">
        <f t="shared" si="0"/>
        <v>0</v>
      </c>
      <c r="F40" s="11">
        <f t="shared" si="1"/>
        <v>0</v>
      </c>
      <c r="G40" s="11"/>
      <c r="H40" s="11"/>
      <c r="I40" s="34"/>
      <c r="J40" s="34"/>
      <c r="K40" s="34"/>
      <c r="L40" s="30">
        <f t="shared" si="2"/>
        <v>0</v>
      </c>
      <c r="M40" s="30"/>
      <c r="N40" s="175"/>
      <c r="O40" s="25"/>
      <c r="P40" s="27"/>
      <c r="Q40" s="27">
        <v>0</v>
      </c>
      <c r="U40" s="22"/>
    </row>
    <row r="41" spans="1:21">
      <c r="A41" s="103"/>
      <c r="B41" s="25" t="s">
        <v>92</v>
      </c>
      <c r="C41" s="10" t="s">
        <v>93</v>
      </c>
      <c r="D41" s="7"/>
      <c r="E41" s="11">
        <f t="shared" si="0"/>
        <v>0</v>
      </c>
      <c r="F41" s="11">
        <f t="shared" si="1"/>
        <v>0</v>
      </c>
      <c r="G41" s="11"/>
      <c r="H41" s="11"/>
      <c r="I41" s="33"/>
      <c r="J41" s="33"/>
      <c r="K41" s="33"/>
      <c r="L41" s="30">
        <f t="shared" si="2"/>
        <v>0</v>
      </c>
      <c r="M41" s="30"/>
      <c r="N41" s="173"/>
      <c r="O41" s="92"/>
      <c r="P41" s="27" t="s">
        <v>52</v>
      </c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  <c r="P44" s="27"/>
      <c r="Q44" s="27">
        <v>0</v>
      </c>
      <c r="U44" s="22"/>
    </row>
    <row r="45" spans="1:21">
      <c r="A45" s="9"/>
      <c r="B45" s="104" t="s">
        <v>99</v>
      </c>
      <c r="C45" s="10" t="s">
        <v>100</v>
      </c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  <c r="P45" s="27">
        <v>0</v>
      </c>
      <c r="Q45" s="27">
        <v>6</v>
      </c>
      <c r="U45" s="22"/>
    </row>
    <row r="46" spans="1:21">
      <c r="A46" s="9"/>
      <c r="B46" s="25" t="s">
        <v>101</v>
      </c>
      <c r="C46" s="10" t="s">
        <v>102</v>
      </c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  <c r="P46" s="27"/>
      <c r="Q46" s="27"/>
      <c r="U46" s="22"/>
    </row>
    <row r="47" spans="1:21">
      <c r="A47" s="9"/>
      <c r="B47" s="25" t="s">
        <v>103</v>
      </c>
      <c r="C47" s="10" t="s">
        <v>104</v>
      </c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  <c r="P47" s="27"/>
      <c r="Q47" s="27">
        <v>0</v>
      </c>
      <c r="U47" s="22"/>
    </row>
    <row r="48" spans="1:21">
      <c r="D48" s="3">
        <f t="shared" ref="D48:N48" si="3">SUM(D4:D47)</f>
        <v>0</v>
      </c>
      <c r="E48" s="21">
        <f t="shared" si="3"/>
        <v>0</v>
      </c>
      <c r="F48" s="3">
        <f t="shared" si="3"/>
        <v>0</v>
      </c>
      <c r="G48" s="3">
        <f t="shared" si="3"/>
        <v>0</v>
      </c>
      <c r="H48" s="3">
        <f t="shared" si="3"/>
        <v>0</v>
      </c>
      <c r="I48" s="3">
        <f t="shared" si="3"/>
        <v>0</v>
      </c>
      <c r="J48" s="3">
        <f t="shared" si="3"/>
        <v>0</v>
      </c>
      <c r="K48" s="3">
        <f t="shared" si="3"/>
        <v>0</v>
      </c>
      <c r="L48" s="3">
        <f t="shared" si="3"/>
        <v>0</v>
      </c>
      <c r="M48" s="3">
        <f t="shared" si="3"/>
        <v>0</v>
      </c>
      <c r="N48" s="3">
        <f t="shared" si="3"/>
        <v>0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47">
    <cfRule type="expression" dxfId="7" priority="1">
      <formula>$M4&lt;0</formula>
    </cfRule>
  </conditionalFormatting>
  <conditionalFormatting sqref="M4:M47">
    <cfRule type="cellIs" dxfId="6" priority="4" operator="lessThan">
      <formula>0</formula>
    </cfRule>
  </conditionalFormatting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V48"/>
  <sheetViews>
    <sheetView showGridLines="0" workbookViewId="0">
      <selection activeCell="N24" sqref="N24"/>
    </sheetView>
  </sheetViews>
  <sheetFormatPr defaultRowHeight="15"/>
  <cols>
    <col min="1" max="1" width="6.5703125" style="1" customWidth="1"/>
    <col min="2" max="2" width="12.140625" style="26" customWidth="1"/>
    <col min="3" max="3" width="13.28515625" style="1" bestFit="1" customWidth="1"/>
    <col min="4" max="13" width="12.140625" customWidth="1"/>
    <col min="14" max="15" width="13.57031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AM'!B1+5</f>
        <v>45437</v>
      </c>
      <c r="C1" s="29"/>
      <c r="D1" s="4" t="s">
        <v>2</v>
      </c>
      <c r="E1" s="6" t="s">
        <v>105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106</v>
      </c>
      <c r="C4" s="10" t="s">
        <v>158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 t="s">
        <v>52</v>
      </c>
      <c r="Q4" s="27"/>
      <c r="R4" s="15" t="s">
        <v>20</v>
      </c>
      <c r="S4" s="12">
        <f>D48</f>
        <v>0</v>
      </c>
      <c r="U4" s="1"/>
      <c r="V4" s="1"/>
    </row>
    <row r="5" spans="1:22">
      <c r="A5" s="9"/>
      <c r="B5" s="25" t="s">
        <v>77</v>
      </c>
      <c r="C5" s="10" t="s">
        <v>108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57</v>
      </c>
      <c r="C6" s="10" t="s">
        <v>109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0</v>
      </c>
    </row>
    <row r="7" spans="1:22">
      <c r="A7" s="9"/>
      <c r="B7" s="25" t="s">
        <v>110</v>
      </c>
      <c r="C7" s="10" t="s">
        <v>111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0</v>
      </c>
    </row>
    <row r="8" spans="1:22">
      <c r="A8" s="9"/>
      <c r="B8" s="25" t="s">
        <v>39</v>
      </c>
      <c r="C8" s="10" t="s">
        <v>112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0</v>
      </c>
    </row>
    <row r="9" spans="1:22">
      <c r="A9" s="9"/>
      <c r="B9" s="25" t="s">
        <v>103</v>
      </c>
      <c r="C9" s="10" t="s">
        <v>113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 t="s">
        <v>52</v>
      </c>
      <c r="Q9" s="27">
        <v>0</v>
      </c>
      <c r="R9" s="16" t="s">
        <v>11</v>
      </c>
      <c r="S9" s="13">
        <f>I48</f>
        <v>0</v>
      </c>
    </row>
    <row r="10" spans="1:22">
      <c r="A10" s="9"/>
      <c r="B10" s="25" t="s">
        <v>101</v>
      </c>
      <c r="C10" s="10" t="s">
        <v>114</v>
      </c>
      <c r="D10" s="7"/>
      <c r="E10" s="11">
        <f t="shared" si="0"/>
        <v>0</v>
      </c>
      <c r="F10" s="11">
        <f t="shared" si="1"/>
        <v>0</v>
      </c>
      <c r="G10" s="11"/>
      <c r="H10" s="11"/>
      <c r="I10" s="33"/>
      <c r="J10" s="33"/>
      <c r="K10" s="33"/>
      <c r="L10" s="30">
        <f t="shared" si="2"/>
        <v>0</v>
      </c>
      <c r="M10" s="30"/>
      <c r="N10" s="173"/>
      <c r="O10" s="92"/>
      <c r="P10" s="27"/>
      <c r="Q10" s="27">
        <v>6</v>
      </c>
      <c r="R10" s="16" t="s">
        <v>12</v>
      </c>
      <c r="S10" s="13">
        <f>J48</f>
        <v>0</v>
      </c>
    </row>
    <row r="11" spans="1:22">
      <c r="A11" s="9"/>
      <c r="B11" s="25" t="s">
        <v>26</v>
      </c>
      <c r="C11" s="10" t="s">
        <v>115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116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0</v>
      </c>
    </row>
    <row r="13" spans="1:22">
      <c r="A13" s="9"/>
      <c r="B13" s="25" t="s">
        <v>103</v>
      </c>
      <c r="C13" s="10" t="s">
        <v>117</v>
      </c>
      <c r="D13" s="7"/>
      <c r="E13" s="11">
        <f t="shared" si="0"/>
        <v>0</v>
      </c>
      <c r="F13" s="11">
        <f t="shared" si="1"/>
        <v>0</v>
      </c>
      <c r="G13" s="11"/>
      <c r="H13" s="11"/>
      <c r="I13" s="33"/>
      <c r="J13" s="33"/>
      <c r="K13" s="33"/>
      <c r="L13" s="30">
        <f t="shared" si="2"/>
        <v>0</v>
      </c>
      <c r="M13" s="30"/>
      <c r="N13" s="173"/>
      <c r="O13" s="92"/>
      <c r="P13" s="27"/>
      <c r="Q13" s="27">
        <v>0</v>
      </c>
      <c r="R13" s="18"/>
      <c r="S13" s="31">
        <f>S5+S6+S7-S9-S10-S11-S12</f>
        <v>0</v>
      </c>
      <c r="T13" s="22"/>
    </row>
    <row r="14" spans="1:22">
      <c r="A14" s="9"/>
      <c r="B14" s="25" t="s">
        <v>57</v>
      </c>
      <c r="C14" s="10" t="s">
        <v>118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44</v>
      </c>
      <c r="S14" s="20">
        <f>M48</f>
        <v>0</v>
      </c>
    </row>
    <row r="15" spans="1:22">
      <c r="A15" s="9"/>
      <c r="B15" s="25" t="s">
        <v>119</v>
      </c>
      <c r="C15" s="10" t="s">
        <v>159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 t="s">
        <v>52</v>
      </c>
      <c r="Q15" s="27"/>
    </row>
    <row r="16" spans="1:22">
      <c r="A16" s="9"/>
      <c r="B16" s="25" t="s">
        <v>121</v>
      </c>
      <c r="C16" s="10" t="s">
        <v>160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123</v>
      </c>
      <c r="C17" s="10" t="s">
        <v>124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125</v>
      </c>
      <c r="C18" s="10" t="s">
        <v>126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0</v>
      </c>
      <c r="T18" s="36"/>
      <c r="U18" s="36"/>
    </row>
    <row r="19" spans="1:21" ht="15.75" customHeight="1">
      <c r="A19" s="9"/>
      <c r="B19" s="25" t="s">
        <v>24</v>
      </c>
      <c r="C19" s="10" t="s">
        <v>127</v>
      </c>
      <c r="D19" s="7"/>
      <c r="E19" s="11">
        <f t="shared" si="0"/>
        <v>0</v>
      </c>
      <c r="F19" s="11">
        <f t="shared" si="1"/>
        <v>0</v>
      </c>
      <c r="G19" s="11"/>
      <c r="H19" s="11"/>
      <c r="I19" s="33"/>
      <c r="J19" s="33"/>
      <c r="K19" s="33"/>
      <c r="L19" s="30">
        <f t="shared" si="2"/>
        <v>0</v>
      </c>
      <c r="M19" s="30"/>
      <c r="N19" s="173"/>
      <c r="O19" s="92"/>
      <c r="P19" s="27" t="s">
        <v>52</v>
      </c>
      <c r="Q19" s="27">
        <v>0</v>
      </c>
      <c r="R19" s="16" t="s">
        <v>56</v>
      </c>
      <c r="S19" s="97" cm="1">
        <f t="array" ref="S19">SUMPRODUCT((VALUE(B4:B47)&gt;100)*(D4:D47&gt;0))</f>
        <v>0</v>
      </c>
      <c r="T19" s="36"/>
      <c r="U19" s="36"/>
    </row>
    <row r="20" spans="1:21">
      <c r="A20" s="9"/>
      <c r="B20" s="25" t="s">
        <v>128</v>
      </c>
      <c r="C20" s="10" t="s">
        <v>129</v>
      </c>
      <c r="D20" s="7"/>
      <c r="E20" s="11">
        <f t="shared" si="0"/>
        <v>0</v>
      </c>
      <c r="F20" s="11">
        <f t="shared" si="1"/>
        <v>0</v>
      </c>
      <c r="G20" s="11"/>
      <c r="H20" s="11"/>
      <c r="I20" s="33"/>
      <c r="J20" s="33"/>
      <c r="K20" s="33"/>
      <c r="L20" s="30">
        <f t="shared" si="2"/>
        <v>0</v>
      </c>
      <c r="M20" s="30"/>
      <c r="N20" s="173"/>
      <c r="O20" s="92"/>
      <c r="P20" s="27"/>
      <c r="Q20" s="27"/>
      <c r="R20" s="17" t="s">
        <v>59</v>
      </c>
      <c r="S20" s="98">
        <f>S18+S19</f>
        <v>0</v>
      </c>
      <c r="T20" s="36"/>
      <c r="U20" s="36"/>
    </row>
    <row r="21" spans="1:21">
      <c r="A21" s="9"/>
      <c r="B21" s="25" t="s">
        <v>130</v>
      </c>
      <c r="C21" s="10" t="s">
        <v>131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132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</row>
    <row r="23" spans="1:21">
      <c r="A23" s="9"/>
      <c r="B23" s="25" t="s">
        <v>49</v>
      </c>
      <c r="C23" s="10" t="s">
        <v>133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134</v>
      </c>
      <c r="C24" s="10" t="s">
        <v>135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136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/>
      <c r="Q25" s="27">
        <v>6</v>
      </c>
    </row>
    <row r="26" spans="1:21">
      <c r="A26" s="9"/>
      <c r="B26" s="25" t="s">
        <v>39</v>
      </c>
      <c r="C26" s="10" t="s">
        <v>137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189">
        <v>0</v>
      </c>
    </row>
    <row r="27" spans="1:21">
      <c r="A27" s="9"/>
      <c r="B27" s="25" t="s">
        <v>138</v>
      </c>
      <c r="C27" s="10" t="s">
        <v>104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139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 t="s">
        <v>52</v>
      </c>
      <c r="Q28" s="27">
        <v>0</v>
      </c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>
        <v>0</v>
      </c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0</v>
      </c>
      <c r="E48" s="21">
        <f t="shared" si="3"/>
        <v>0</v>
      </c>
      <c r="F48" s="3">
        <f t="shared" si="3"/>
        <v>0</v>
      </c>
      <c r="G48" s="3">
        <f t="shared" si="3"/>
        <v>0</v>
      </c>
      <c r="H48" s="3">
        <f t="shared" si="3"/>
        <v>0</v>
      </c>
      <c r="I48" s="3">
        <f t="shared" si="3"/>
        <v>0</v>
      </c>
      <c r="J48" s="3">
        <f t="shared" si="3"/>
        <v>0</v>
      </c>
      <c r="K48" s="3">
        <f t="shared" si="3"/>
        <v>0</v>
      </c>
      <c r="L48" s="3">
        <f t="shared" si="3"/>
        <v>0</v>
      </c>
      <c r="M48" s="3">
        <f t="shared" si="3"/>
        <v>0</v>
      </c>
      <c r="N48" s="3">
        <f t="shared" si="3"/>
        <v>0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47">
    <cfRule type="expression" dxfId="5" priority="1">
      <formula>$M4&lt;0</formula>
    </cfRule>
  </conditionalFormatting>
  <conditionalFormatting sqref="M4:M47">
    <cfRule type="cellIs" dxfId="4" priority="2" operator="lessThan">
      <formula>0</formula>
    </cfRule>
  </conditionalFormatting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V53"/>
  <sheetViews>
    <sheetView showGridLines="0" topLeftCell="A17" workbookViewId="0">
      <selection activeCell="Q39" sqref="Q39"/>
    </sheetView>
  </sheetViews>
  <sheetFormatPr defaultRowHeight="15"/>
  <cols>
    <col min="1" max="1" width="6.28515625" style="1" customWidth="1"/>
    <col min="2" max="2" width="12.140625" style="26" customWidth="1"/>
    <col min="3" max="3" width="15.7109375" style="1" bestFit="1" customWidth="1"/>
    <col min="4" max="14" width="12.140625" customWidth="1"/>
    <col min="15" max="15" width="12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AM'!B1+6</f>
        <v>45438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/>
      <c r="Q4" s="27"/>
      <c r="R4" s="15" t="s">
        <v>20</v>
      </c>
      <c r="S4" s="12">
        <f>D48</f>
        <v>0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0</v>
      </c>
      <c r="R6" s="16" t="s">
        <v>8</v>
      </c>
      <c r="S6" s="13">
        <f>F48</f>
        <v>0</v>
      </c>
      <c r="U6" s="22"/>
    </row>
    <row r="7" spans="1:22">
      <c r="A7" s="9"/>
      <c r="B7" s="25" t="s">
        <v>26</v>
      </c>
      <c r="C7" s="10" t="s">
        <v>27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0</v>
      </c>
      <c r="U7" s="22"/>
    </row>
    <row r="8" spans="1:22">
      <c r="A8" s="9"/>
      <c r="B8" s="25" t="s">
        <v>28</v>
      </c>
      <c r="C8" s="10" t="s">
        <v>140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>
        <v>6</v>
      </c>
      <c r="R8" s="16" t="s">
        <v>10</v>
      </c>
      <c r="S8" s="13">
        <f>H48</f>
        <v>0</v>
      </c>
      <c r="U8" s="22"/>
    </row>
    <row r="9" spans="1:22">
      <c r="A9" s="9"/>
      <c r="B9" s="25" t="s">
        <v>30</v>
      </c>
      <c r="C9" s="10" t="s">
        <v>31</v>
      </c>
      <c r="D9" s="7"/>
      <c r="E9" s="11">
        <f t="shared" si="0"/>
        <v>0</v>
      </c>
      <c r="F9" s="11">
        <f t="shared" si="1"/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 t="s">
        <v>52</v>
      </c>
      <c r="Q9" s="27">
        <v>0</v>
      </c>
      <c r="R9" s="16" t="s">
        <v>11</v>
      </c>
      <c r="S9" s="13">
        <f>I48</f>
        <v>0</v>
      </c>
      <c r="U9" s="22"/>
    </row>
    <row r="10" spans="1:22">
      <c r="A10" s="9"/>
      <c r="B10" s="25" t="s">
        <v>32</v>
      </c>
      <c r="C10" s="10" t="s">
        <v>33</v>
      </c>
      <c r="D10" s="7"/>
      <c r="E10" s="11">
        <f t="shared" si="0"/>
        <v>0</v>
      </c>
      <c r="F10" s="11">
        <f t="shared" si="1"/>
        <v>0</v>
      </c>
      <c r="G10" s="11"/>
      <c r="H10" s="11"/>
      <c r="I10" s="33"/>
      <c r="J10" s="33"/>
      <c r="K10" s="33"/>
      <c r="L10" s="30">
        <f t="shared" si="2"/>
        <v>0</v>
      </c>
      <c r="M10" s="30"/>
      <c r="N10" s="173"/>
      <c r="O10" s="92"/>
      <c r="P10" s="27"/>
      <c r="Q10" s="27"/>
      <c r="R10" s="16" t="s">
        <v>12</v>
      </c>
      <c r="S10" s="13">
        <f>J48</f>
        <v>0</v>
      </c>
      <c r="U10" s="22"/>
    </row>
    <row r="11" spans="1:22">
      <c r="A11" s="9"/>
      <c r="B11" s="25" t="s">
        <v>103</v>
      </c>
      <c r="C11" s="10" t="s">
        <v>153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155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0</v>
      </c>
      <c r="U12" s="22"/>
    </row>
    <row r="13" spans="1:22">
      <c r="A13" s="9"/>
      <c r="B13" s="25" t="s">
        <v>39</v>
      </c>
      <c r="C13" s="10" t="s">
        <v>40</v>
      </c>
      <c r="D13" s="7"/>
      <c r="E13" s="11">
        <f t="shared" si="0"/>
        <v>0</v>
      </c>
      <c r="F13" s="11">
        <f t="shared" si="1"/>
        <v>0</v>
      </c>
      <c r="G13" s="11"/>
      <c r="H13" s="11"/>
      <c r="I13" s="33"/>
      <c r="J13" s="33"/>
      <c r="K13" s="33"/>
      <c r="L13" s="30">
        <f t="shared" si="2"/>
        <v>0</v>
      </c>
      <c r="M13" s="30"/>
      <c r="N13" s="173"/>
      <c r="O13" s="92"/>
      <c r="P13" s="27" t="s">
        <v>52</v>
      </c>
      <c r="Q13" s="27">
        <v>0</v>
      </c>
      <c r="R13" s="18"/>
      <c r="S13" s="31">
        <f>S5+S6+S7-S9-S10-S11-S12</f>
        <v>0</v>
      </c>
      <c r="U13" s="22"/>
    </row>
    <row r="14" spans="1:22">
      <c r="A14" s="9"/>
      <c r="B14" s="25" t="s">
        <v>41</v>
      </c>
      <c r="C14" s="10" t="s">
        <v>42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44</v>
      </c>
      <c r="S14" s="20">
        <f>M48</f>
        <v>0</v>
      </c>
      <c r="U14" s="22"/>
    </row>
    <row r="15" spans="1:22">
      <c r="A15" s="9"/>
      <c r="B15" s="25" t="s">
        <v>45</v>
      </c>
      <c r="C15" s="10" t="s">
        <v>156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/>
      <c r="U15" s="22"/>
    </row>
    <row r="16" spans="1:22">
      <c r="A16" s="9"/>
      <c r="B16" s="25" t="s">
        <v>47</v>
      </c>
      <c r="C16" s="10" t="s">
        <v>48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>
        <v>6</v>
      </c>
      <c r="U16" s="22"/>
    </row>
    <row r="17" spans="1:21">
      <c r="A17" s="9"/>
      <c r="B17" s="25" t="s">
        <v>49</v>
      </c>
      <c r="C17" s="10" t="s">
        <v>50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/>
      <c r="R17" s="35"/>
      <c r="S17" s="35"/>
      <c r="T17" s="35"/>
      <c r="U17" s="22"/>
    </row>
    <row r="18" spans="1:21">
      <c r="A18" s="9"/>
      <c r="B18" s="25" t="s">
        <v>39</v>
      </c>
      <c r="C18" s="10" t="s">
        <v>51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>
        <v>0</v>
      </c>
      <c r="R18" s="15" t="s">
        <v>53</v>
      </c>
      <c r="S18" s="96" cm="1">
        <f t="array" ref="S18">SUMPRODUCT((VALUE(B4:B47)&lt;100)*(D4:D47&gt;0))</f>
        <v>0</v>
      </c>
      <c r="T18" s="36"/>
      <c r="U18" s="22"/>
    </row>
    <row r="19" spans="1:21">
      <c r="A19" s="9"/>
      <c r="B19" s="25" t="s">
        <v>54</v>
      </c>
      <c r="C19" s="10" t="s">
        <v>55</v>
      </c>
      <c r="D19" s="7"/>
      <c r="E19" s="11">
        <f t="shared" si="0"/>
        <v>0</v>
      </c>
      <c r="F19" s="11">
        <f t="shared" si="1"/>
        <v>0</v>
      </c>
      <c r="G19" s="11"/>
      <c r="H19" s="11"/>
      <c r="I19" s="33"/>
      <c r="J19" s="33"/>
      <c r="K19" s="33"/>
      <c r="L19" s="30">
        <f t="shared" si="2"/>
        <v>0</v>
      </c>
      <c r="M19" s="30"/>
      <c r="N19" s="173"/>
      <c r="O19" s="92"/>
      <c r="P19" s="27"/>
      <c r="Q19" s="27"/>
      <c r="R19" s="16" t="s">
        <v>56</v>
      </c>
      <c r="S19" s="97" cm="1">
        <f t="array" ref="S19">SUMPRODUCT((VALUE(B4:B47)&gt;100)*(D4:D47&gt;0))</f>
        <v>0</v>
      </c>
      <c r="U19" s="22"/>
    </row>
    <row r="20" spans="1:21">
      <c r="A20" s="9"/>
      <c r="B20" s="25" t="s">
        <v>57</v>
      </c>
      <c r="C20" s="10" t="s">
        <v>58</v>
      </c>
      <c r="D20" s="7"/>
      <c r="E20" s="11">
        <f t="shared" si="0"/>
        <v>0</v>
      </c>
      <c r="F20" s="11">
        <f t="shared" si="1"/>
        <v>0</v>
      </c>
      <c r="G20" s="11"/>
      <c r="H20" s="11"/>
      <c r="I20" s="33"/>
      <c r="J20" s="33"/>
      <c r="K20" s="33"/>
      <c r="L20" s="30">
        <f t="shared" si="2"/>
        <v>0</v>
      </c>
      <c r="M20" s="30"/>
      <c r="N20" s="173"/>
      <c r="O20" s="92"/>
      <c r="P20" s="27"/>
      <c r="Q20" s="27"/>
      <c r="R20" s="17" t="s">
        <v>59</v>
      </c>
      <c r="S20" s="98">
        <f>S18+S19</f>
        <v>0</v>
      </c>
      <c r="U20" s="22"/>
    </row>
    <row r="21" spans="1:21">
      <c r="A21" s="9"/>
      <c r="B21" s="25" t="s">
        <v>60</v>
      </c>
      <c r="C21" s="10" t="s">
        <v>61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62</v>
      </c>
      <c r="C22" s="10" t="s">
        <v>63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64</v>
      </c>
      <c r="C23" s="10" t="s">
        <v>154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27"/>
      <c r="Q23" s="27"/>
      <c r="U23" s="22"/>
    </row>
    <row r="24" spans="1:21">
      <c r="A24" s="9"/>
      <c r="B24" s="25" t="s">
        <v>66</v>
      </c>
      <c r="C24" s="10" t="s">
        <v>67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62</v>
      </c>
      <c r="C25" s="10" t="s">
        <v>68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/>
      <c r="Q25" s="27">
        <v>6</v>
      </c>
      <c r="U25" s="22"/>
    </row>
    <row r="26" spans="1:21">
      <c r="A26" s="9"/>
      <c r="B26" s="25" t="s">
        <v>60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>
        <v>6</v>
      </c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P27" s="27"/>
      <c r="Q27" s="27"/>
      <c r="S27" s="22"/>
      <c r="T27" s="27">
        <v>1</v>
      </c>
      <c r="U27" s="22"/>
    </row>
    <row r="28" spans="1:21">
      <c r="A28" s="9"/>
      <c r="B28" s="25" t="s">
        <v>64</v>
      </c>
      <c r="C28" s="10" t="s">
        <v>72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/>
      <c r="S28" s="22"/>
      <c r="T28" s="27"/>
      <c r="U28" s="22"/>
    </row>
    <row r="29" spans="1:21">
      <c r="A29" s="9"/>
      <c r="B29" s="25" t="s">
        <v>57</v>
      </c>
      <c r="C29" s="10" t="s">
        <v>73</v>
      </c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P29" s="27"/>
      <c r="Q29" s="27">
        <v>0</v>
      </c>
      <c r="S29" s="22"/>
      <c r="U29" s="22"/>
    </row>
    <row r="30" spans="1:21">
      <c r="A30" s="9"/>
      <c r="B30" s="25" t="s">
        <v>87</v>
      </c>
      <c r="C30" s="10" t="s">
        <v>74</v>
      </c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75</v>
      </c>
      <c r="C31" s="10" t="s">
        <v>76</v>
      </c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P31" s="27"/>
      <c r="Q31" s="27"/>
      <c r="U31" s="22"/>
    </row>
    <row r="32" spans="1:21">
      <c r="A32" s="9"/>
      <c r="B32" s="25" t="s">
        <v>28</v>
      </c>
      <c r="C32" s="10" t="s">
        <v>78</v>
      </c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  <c r="P32" s="27"/>
      <c r="Q32" s="27"/>
      <c r="U32" s="22"/>
    </row>
    <row r="33" spans="1:21">
      <c r="A33" s="9"/>
      <c r="B33" s="25" t="s">
        <v>79</v>
      </c>
      <c r="C33" s="10" t="s">
        <v>80</v>
      </c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  <c r="P33" s="27"/>
      <c r="Q33" s="27">
        <v>6</v>
      </c>
      <c r="U33" s="22"/>
    </row>
    <row r="34" spans="1:21">
      <c r="A34" s="9"/>
      <c r="B34" s="25" t="s">
        <v>81</v>
      </c>
      <c r="C34" s="10" t="s">
        <v>161</v>
      </c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83</v>
      </c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P35" s="27"/>
      <c r="Q35" s="27"/>
      <c r="U35" s="22"/>
    </row>
    <row r="36" spans="1:21">
      <c r="A36" s="9"/>
      <c r="B36" s="25" t="s">
        <v>62</v>
      </c>
      <c r="C36" s="10" t="s">
        <v>84</v>
      </c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P36" s="27"/>
      <c r="Q36" s="27"/>
      <c r="U36" s="22"/>
    </row>
    <row r="37" spans="1:21">
      <c r="A37" s="9"/>
      <c r="B37" s="25" t="s">
        <v>85</v>
      </c>
      <c r="C37" s="10" t="s">
        <v>86</v>
      </c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  <c r="P37" s="27" t="s">
        <v>52</v>
      </c>
      <c r="Q37" s="27"/>
      <c r="U37" s="22"/>
    </row>
    <row r="38" spans="1:21">
      <c r="A38" s="9"/>
      <c r="B38" s="25" t="s">
        <v>87</v>
      </c>
      <c r="C38" s="10" t="s">
        <v>88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>
        <v>6</v>
      </c>
      <c r="U38" s="22"/>
    </row>
    <row r="39" spans="1:21">
      <c r="A39" s="9"/>
      <c r="B39" s="25" t="s">
        <v>24</v>
      </c>
      <c r="C39" s="10" t="s">
        <v>89</v>
      </c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  <c r="P39" s="27"/>
      <c r="Q39" s="27"/>
      <c r="U39" s="22"/>
    </row>
    <row r="40" spans="1:21">
      <c r="A40" s="9"/>
      <c r="B40" s="25" t="s">
        <v>90</v>
      </c>
      <c r="C40" s="10" t="s">
        <v>91</v>
      </c>
      <c r="D40" s="8"/>
      <c r="E40" s="11">
        <f t="shared" si="0"/>
        <v>0</v>
      </c>
      <c r="F40" s="11">
        <f t="shared" si="1"/>
        <v>0</v>
      </c>
      <c r="G40" s="11"/>
      <c r="H40" s="11"/>
      <c r="I40" s="34"/>
      <c r="J40" s="34"/>
      <c r="K40" s="34"/>
      <c r="L40" s="30">
        <f t="shared" si="2"/>
        <v>0</v>
      </c>
      <c r="M40" s="30"/>
      <c r="N40" s="175"/>
      <c r="O40" s="25"/>
      <c r="P40" s="27"/>
      <c r="Q40" s="27">
        <v>0</v>
      </c>
      <c r="U40" s="22"/>
    </row>
    <row r="41" spans="1:21">
      <c r="A41" s="103"/>
      <c r="B41" s="25" t="s">
        <v>92</v>
      </c>
      <c r="C41" s="10" t="s">
        <v>162</v>
      </c>
      <c r="D41" s="7"/>
      <c r="E41" s="11">
        <f t="shared" si="0"/>
        <v>0</v>
      </c>
      <c r="F41" s="11">
        <f t="shared" si="1"/>
        <v>0</v>
      </c>
      <c r="G41" s="11"/>
      <c r="H41" s="11"/>
      <c r="I41" s="33"/>
      <c r="J41" s="33"/>
      <c r="K41" s="33"/>
      <c r="L41" s="30">
        <f t="shared" si="2"/>
        <v>0</v>
      </c>
      <c r="M41" s="30"/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  <c r="P43" s="27"/>
      <c r="Q43" s="27">
        <v>6</v>
      </c>
      <c r="U43" s="22"/>
    </row>
    <row r="44" spans="1:21">
      <c r="A44" s="9"/>
      <c r="B44" s="25" t="s">
        <v>39</v>
      </c>
      <c r="C44" s="10" t="s">
        <v>98</v>
      </c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  <c r="P44" s="27"/>
      <c r="Q44" s="27">
        <v>0</v>
      </c>
      <c r="U44" s="22"/>
    </row>
    <row r="45" spans="1:21">
      <c r="A45" s="9"/>
      <c r="B45" s="104" t="s">
        <v>99</v>
      </c>
      <c r="C45" s="10" t="s">
        <v>163</v>
      </c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  <c r="P45" s="27"/>
      <c r="Q45" s="27">
        <v>6</v>
      </c>
      <c r="U45" s="22"/>
    </row>
    <row r="46" spans="1:21">
      <c r="A46" s="9"/>
      <c r="B46" s="25" t="s">
        <v>101</v>
      </c>
      <c r="C46" s="10" t="s">
        <v>102</v>
      </c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  <c r="P46" s="27"/>
      <c r="Q46" s="27"/>
      <c r="U46" s="22"/>
    </row>
    <row r="47" spans="1:21">
      <c r="A47" s="9"/>
      <c r="B47" s="25" t="s">
        <v>103</v>
      </c>
      <c r="C47" s="10" t="s">
        <v>104</v>
      </c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  <c r="P47" s="27"/>
      <c r="Q47" s="27"/>
      <c r="U47" s="22"/>
    </row>
    <row r="48" spans="1:21">
      <c r="D48" s="3">
        <f t="shared" ref="D48:N48" si="3">SUM(D4:D47)</f>
        <v>0</v>
      </c>
      <c r="E48" s="21">
        <f t="shared" si="3"/>
        <v>0</v>
      </c>
      <c r="F48" s="3">
        <f t="shared" si="3"/>
        <v>0</v>
      </c>
      <c r="G48" s="3">
        <f t="shared" si="3"/>
        <v>0</v>
      </c>
      <c r="H48" s="3">
        <f t="shared" si="3"/>
        <v>0</v>
      </c>
      <c r="I48" s="3">
        <f t="shared" si="3"/>
        <v>0</v>
      </c>
      <c r="J48" s="3">
        <f t="shared" si="3"/>
        <v>0</v>
      </c>
      <c r="K48" s="3">
        <f t="shared" si="3"/>
        <v>0</v>
      </c>
      <c r="L48" s="3">
        <f t="shared" si="3"/>
        <v>0</v>
      </c>
      <c r="M48" s="3">
        <f t="shared" si="3"/>
        <v>0</v>
      </c>
      <c r="N48" s="3">
        <f t="shared" si="3"/>
        <v>0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47">
    <cfRule type="expression" dxfId="3" priority="1">
      <formula>$M4&lt;0</formula>
    </cfRule>
  </conditionalFormatting>
  <conditionalFormatting sqref="M4:M47">
    <cfRule type="cellIs" dxfId="2" priority="4" operator="lessThan">
      <formula>0</formula>
    </cfRule>
  </conditionalFormatting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V48"/>
  <sheetViews>
    <sheetView showGridLines="0" workbookViewId="0">
      <selection activeCell="P15" sqref="P15"/>
    </sheetView>
  </sheetViews>
  <sheetFormatPr defaultRowHeight="15"/>
  <cols>
    <col min="1" max="1" width="7.7109375" style="1" customWidth="1"/>
    <col min="2" max="2" width="12.140625" style="26" customWidth="1"/>
    <col min="3" max="3" width="13.28515625" style="1" bestFit="1" customWidth="1"/>
    <col min="4" max="13" width="12.140625" customWidth="1"/>
    <col min="14" max="14" width="13.140625" style="22" customWidth="1"/>
    <col min="15" max="15" width="15" customWidth="1"/>
    <col min="16" max="17" width="6" style="1" customWidth="1"/>
    <col min="18" max="18" width="12.42578125" bestFit="1" customWidth="1"/>
    <col min="19" max="19" width="10.42578125" customWidth="1"/>
  </cols>
  <sheetData>
    <row r="1" spans="1:22">
      <c r="A1" s="4" t="s">
        <v>0</v>
      </c>
      <c r="B1" s="109">
        <f>'Mon AM'!B1+6</f>
        <v>45438</v>
      </c>
      <c r="C1" s="29"/>
      <c r="D1" s="4" t="s">
        <v>2</v>
      </c>
      <c r="E1" s="6" t="s">
        <v>105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102" t="s">
        <v>16</v>
      </c>
      <c r="O3" s="28" t="s">
        <v>17</v>
      </c>
    </row>
    <row r="4" spans="1:22">
      <c r="A4" s="10"/>
      <c r="B4" s="24" t="s">
        <v>106</v>
      </c>
      <c r="C4" s="10" t="s">
        <v>158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 t="s">
        <v>52</v>
      </c>
      <c r="Q4" s="27"/>
      <c r="R4" s="15" t="s">
        <v>20</v>
      </c>
      <c r="S4" s="12">
        <f>D48</f>
        <v>0</v>
      </c>
      <c r="U4" s="1"/>
      <c r="V4" s="1"/>
    </row>
    <row r="5" spans="1:22">
      <c r="A5" s="9"/>
      <c r="B5" s="25" t="s">
        <v>77</v>
      </c>
      <c r="C5" s="10" t="s">
        <v>108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57</v>
      </c>
      <c r="C6" s="10" t="s">
        <v>109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0</v>
      </c>
    </row>
    <row r="7" spans="1:22">
      <c r="A7" s="9"/>
      <c r="B7" s="25" t="s">
        <v>110</v>
      </c>
      <c r="C7" s="10" t="s">
        <v>111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0</v>
      </c>
    </row>
    <row r="8" spans="1:22">
      <c r="A8" s="9"/>
      <c r="B8" s="25" t="s">
        <v>39</v>
      </c>
      <c r="C8" s="10" t="s">
        <v>112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>
        <v>6</v>
      </c>
      <c r="R8" s="16" t="s">
        <v>10</v>
      </c>
      <c r="S8" s="13">
        <f>H48</f>
        <v>0</v>
      </c>
    </row>
    <row r="9" spans="1:22">
      <c r="A9" s="9"/>
      <c r="B9" s="25" t="s">
        <v>103</v>
      </c>
      <c r="C9" s="10" t="s">
        <v>113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 t="s">
        <v>52</v>
      </c>
      <c r="Q9" s="27"/>
      <c r="R9" s="16" t="s">
        <v>11</v>
      </c>
      <c r="S9" s="13">
        <f>I48</f>
        <v>0</v>
      </c>
    </row>
    <row r="10" spans="1:22">
      <c r="A10" s="9"/>
      <c r="B10" s="25" t="s">
        <v>101</v>
      </c>
      <c r="C10" s="10" t="s">
        <v>114</v>
      </c>
      <c r="D10" s="7"/>
      <c r="E10" s="11">
        <f t="shared" si="0"/>
        <v>0</v>
      </c>
      <c r="F10" s="11">
        <f t="shared" si="1"/>
        <v>0</v>
      </c>
      <c r="G10" s="11"/>
      <c r="H10" s="11"/>
      <c r="I10" s="33"/>
      <c r="J10" s="33"/>
      <c r="K10" s="33"/>
      <c r="L10" s="30">
        <f t="shared" si="2"/>
        <v>0</v>
      </c>
      <c r="M10" s="30"/>
      <c r="N10" s="173"/>
      <c r="O10" s="92"/>
      <c r="P10" s="27"/>
      <c r="Q10" s="27">
        <v>6</v>
      </c>
      <c r="R10" s="16" t="s">
        <v>12</v>
      </c>
      <c r="S10" s="13">
        <f>J48</f>
        <v>0</v>
      </c>
    </row>
    <row r="11" spans="1:22">
      <c r="A11" s="9"/>
      <c r="B11" s="25" t="s">
        <v>26</v>
      </c>
      <c r="C11" s="10" t="s">
        <v>115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>
        <v>6</v>
      </c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116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0</v>
      </c>
    </row>
    <row r="13" spans="1:22">
      <c r="A13" s="9"/>
      <c r="B13" s="25" t="s">
        <v>103</v>
      </c>
      <c r="C13" s="10" t="s">
        <v>117</v>
      </c>
      <c r="D13" s="7"/>
      <c r="E13" s="11">
        <f t="shared" si="0"/>
        <v>0</v>
      </c>
      <c r="F13" s="11">
        <f t="shared" si="1"/>
        <v>0</v>
      </c>
      <c r="G13" s="11"/>
      <c r="H13" s="11"/>
      <c r="I13" s="33"/>
      <c r="J13" s="33"/>
      <c r="K13" s="33"/>
      <c r="L13" s="30">
        <f t="shared" si="2"/>
        <v>0</v>
      </c>
      <c r="M13" s="30"/>
      <c r="N13" s="173"/>
      <c r="O13" s="92"/>
      <c r="P13" s="27"/>
      <c r="Q13" s="27">
        <v>6</v>
      </c>
      <c r="R13" s="18"/>
      <c r="S13" s="31">
        <f>S5+S6+S7-S9-S10-S11-S12</f>
        <v>0</v>
      </c>
      <c r="T13" s="22"/>
    </row>
    <row r="14" spans="1:22">
      <c r="A14" s="9"/>
      <c r="B14" s="25" t="s">
        <v>57</v>
      </c>
      <c r="C14" s="10" t="s">
        <v>118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44</v>
      </c>
      <c r="S14" s="20">
        <f>M48</f>
        <v>0</v>
      </c>
    </row>
    <row r="15" spans="1:22">
      <c r="A15" s="9"/>
      <c r="B15" s="25" t="s">
        <v>119</v>
      </c>
      <c r="C15" s="10" t="s">
        <v>159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 t="s">
        <v>52</v>
      </c>
      <c r="Q15" s="27"/>
    </row>
    <row r="16" spans="1:22">
      <c r="A16" s="9"/>
      <c r="B16" s="25" t="s">
        <v>164</v>
      </c>
      <c r="C16" s="10" t="s">
        <v>165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123</v>
      </c>
      <c r="C17" s="10" t="s">
        <v>124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>
        <v>6</v>
      </c>
      <c r="R17" s="36"/>
      <c r="S17" s="36"/>
      <c r="T17" s="36"/>
      <c r="U17" s="36"/>
    </row>
    <row r="18" spans="1:21">
      <c r="A18" s="9"/>
      <c r="B18" s="25" t="s">
        <v>125</v>
      </c>
      <c r="C18" s="10" t="s">
        <v>126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/>
      <c r="R18" s="15" t="s">
        <v>53</v>
      </c>
      <c r="S18" s="96" cm="1">
        <f t="array" ref="S18">SUMPRODUCT((VALUE(B4:B47)&lt;100)*(D4:D47&gt;0))</f>
        <v>0</v>
      </c>
      <c r="T18" s="36"/>
      <c r="U18" s="36"/>
    </row>
    <row r="19" spans="1:21">
      <c r="A19" s="9"/>
      <c r="B19" s="25" t="s">
        <v>24</v>
      </c>
      <c r="C19" s="10" t="s">
        <v>127</v>
      </c>
      <c r="D19" s="7"/>
      <c r="E19" s="11">
        <f t="shared" si="0"/>
        <v>0</v>
      </c>
      <c r="F19" s="11">
        <f t="shared" si="1"/>
        <v>0</v>
      </c>
      <c r="G19" s="11"/>
      <c r="H19" s="11"/>
      <c r="I19" s="33"/>
      <c r="J19" s="33"/>
      <c r="K19" s="33"/>
      <c r="L19" s="30">
        <f t="shared" si="2"/>
        <v>0</v>
      </c>
      <c r="M19" s="30"/>
      <c r="N19" s="173"/>
      <c r="O19" s="92"/>
      <c r="P19" s="27"/>
      <c r="Q19" s="27">
        <v>6</v>
      </c>
      <c r="R19" s="16" t="s">
        <v>56</v>
      </c>
      <c r="S19" s="97" cm="1">
        <f t="array" ref="S19">SUMPRODUCT((VALUE(B4:B47)&gt;100)*(D4:D47&gt;0))</f>
        <v>0</v>
      </c>
      <c r="T19" s="36"/>
      <c r="U19" s="36"/>
    </row>
    <row r="20" spans="1:21">
      <c r="A20" s="9"/>
      <c r="B20" s="25" t="s">
        <v>128</v>
      </c>
      <c r="C20" s="10" t="s">
        <v>129</v>
      </c>
      <c r="D20" s="7"/>
      <c r="E20" s="11">
        <f t="shared" si="0"/>
        <v>0</v>
      </c>
      <c r="F20" s="11">
        <f t="shared" si="1"/>
        <v>0</v>
      </c>
      <c r="G20" s="11"/>
      <c r="H20" s="11"/>
      <c r="I20" s="33"/>
      <c r="J20" s="33"/>
      <c r="K20" s="33"/>
      <c r="L20" s="30">
        <f t="shared" si="2"/>
        <v>0</v>
      </c>
      <c r="M20" s="30"/>
      <c r="N20" s="173"/>
      <c r="O20" s="92"/>
      <c r="P20" s="27"/>
      <c r="Q20" s="27"/>
      <c r="R20" s="17" t="s">
        <v>59</v>
      </c>
      <c r="S20" s="98">
        <f>S18+S19</f>
        <v>0</v>
      </c>
      <c r="T20" s="36"/>
      <c r="U20" s="36"/>
    </row>
    <row r="21" spans="1:21">
      <c r="A21" s="9"/>
      <c r="B21" s="25" t="s">
        <v>130</v>
      </c>
      <c r="C21" s="10" t="s">
        <v>131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142</v>
      </c>
      <c r="C22" s="10" t="s">
        <v>151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</row>
    <row r="23" spans="1:21">
      <c r="A23" s="9"/>
      <c r="B23" s="25" t="s">
        <v>49</v>
      </c>
      <c r="C23" s="10" t="s">
        <v>132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134</v>
      </c>
      <c r="C24" s="10" t="s">
        <v>135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136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 t="s">
        <v>52</v>
      </c>
      <c r="Q25" s="27">
        <v>0</v>
      </c>
    </row>
    <row r="26" spans="1:21">
      <c r="A26" s="9"/>
      <c r="B26" s="25" t="s">
        <v>39</v>
      </c>
      <c r="C26" s="10" t="s">
        <v>137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172">
        <v>6</v>
      </c>
    </row>
    <row r="27" spans="1:21">
      <c r="A27" s="9"/>
      <c r="B27" s="25" t="s">
        <v>138</v>
      </c>
      <c r="C27" s="10" t="s">
        <v>104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139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/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/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 t="s">
        <v>166</v>
      </c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0</v>
      </c>
      <c r="E48" s="21">
        <f t="shared" si="3"/>
        <v>0</v>
      </c>
      <c r="F48" s="3">
        <f t="shared" si="3"/>
        <v>0</v>
      </c>
      <c r="G48" s="3">
        <f t="shared" si="3"/>
        <v>0</v>
      </c>
      <c r="H48" s="3">
        <f t="shared" si="3"/>
        <v>0</v>
      </c>
      <c r="I48" s="3">
        <f t="shared" si="3"/>
        <v>0</v>
      </c>
      <c r="J48" s="3">
        <f t="shared" si="3"/>
        <v>0</v>
      </c>
      <c r="K48" s="3">
        <f t="shared" si="3"/>
        <v>0</v>
      </c>
      <c r="L48" s="3">
        <f t="shared" si="3"/>
        <v>0</v>
      </c>
      <c r="M48" s="3">
        <f t="shared" si="3"/>
        <v>0</v>
      </c>
      <c r="N48" s="3">
        <f t="shared" si="3"/>
        <v>0</v>
      </c>
      <c r="O48" s="178"/>
    </row>
  </sheetData>
  <sortState xmlns:xlrd2="http://schemas.microsoft.com/office/spreadsheetml/2017/richdata2" ref="A4:N26">
    <sortCondition ref="C4:C26"/>
  </sortState>
  <mergeCells count="1">
    <mergeCell ref="R27:S27"/>
  </mergeCells>
  <conditionalFormatting sqref="C4:C47">
    <cfRule type="expression" dxfId="1" priority="2">
      <formula>$M4&lt;0</formula>
    </cfRule>
  </conditionalFormatting>
  <conditionalFormatting sqref="M4:M47">
    <cfRule type="cellIs" dxfId="0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U56"/>
  <sheetViews>
    <sheetView showGridLines="0" topLeftCell="A16" workbookViewId="0">
      <selection activeCell="G22" sqref="G22"/>
    </sheetView>
  </sheetViews>
  <sheetFormatPr defaultRowHeight="15"/>
  <cols>
    <col min="1" max="4" width="12.7109375" customWidth="1"/>
    <col min="5" max="6" width="6.140625" customWidth="1"/>
    <col min="7" max="10" width="12.7109375" customWidth="1"/>
    <col min="11" max="12" width="6.140625" customWidth="1"/>
    <col min="13" max="16" width="12.7109375" customWidth="1"/>
    <col min="17" max="17" width="6.140625" customWidth="1"/>
    <col min="19" max="19" width="10.42578125" bestFit="1" customWidth="1"/>
    <col min="20" max="20" width="11.42578125" bestFit="1" customWidth="1"/>
    <col min="21" max="21" width="10.42578125" bestFit="1" customWidth="1"/>
  </cols>
  <sheetData>
    <row r="2" spans="1:21">
      <c r="A2" s="38" t="s">
        <v>167</v>
      </c>
      <c r="B2" s="210" t="str">
        <f>'Mon AM'!B1</f>
        <v>5/20</v>
      </c>
      <c r="C2" s="211"/>
      <c r="D2" s="212"/>
      <c r="E2" s="39"/>
      <c r="F2" s="1"/>
      <c r="G2" s="38" t="s">
        <v>167</v>
      </c>
      <c r="H2" s="201">
        <f>B2+1</f>
        <v>45433</v>
      </c>
      <c r="I2" s="202"/>
      <c r="J2" s="203"/>
      <c r="K2" s="39"/>
      <c r="L2" s="1"/>
      <c r="M2" s="38" t="s">
        <v>167</v>
      </c>
      <c r="N2" s="201">
        <f>B2+2</f>
        <v>45434</v>
      </c>
      <c r="O2" s="202"/>
      <c r="P2" s="203"/>
      <c r="Q2" s="110"/>
    </row>
    <row r="3" spans="1:21">
      <c r="A3" s="93">
        <v>405</v>
      </c>
      <c r="B3" s="81" t="s">
        <v>3</v>
      </c>
      <c r="C3" s="82" t="s">
        <v>105</v>
      </c>
      <c r="D3" s="83" t="s">
        <v>59</v>
      </c>
      <c r="E3" s="41"/>
      <c r="F3" s="1"/>
      <c r="G3" s="93">
        <v>462</v>
      </c>
      <c r="H3" s="81" t="s">
        <v>3</v>
      </c>
      <c r="I3" s="82" t="s">
        <v>105</v>
      </c>
      <c r="J3" s="83" t="s">
        <v>59</v>
      </c>
      <c r="K3" s="41"/>
      <c r="L3" s="1"/>
      <c r="M3" s="93">
        <v>508</v>
      </c>
      <c r="N3" s="81" t="s">
        <v>3</v>
      </c>
      <c r="O3" s="82" t="s">
        <v>105</v>
      </c>
      <c r="P3" s="83" t="s">
        <v>59</v>
      </c>
      <c r="Q3" s="110"/>
      <c r="R3" s="106"/>
    </row>
    <row r="4" spans="1:21">
      <c r="A4" s="43" t="s">
        <v>168</v>
      </c>
      <c r="B4" s="78">
        <f>'Mon AM'!S4</f>
        <v>6123</v>
      </c>
      <c r="C4" s="78">
        <f>'Mon PM'!S4</f>
        <v>1654</v>
      </c>
      <c r="D4" s="79">
        <f t="shared" ref="D4:D9" si="0">B4+C4</f>
        <v>7777</v>
      </c>
      <c r="E4" s="42"/>
      <c r="F4" s="1"/>
      <c r="G4" s="43" t="s">
        <v>168</v>
      </c>
      <c r="H4" s="78">
        <f>'Tues AM'!S4</f>
        <v>6685</v>
      </c>
      <c r="I4" s="78">
        <f>'Tues PM'!S4</f>
        <v>1766</v>
      </c>
      <c r="J4" s="79">
        <f t="shared" ref="J4:J9" si="1">H4+I4</f>
        <v>8451</v>
      </c>
      <c r="K4" s="42"/>
      <c r="L4" s="1"/>
      <c r="M4" s="43" t="s">
        <v>168</v>
      </c>
      <c r="N4" s="78">
        <f>'Wed AM'!S4</f>
        <v>8064.6</v>
      </c>
      <c r="O4" s="78">
        <f>'Wed PM'!S4</f>
        <v>2475</v>
      </c>
      <c r="P4" s="79">
        <f t="shared" ref="P4:P9" si="2">N4+O4</f>
        <v>10539.6</v>
      </c>
      <c r="Q4" s="110"/>
    </row>
    <row r="5" spans="1:21">
      <c r="A5" s="44" t="s">
        <v>23</v>
      </c>
      <c r="B5" s="45">
        <f>'Mon AM'!S5</f>
        <v>2771.25</v>
      </c>
      <c r="C5" s="45">
        <f>'Mon PM'!S5</f>
        <v>770</v>
      </c>
      <c r="D5" s="100">
        <f t="shared" si="0"/>
        <v>3541.25</v>
      </c>
      <c r="E5" s="94">
        <f>D5/D4</f>
        <v>0.45534910633920533</v>
      </c>
      <c r="F5" s="1"/>
      <c r="G5" s="44" t="s">
        <v>23</v>
      </c>
      <c r="H5" s="45">
        <f>'Tues AM'!S5</f>
        <v>2953</v>
      </c>
      <c r="I5" s="45">
        <f>'Tues PM'!S5</f>
        <v>773.5</v>
      </c>
      <c r="J5" s="100">
        <f t="shared" si="1"/>
        <v>3726.5</v>
      </c>
      <c r="K5" s="94">
        <f>J5/J4</f>
        <v>0.44095373328600168</v>
      </c>
      <c r="L5" s="1"/>
      <c r="M5" s="44" t="s">
        <v>23</v>
      </c>
      <c r="N5" s="45">
        <f>'Wed AM'!S5</f>
        <v>3555.4</v>
      </c>
      <c r="O5" s="45">
        <f>'Wed PM'!S5</f>
        <v>1075.75</v>
      </c>
      <c r="P5" s="100">
        <f t="shared" si="2"/>
        <v>4631.1499999999996</v>
      </c>
      <c r="Q5" s="94">
        <f>P5/P4</f>
        <v>0.43940472124179281</v>
      </c>
      <c r="S5" s="105"/>
    </row>
    <row r="6" spans="1:21">
      <c r="A6" s="44" t="s">
        <v>8</v>
      </c>
      <c r="B6" s="45">
        <f>'Mon AM'!S6</f>
        <v>252</v>
      </c>
      <c r="C6" s="45">
        <f>'Mon PM'!S6</f>
        <v>82</v>
      </c>
      <c r="D6" s="100">
        <f t="shared" si="0"/>
        <v>334</v>
      </c>
      <c r="E6" s="42"/>
      <c r="F6" s="1"/>
      <c r="G6" s="44" t="s">
        <v>8</v>
      </c>
      <c r="H6" s="45">
        <f>'Tues AM'!S6</f>
        <v>258</v>
      </c>
      <c r="I6" s="45">
        <f>'Tues PM'!S6</f>
        <v>84</v>
      </c>
      <c r="J6" s="100">
        <f t="shared" si="1"/>
        <v>342</v>
      </c>
      <c r="K6" s="42"/>
      <c r="L6" s="1"/>
      <c r="M6" s="44" t="s">
        <v>8</v>
      </c>
      <c r="N6" s="45">
        <f>'Wed AM'!S6</f>
        <v>268</v>
      </c>
      <c r="O6" s="45">
        <f>'Wed PM'!S6</f>
        <v>116</v>
      </c>
      <c r="P6" s="100">
        <f t="shared" si="2"/>
        <v>384</v>
      </c>
      <c r="Q6" s="110"/>
      <c r="S6" s="105"/>
      <c r="T6" s="107"/>
    </row>
    <row r="7" spans="1:21">
      <c r="A7" s="44" t="s">
        <v>9</v>
      </c>
      <c r="B7" s="45">
        <f>'Mon AM'!S7</f>
        <v>66</v>
      </c>
      <c r="C7" s="45">
        <f>'Mon PM'!S7</f>
        <v>8.25</v>
      </c>
      <c r="D7" s="100">
        <f t="shared" si="0"/>
        <v>74.25</v>
      </c>
      <c r="E7" s="42"/>
      <c r="F7" s="1"/>
      <c r="G7" s="44" t="s">
        <v>9</v>
      </c>
      <c r="H7" s="45">
        <f>'Tues AM'!S7</f>
        <v>82.5</v>
      </c>
      <c r="I7" s="45">
        <f>'Tues PM'!S7</f>
        <v>8.25</v>
      </c>
      <c r="J7" s="100">
        <f t="shared" si="1"/>
        <v>90.75</v>
      </c>
      <c r="K7" s="42"/>
      <c r="L7" s="1"/>
      <c r="M7" s="44" t="s">
        <v>9</v>
      </c>
      <c r="N7" s="45">
        <f>'Wed AM'!S7</f>
        <v>96.25</v>
      </c>
      <c r="O7" s="45">
        <f>'Wed PM'!S7</f>
        <v>8.25</v>
      </c>
      <c r="P7" s="100">
        <f t="shared" si="2"/>
        <v>104.5</v>
      </c>
      <c r="Q7" s="110"/>
      <c r="S7" s="105"/>
    </row>
    <row r="8" spans="1:21">
      <c r="A8" s="44" t="s">
        <v>10</v>
      </c>
      <c r="B8" s="45">
        <f>'Mon AM'!S8</f>
        <v>70</v>
      </c>
      <c r="C8" s="45">
        <f>'Mon PM'!S8</f>
        <v>27.5</v>
      </c>
      <c r="D8" s="100">
        <f t="shared" si="0"/>
        <v>97.5</v>
      </c>
      <c r="E8" s="42"/>
      <c r="F8" s="1"/>
      <c r="G8" s="44" t="s">
        <v>10</v>
      </c>
      <c r="H8" s="45">
        <f>'Tues AM'!S8</f>
        <v>70</v>
      </c>
      <c r="I8" s="45">
        <f>'Tues PM'!S8</f>
        <v>27.5</v>
      </c>
      <c r="J8" s="100">
        <f t="shared" si="1"/>
        <v>97.5</v>
      </c>
      <c r="K8" s="42"/>
      <c r="L8" s="1"/>
      <c r="M8" s="44" t="s">
        <v>10</v>
      </c>
      <c r="N8" s="45">
        <f>'Wed AM'!S8</f>
        <v>75</v>
      </c>
      <c r="O8" s="45">
        <f>'Wed PM'!S8</f>
        <v>35</v>
      </c>
      <c r="P8" s="100">
        <f t="shared" si="2"/>
        <v>110</v>
      </c>
      <c r="Q8" s="110"/>
      <c r="S8" s="107"/>
      <c r="U8" s="107"/>
    </row>
    <row r="9" spans="1:21">
      <c r="A9" s="46" t="s">
        <v>169</v>
      </c>
      <c r="B9" s="47">
        <f>B5+B6</f>
        <v>3023.25</v>
      </c>
      <c r="C9" s="47">
        <f>C5+C6</f>
        <v>852</v>
      </c>
      <c r="D9" s="101">
        <f t="shared" si="0"/>
        <v>3875.25</v>
      </c>
      <c r="E9" s="49"/>
      <c r="F9" s="1"/>
      <c r="G9" s="46" t="s">
        <v>169</v>
      </c>
      <c r="H9" s="47">
        <f>H5+H6</f>
        <v>3211</v>
      </c>
      <c r="I9" s="47">
        <f>I5+I6</f>
        <v>857.5</v>
      </c>
      <c r="J9" s="101">
        <f t="shared" si="1"/>
        <v>4068.5</v>
      </c>
      <c r="K9" s="49"/>
      <c r="L9" s="1"/>
      <c r="M9" s="46" t="s">
        <v>169</v>
      </c>
      <c r="N9" s="47">
        <f>N5+N6</f>
        <v>3823.4</v>
      </c>
      <c r="O9" s="47">
        <f>O5+O6</f>
        <v>1191.75</v>
      </c>
      <c r="P9" s="101">
        <f t="shared" si="2"/>
        <v>5015.1499999999996</v>
      </c>
      <c r="Q9" s="110"/>
      <c r="S9" s="107"/>
    </row>
    <row r="10" spans="1:21">
      <c r="A10" s="50"/>
      <c r="B10" s="37"/>
      <c r="C10" s="37"/>
      <c r="D10" s="37"/>
      <c r="E10" s="42"/>
      <c r="F10" s="1"/>
      <c r="G10" s="50"/>
      <c r="H10" s="37"/>
      <c r="I10" s="37"/>
      <c r="J10" s="37"/>
      <c r="K10" s="42"/>
      <c r="L10" s="1"/>
      <c r="M10" s="50"/>
      <c r="N10" s="37"/>
      <c r="O10" s="37"/>
      <c r="P10" s="37"/>
      <c r="Q10" s="110"/>
      <c r="S10" s="107"/>
    </row>
    <row r="11" spans="1:21">
      <c r="A11" s="43" t="s">
        <v>170</v>
      </c>
      <c r="B11" s="87">
        <f>'Mon AM'!S9</f>
        <v>2473.0000000000005</v>
      </c>
      <c r="C11" s="87">
        <f>'Mon PM'!S9</f>
        <v>594</v>
      </c>
      <c r="D11" s="85">
        <f>B11+C11</f>
        <v>3067.0000000000005</v>
      </c>
      <c r="E11" s="51"/>
      <c r="F11" s="1"/>
      <c r="G11" s="43" t="s">
        <v>170</v>
      </c>
      <c r="H11" s="87">
        <f>'Tues AM'!S9</f>
        <v>3060.0499999999997</v>
      </c>
      <c r="I11" s="87">
        <f>'Tues PM'!S9</f>
        <v>643.61</v>
      </c>
      <c r="J11" s="85">
        <f>H11+I11</f>
        <v>3703.66</v>
      </c>
      <c r="K11" s="51"/>
      <c r="L11" s="1"/>
      <c r="M11" s="43" t="s">
        <v>170</v>
      </c>
      <c r="N11" s="87">
        <f>'Wed AM'!S9</f>
        <v>3110.7799999999997</v>
      </c>
      <c r="O11" s="87">
        <f>'Wed PM'!S9</f>
        <v>767.63000000000011</v>
      </c>
      <c r="P11" s="85">
        <f>N11+O11</f>
        <v>3878.41</v>
      </c>
      <c r="Q11" s="110"/>
      <c r="S11" s="107"/>
    </row>
    <row r="12" spans="1:21">
      <c r="A12" s="65" t="s">
        <v>171</v>
      </c>
      <c r="B12" s="84">
        <f>'Mon AM'!S10</f>
        <v>1095.02</v>
      </c>
      <c r="C12" s="52">
        <f>'Mon PM'!S10</f>
        <v>249.57999999999998</v>
      </c>
      <c r="D12" s="90">
        <f>B12+C12</f>
        <v>1344.6</v>
      </c>
      <c r="E12" s="51"/>
      <c r="F12" s="1"/>
      <c r="G12" s="65" t="s">
        <v>171</v>
      </c>
      <c r="H12" s="84">
        <f>'Tues AM'!S10</f>
        <v>792.47999999999979</v>
      </c>
      <c r="I12" s="52">
        <f>'Tues PM'!S10</f>
        <v>153.25</v>
      </c>
      <c r="J12" s="90">
        <f>H12+I12</f>
        <v>945.72999999999979</v>
      </c>
      <c r="K12" s="51"/>
      <c r="L12" s="1"/>
      <c r="M12" s="65" t="s">
        <v>171</v>
      </c>
      <c r="N12" s="52">
        <f>'Wed AM'!S10</f>
        <v>1858.94</v>
      </c>
      <c r="O12" s="52">
        <f>'Wed PM'!S10</f>
        <v>233.32999999999998</v>
      </c>
      <c r="P12" s="90">
        <f>N12+O12</f>
        <v>2092.27</v>
      </c>
      <c r="Q12" s="110"/>
      <c r="S12" s="107"/>
    </row>
    <row r="13" spans="1:21">
      <c r="A13" s="53" t="s">
        <v>13</v>
      </c>
      <c r="B13" s="88">
        <f>'Mon AM'!S11</f>
        <v>0</v>
      </c>
      <c r="C13" s="88">
        <f>'Mon PM'!S11</f>
        <v>0</v>
      </c>
      <c r="D13" s="86">
        <f>B13+C13</f>
        <v>0</v>
      </c>
      <c r="E13" s="51"/>
      <c r="F13" s="1"/>
      <c r="G13" s="53" t="s">
        <v>13</v>
      </c>
      <c r="H13" s="88">
        <f>'Tues AM'!S11</f>
        <v>0</v>
      </c>
      <c r="I13" s="88">
        <f>'Tues PM'!S11</f>
        <v>0</v>
      </c>
      <c r="J13" s="86">
        <f>H13+I13</f>
        <v>0</v>
      </c>
      <c r="K13" s="51"/>
      <c r="L13" s="1"/>
      <c r="M13" s="53" t="s">
        <v>13</v>
      </c>
      <c r="N13" s="88">
        <f>'Wed AM'!S11</f>
        <v>0</v>
      </c>
      <c r="O13" s="88">
        <f>'Wed PM'!S11</f>
        <v>0</v>
      </c>
      <c r="P13" s="86">
        <f>N13+O13</f>
        <v>0</v>
      </c>
      <c r="Q13" s="110"/>
      <c r="S13" s="107"/>
    </row>
    <row r="14" spans="1:21">
      <c r="A14" s="54"/>
      <c r="B14" s="37"/>
      <c r="C14" s="37"/>
      <c r="D14" s="1"/>
      <c r="E14" s="110"/>
      <c r="F14" s="1"/>
      <c r="G14" s="54"/>
      <c r="H14" s="37"/>
      <c r="I14" s="37"/>
      <c r="J14" s="1"/>
      <c r="K14" s="110"/>
      <c r="L14" s="1"/>
      <c r="M14" s="54"/>
      <c r="N14" s="37"/>
      <c r="O14" s="37"/>
      <c r="P14" s="1"/>
      <c r="Q14" s="110"/>
      <c r="S14" s="107"/>
    </row>
    <row r="15" spans="1:21">
      <c r="A15" s="43" t="s">
        <v>172</v>
      </c>
      <c r="B15" s="55">
        <f>B9-B11-B12-B13</f>
        <v>-544.77000000000044</v>
      </c>
      <c r="C15" s="55">
        <f>C9-C11-C12-C13</f>
        <v>8.4200000000000159</v>
      </c>
      <c r="D15" s="56">
        <f>B15+C15</f>
        <v>-536.35000000000036</v>
      </c>
      <c r="E15" s="49"/>
      <c r="F15" s="1"/>
      <c r="G15" s="43" t="s">
        <v>172</v>
      </c>
      <c r="H15" s="55">
        <f>H9-H11-H12-H13</f>
        <v>-641.52999999999952</v>
      </c>
      <c r="I15" s="55">
        <f>I9-I11-I12-I13</f>
        <v>60.639999999999986</v>
      </c>
      <c r="J15" s="56">
        <f>H15+I15</f>
        <v>-580.88999999999953</v>
      </c>
      <c r="K15" s="49"/>
      <c r="L15" s="1"/>
      <c r="M15" s="43" t="s">
        <v>172</v>
      </c>
      <c r="N15" s="55">
        <f>N9-N11-N12-N13</f>
        <v>-1146.3199999999997</v>
      </c>
      <c r="O15" s="55">
        <f>O9-O11-O12-O13</f>
        <v>190.78999999999991</v>
      </c>
      <c r="P15" s="56">
        <f>N15+O15</f>
        <v>-955.52999999999975</v>
      </c>
      <c r="Q15" s="110"/>
      <c r="S15" s="107"/>
      <c r="T15" s="107"/>
    </row>
    <row r="16" spans="1:21">
      <c r="A16" s="53" t="s">
        <v>173</v>
      </c>
      <c r="B16" s="57">
        <f>B7+B15+B8</f>
        <v>-408.77000000000044</v>
      </c>
      <c r="C16" s="57">
        <f>C7+C15+C8</f>
        <v>44.170000000000016</v>
      </c>
      <c r="D16" s="48">
        <f>B16+C16</f>
        <v>-364.60000000000042</v>
      </c>
      <c r="E16" s="49"/>
      <c r="F16" s="1"/>
      <c r="G16" s="53" t="s">
        <v>173</v>
      </c>
      <c r="H16" s="57">
        <f>H7+H15+H8</f>
        <v>-489.02999999999952</v>
      </c>
      <c r="I16" s="57">
        <f>I7+I15+I8</f>
        <v>96.389999999999986</v>
      </c>
      <c r="J16" s="48">
        <f>H16+I16</f>
        <v>-392.63999999999953</v>
      </c>
      <c r="K16" s="49"/>
      <c r="L16" s="1"/>
      <c r="M16" s="53" t="s">
        <v>173</v>
      </c>
      <c r="N16" s="57">
        <f>N7+N15+N8</f>
        <v>-975.06999999999971</v>
      </c>
      <c r="O16" s="57">
        <f>O7+O15+O8</f>
        <v>234.03999999999991</v>
      </c>
      <c r="P16" s="48">
        <f>N16+O16</f>
        <v>-741.02999999999975</v>
      </c>
      <c r="Q16" s="110"/>
      <c r="S16" s="107"/>
    </row>
    <row r="17" spans="1:21">
      <c r="A17" s="58"/>
      <c r="B17" s="197"/>
      <c r="C17" s="197"/>
      <c r="D17" s="197"/>
      <c r="E17" s="198"/>
      <c r="F17" s="1"/>
      <c r="G17" s="58"/>
      <c r="H17" s="197"/>
      <c r="I17" s="197"/>
      <c r="J17" s="197"/>
      <c r="K17" s="198"/>
      <c r="L17" s="1"/>
      <c r="M17" s="58"/>
      <c r="N17" s="197"/>
      <c r="O17" s="197"/>
      <c r="P17" s="197"/>
      <c r="Q17" s="198"/>
      <c r="S17" s="107"/>
      <c r="U17" s="107"/>
    </row>
    <row r="18" spans="1:21">
      <c r="A18" s="59"/>
      <c r="B18" s="191"/>
      <c r="C18" s="191"/>
      <c r="D18" s="191"/>
      <c r="E18" s="192"/>
      <c r="F18" s="112"/>
      <c r="G18" s="59"/>
      <c r="H18" s="191"/>
      <c r="I18" s="191"/>
      <c r="J18" s="191"/>
      <c r="K18" s="192"/>
      <c r="L18" s="112"/>
      <c r="M18" s="59"/>
      <c r="N18" s="191"/>
      <c r="O18" s="191"/>
      <c r="P18" s="191"/>
      <c r="Q18" s="192"/>
      <c r="T18" s="107"/>
    </row>
    <row r="19" spans="1:21">
      <c r="A19" s="1"/>
      <c r="B19" s="1"/>
      <c r="C19" s="1"/>
      <c r="D19" s="1"/>
      <c r="E19" s="110"/>
      <c r="F19" s="1"/>
      <c r="G19" s="1"/>
      <c r="H19" s="1"/>
      <c r="I19" s="1"/>
      <c r="J19" s="1"/>
      <c r="K19" s="110"/>
      <c r="L19" s="1"/>
      <c r="M19" s="1"/>
      <c r="N19" s="1"/>
      <c r="O19" s="1"/>
      <c r="P19" s="1"/>
      <c r="Q19" s="110"/>
    </row>
    <row r="20" spans="1:21">
      <c r="A20" s="38" t="s">
        <v>167</v>
      </c>
      <c r="B20" s="201">
        <f>B2+3</f>
        <v>45435</v>
      </c>
      <c r="C20" s="202"/>
      <c r="D20" s="203"/>
      <c r="E20" s="39"/>
      <c r="F20" s="1"/>
      <c r="G20" s="111" t="s">
        <v>167</v>
      </c>
      <c r="H20" s="201">
        <f>B2+4</f>
        <v>45436</v>
      </c>
      <c r="I20" s="202"/>
      <c r="J20" s="203"/>
      <c r="K20" s="39"/>
      <c r="L20" s="1"/>
      <c r="M20" s="38" t="s">
        <v>167</v>
      </c>
      <c r="N20" s="201">
        <f>B2+5</f>
        <v>45437</v>
      </c>
      <c r="O20" s="202"/>
      <c r="P20" s="203"/>
      <c r="Q20" s="110"/>
      <c r="T20" s="107"/>
    </row>
    <row r="21" spans="1:21">
      <c r="A21" s="80">
        <v>477</v>
      </c>
      <c r="B21" s="81" t="s">
        <v>3</v>
      </c>
      <c r="C21" s="82" t="s">
        <v>105</v>
      </c>
      <c r="D21" s="83" t="s">
        <v>59</v>
      </c>
      <c r="E21" s="41"/>
      <c r="F21" s="1"/>
      <c r="G21" s="91">
        <v>457</v>
      </c>
      <c r="H21" s="81" t="s">
        <v>3</v>
      </c>
      <c r="I21" s="82" t="s">
        <v>105</v>
      </c>
      <c r="J21" s="83" t="s">
        <v>59</v>
      </c>
      <c r="K21" s="41"/>
      <c r="L21" s="1"/>
      <c r="M21" s="80"/>
      <c r="N21" s="81" t="s">
        <v>3</v>
      </c>
      <c r="O21" s="82" t="s">
        <v>105</v>
      </c>
      <c r="P21" s="83" t="s">
        <v>59</v>
      </c>
      <c r="Q21" s="110"/>
    </row>
    <row r="22" spans="1:21">
      <c r="A22" s="43" t="s">
        <v>168</v>
      </c>
      <c r="B22" s="78">
        <f>'Thurs AM'!S4</f>
        <v>7436</v>
      </c>
      <c r="C22" s="78">
        <f>'Thurs PM'!S4</f>
        <v>2942</v>
      </c>
      <c r="D22" s="79">
        <f t="shared" ref="D22:D27" si="3">B22+C22</f>
        <v>10378</v>
      </c>
      <c r="E22" s="42"/>
      <c r="F22" s="1"/>
      <c r="G22" s="43" t="s">
        <v>168</v>
      </c>
      <c r="H22" s="78">
        <f>'Fri AM'!S4</f>
        <v>5891</v>
      </c>
      <c r="I22" s="78">
        <f>'Fri PM'!S4</f>
        <v>2273</v>
      </c>
      <c r="J22" s="79">
        <f t="shared" ref="J22:J27" si="4">H22+I22</f>
        <v>8164</v>
      </c>
      <c r="K22" s="42"/>
      <c r="L22" s="1"/>
      <c r="M22" s="43" t="s">
        <v>168</v>
      </c>
      <c r="N22" s="78">
        <f>'Sat AM'!S4</f>
        <v>0</v>
      </c>
      <c r="O22" s="78">
        <f>'Sat PM'!S4</f>
        <v>0</v>
      </c>
      <c r="P22" s="79">
        <f t="shared" ref="P22:P27" si="5">N22+O22</f>
        <v>0</v>
      </c>
      <c r="Q22" s="110"/>
    </row>
    <row r="23" spans="1:21">
      <c r="A23" s="44" t="s">
        <v>23</v>
      </c>
      <c r="B23" s="45">
        <f>'Thurs AM'!S5</f>
        <v>3132.5</v>
      </c>
      <c r="C23" s="45">
        <f>'Thurs PM'!S5</f>
        <v>1319.5</v>
      </c>
      <c r="D23" s="100">
        <f t="shared" si="3"/>
        <v>4452</v>
      </c>
      <c r="E23" s="94">
        <f>D23/D22</f>
        <v>0.42898439005588745</v>
      </c>
      <c r="F23" s="1"/>
      <c r="G23" s="44" t="s">
        <v>23</v>
      </c>
      <c r="H23" s="45">
        <f>'Fri AM'!S5</f>
        <v>2675</v>
      </c>
      <c r="I23" s="45">
        <f>'Fri PM'!S5</f>
        <v>1008.25</v>
      </c>
      <c r="J23" s="100">
        <f t="shared" si="4"/>
        <v>3683.25</v>
      </c>
      <c r="K23" s="94">
        <f>J23/J22</f>
        <v>0.45115752082312593</v>
      </c>
      <c r="L23" s="1"/>
      <c r="M23" s="44" t="s">
        <v>23</v>
      </c>
      <c r="N23" s="45">
        <f>'Sat AM'!S5</f>
        <v>0</v>
      </c>
      <c r="O23" s="45">
        <f>'Sat PM'!S5</f>
        <v>0</v>
      </c>
      <c r="P23" s="100">
        <f t="shared" si="5"/>
        <v>0</v>
      </c>
      <c r="Q23" s="94" t="e">
        <f>P23/P22</f>
        <v>#DIV/0!</v>
      </c>
      <c r="R23" t="s">
        <v>144</v>
      </c>
    </row>
    <row r="24" spans="1:21">
      <c r="A24" s="44" t="s">
        <v>8</v>
      </c>
      <c r="B24" s="45">
        <f>'Thurs AM'!S6</f>
        <v>244</v>
      </c>
      <c r="C24" s="45">
        <f>'Thurs PM'!S6</f>
        <v>116</v>
      </c>
      <c r="D24" s="100">
        <f t="shared" si="3"/>
        <v>360</v>
      </c>
      <c r="E24" s="42"/>
      <c r="F24" s="1"/>
      <c r="G24" s="44" t="s">
        <v>8</v>
      </c>
      <c r="H24" s="45">
        <f>'Fri AM'!S6</f>
        <v>268</v>
      </c>
      <c r="I24" s="45">
        <f>'Fri PM'!S6</f>
        <v>96</v>
      </c>
      <c r="J24" s="100">
        <f t="shared" si="4"/>
        <v>364</v>
      </c>
      <c r="K24" s="42"/>
      <c r="L24" s="1"/>
      <c r="M24" s="44" t="s">
        <v>8</v>
      </c>
      <c r="N24" s="45">
        <f>'Sat AM'!S6</f>
        <v>0</v>
      </c>
      <c r="O24" s="45">
        <f>'Sat PM'!S6</f>
        <v>0</v>
      </c>
      <c r="P24" s="100">
        <f t="shared" si="5"/>
        <v>0</v>
      </c>
      <c r="Q24" s="110"/>
      <c r="U24" s="107"/>
    </row>
    <row r="25" spans="1:21">
      <c r="A25" s="44" t="s">
        <v>9</v>
      </c>
      <c r="B25" s="45">
        <f>'Thurs AM'!S7</f>
        <v>77</v>
      </c>
      <c r="C25" s="45">
        <f>'Thurs PM'!S7</f>
        <v>8.25</v>
      </c>
      <c r="D25" s="100">
        <f t="shared" si="3"/>
        <v>85.25</v>
      </c>
      <c r="E25" s="42"/>
      <c r="F25" s="1"/>
      <c r="G25" s="44" t="s">
        <v>174</v>
      </c>
      <c r="H25" s="45">
        <f>'Fri AM'!S7</f>
        <v>27.5</v>
      </c>
      <c r="I25" s="45">
        <f>'Fri PM'!S7</f>
        <v>11</v>
      </c>
      <c r="J25" s="100">
        <f t="shared" si="4"/>
        <v>38.5</v>
      </c>
      <c r="K25" s="42"/>
      <c r="L25" s="1"/>
      <c r="M25" s="44" t="s">
        <v>9</v>
      </c>
      <c r="N25" s="45">
        <f>'Sat AM'!S7</f>
        <v>0</v>
      </c>
      <c r="O25" s="45">
        <f>'Sat PM'!S7</f>
        <v>0</v>
      </c>
      <c r="P25" s="100">
        <f t="shared" si="5"/>
        <v>0</v>
      </c>
      <c r="Q25" s="110"/>
    </row>
    <row r="26" spans="1:21">
      <c r="A26" s="44" t="s">
        <v>10</v>
      </c>
      <c r="B26" s="45">
        <f>'Thurs AM'!S8</f>
        <v>67.5</v>
      </c>
      <c r="C26" s="45">
        <f>'Thurs PM'!S8</f>
        <v>42.5</v>
      </c>
      <c r="D26" s="100">
        <f t="shared" si="3"/>
        <v>110</v>
      </c>
      <c r="E26" s="42"/>
      <c r="F26" s="1"/>
      <c r="G26" s="44" t="s">
        <v>10</v>
      </c>
      <c r="H26" s="45">
        <f>'Fri AM'!S8</f>
        <v>75</v>
      </c>
      <c r="I26" s="45">
        <f>'Fri PM'!S8</f>
        <v>30</v>
      </c>
      <c r="J26" s="100">
        <f t="shared" si="4"/>
        <v>105</v>
      </c>
      <c r="K26" s="42"/>
      <c r="L26" s="1"/>
      <c r="M26" s="44" t="s">
        <v>10</v>
      </c>
      <c r="N26" s="45">
        <f>'Sat AM'!S8</f>
        <v>0</v>
      </c>
      <c r="O26" s="45">
        <f>'Sat PM'!S8</f>
        <v>0</v>
      </c>
      <c r="P26" s="100">
        <f t="shared" si="5"/>
        <v>0</v>
      </c>
      <c r="Q26" s="110"/>
    </row>
    <row r="27" spans="1:21">
      <c r="A27" s="46" t="s">
        <v>169</v>
      </c>
      <c r="B27" s="47">
        <f>B23+B24</f>
        <v>3376.5</v>
      </c>
      <c r="C27" s="47">
        <f>C23+C24</f>
        <v>1435.5</v>
      </c>
      <c r="D27" s="101">
        <f t="shared" si="3"/>
        <v>4812</v>
      </c>
      <c r="E27" s="49"/>
      <c r="F27" s="1"/>
      <c r="G27" s="46" t="s">
        <v>169</v>
      </c>
      <c r="H27" s="47">
        <f>H23+H24</f>
        <v>2943</v>
      </c>
      <c r="I27" s="47">
        <f>I23+I24</f>
        <v>1104.25</v>
      </c>
      <c r="J27" s="101">
        <f t="shared" si="4"/>
        <v>4047.25</v>
      </c>
      <c r="K27" s="49"/>
      <c r="L27" s="1"/>
      <c r="M27" s="46" t="s">
        <v>169</v>
      </c>
      <c r="N27" s="47">
        <f>N23+N24</f>
        <v>0</v>
      </c>
      <c r="O27" s="47">
        <f>O23+O24</f>
        <v>0</v>
      </c>
      <c r="P27" s="101">
        <f t="shared" si="5"/>
        <v>0</v>
      </c>
      <c r="Q27" s="110"/>
    </row>
    <row r="28" spans="1:21">
      <c r="A28" s="50"/>
      <c r="B28" s="37"/>
      <c r="C28" s="37"/>
      <c r="D28" s="37"/>
      <c r="E28" s="42"/>
      <c r="F28" s="1"/>
      <c r="G28" s="50"/>
      <c r="H28" s="37"/>
      <c r="I28" s="37"/>
      <c r="J28" s="37"/>
      <c r="K28" s="42"/>
      <c r="L28" s="1"/>
      <c r="M28" s="50"/>
      <c r="N28" s="37"/>
      <c r="O28" s="37"/>
      <c r="P28" s="37"/>
      <c r="Q28" s="110"/>
      <c r="S28" t="s">
        <v>144</v>
      </c>
      <c r="T28" t="s">
        <v>144</v>
      </c>
    </row>
    <row r="29" spans="1:21">
      <c r="A29" s="43" t="s">
        <v>170</v>
      </c>
      <c r="B29" s="87">
        <f>'Thurs AM'!S9</f>
        <v>3728.3100000000004</v>
      </c>
      <c r="C29" s="87">
        <f>'Thurs PM'!S9</f>
        <v>1744.22</v>
      </c>
      <c r="D29" s="85">
        <f>B29+C29</f>
        <v>5472.5300000000007</v>
      </c>
      <c r="E29" s="51"/>
      <c r="F29" s="1"/>
      <c r="G29" s="43" t="s">
        <v>170</v>
      </c>
      <c r="H29" s="87">
        <f>'Fri AM'!S9</f>
        <v>2291.06</v>
      </c>
      <c r="I29" s="87">
        <f>'Fri PM'!S9</f>
        <v>963.54000000000008</v>
      </c>
      <c r="J29" s="85">
        <f>H29+I29</f>
        <v>3254.6</v>
      </c>
      <c r="K29" s="51"/>
      <c r="L29" s="1"/>
      <c r="M29" s="43" t="s">
        <v>170</v>
      </c>
      <c r="N29" s="87">
        <f>'Sat AM'!S9</f>
        <v>0</v>
      </c>
      <c r="O29" s="87">
        <f>'Sat PM'!S9</f>
        <v>0</v>
      </c>
      <c r="P29" s="85">
        <f>N29+O29</f>
        <v>0</v>
      </c>
      <c r="Q29" s="110"/>
    </row>
    <row r="30" spans="1:21">
      <c r="A30" s="65" t="s">
        <v>171</v>
      </c>
      <c r="B30" s="84">
        <f>'Thurs AM'!S10</f>
        <v>1175.1300000000001</v>
      </c>
      <c r="C30" s="52">
        <f>'Thurs PM'!S10</f>
        <v>656.04</v>
      </c>
      <c r="D30" s="90">
        <f>B30+C30</f>
        <v>1831.17</v>
      </c>
      <c r="E30" s="51"/>
      <c r="F30" s="1"/>
      <c r="G30" s="65" t="s">
        <v>171</v>
      </c>
      <c r="H30" s="84">
        <f>'Fri AM'!S10</f>
        <v>637.41999999999996</v>
      </c>
      <c r="I30" s="52">
        <f>'Fri PM'!S10</f>
        <v>303.06</v>
      </c>
      <c r="J30" s="90">
        <f>H30+I30</f>
        <v>940.48</v>
      </c>
      <c r="K30" s="51"/>
      <c r="L30" s="1"/>
      <c r="M30" s="65" t="s">
        <v>171</v>
      </c>
      <c r="N30" s="52">
        <f>'Sat AM'!S10</f>
        <v>0</v>
      </c>
      <c r="O30" s="52">
        <f>'Sat PM'!S10</f>
        <v>0</v>
      </c>
      <c r="P30" s="90">
        <f>N30+O30</f>
        <v>0</v>
      </c>
      <c r="Q30" s="110"/>
      <c r="R30" t="s">
        <v>144</v>
      </c>
    </row>
    <row r="31" spans="1:21">
      <c r="A31" s="53" t="s">
        <v>13</v>
      </c>
      <c r="B31" s="88">
        <f>'Thurs AM'!S11</f>
        <v>250</v>
      </c>
      <c r="C31" s="88">
        <f>'Thurs PM'!S11</f>
        <v>0</v>
      </c>
      <c r="D31" s="86">
        <f>B31+C31</f>
        <v>250</v>
      </c>
      <c r="E31" s="51"/>
      <c r="F31" s="1"/>
      <c r="G31" s="53" t="s">
        <v>13</v>
      </c>
      <c r="H31" s="88">
        <f>'Fri AM'!S11</f>
        <v>188</v>
      </c>
      <c r="I31" s="88">
        <f>'Fri PM'!S11</f>
        <v>0</v>
      </c>
      <c r="J31" s="86">
        <f>H31+I31</f>
        <v>188</v>
      </c>
      <c r="K31" s="51"/>
      <c r="L31" s="1"/>
      <c r="M31" s="53" t="s">
        <v>13</v>
      </c>
      <c r="N31" s="88">
        <f>'Sat AM'!S11</f>
        <v>0</v>
      </c>
      <c r="O31" s="88">
        <f>'Sat PM'!S11</f>
        <v>0</v>
      </c>
      <c r="P31" s="86">
        <f>N31+O31</f>
        <v>0</v>
      </c>
      <c r="Q31" s="110"/>
    </row>
    <row r="32" spans="1:21">
      <c r="A32" s="54"/>
      <c r="B32" s="37"/>
      <c r="C32" s="37"/>
      <c r="D32" s="1"/>
      <c r="E32" s="110"/>
      <c r="F32" s="1"/>
      <c r="G32" s="54"/>
      <c r="H32" s="37"/>
      <c r="I32" s="37"/>
      <c r="J32" s="1"/>
      <c r="K32" s="110"/>
      <c r="L32" s="1"/>
      <c r="M32" s="54"/>
      <c r="N32" s="37"/>
      <c r="O32" s="37"/>
      <c r="P32" s="1"/>
      <c r="Q32" s="110"/>
    </row>
    <row r="33" spans="1:17">
      <c r="A33" s="43" t="s">
        <v>172</v>
      </c>
      <c r="B33" s="55">
        <f>B27-B29-B30-B31</f>
        <v>-1776.9400000000005</v>
      </c>
      <c r="C33" s="55">
        <f>C27-C29-C30-C31</f>
        <v>-964.76</v>
      </c>
      <c r="D33" s="56">
        <f>B33+C33</f>
        <v>-2741.7000000000007</v>
      </c>
      <c r="E33" s="60"/>
      <c r="F33" s="1"/>
      <c r="G33" s="43" t="s">
        <v>172</v>
      </c>
      <c r="H33" s="55">
        <f>H27-H29-H30-H31</f>
        <v>-173.4799999999999</v>
      </c>
      <c r="I33" s="55">
        <f>I27-I29-I30-I31</f>
        <v>-162.35000000000008</v>
      </c>
      <c r="J33" s="56">
        <f>H33+I33</f>
        <v>-335.83</v>
      </c>
      <c r="K33" s="60"/>
      <c r="L33" s="1"/>
      <c r="M33" s="43" t="s">
        <v>172</v>
      </c>
      <c r="N33" s="55">
        <f>N27-N29-N30-N31</f>
        <v>0</v>
      </c>
      <c r="O33" s="55">
        <f>O27-O29-O30-O31</f>
        <v>0</v>
      </c>
      <c r="P33" s="56">
        <f>N33+O33</f>
        <v>0</v>
      </c>
      <c r="Q33" s="61"/>
    </row>
    <row r="34" spans="1:17">
      <c r="A34" s="53" t="s">
        <v>173</v>
      </c>
      <c r="B34" s="57">
        <f>B25+B33+B26</f>
        <v>-1632.4400000000005</v>
      </c>
      <c r="C34" s="57">
        <f>C25+C33+C26</f>
        <v>-914.01</v>
      </c>
      <c r="D34" s="48">
        <f>B34+C34</f>
        <v>-2546.4500000000007</v>
      </c>
      <c r="E34" s="62"/>
      <c r="F34" s="1"/>
      <c r="G34" s="53" t="s">
        <v>173</v>
      </c>
      <c r="H34" s="57">
        <f>H25+H33+H26</f>
        <v>-70.979999999999905</v>
      </c>
      <c r="I34" s="57">
        <f>I25+I33+I26</f>
        <v>-121.35000000000008</v>
      </c>
      <c r="J34" s="48">
        <f>H34+I34</f>
        <v>-192.32999999999998</v>
      </c>
      <c r="K34" s="62"/>
      <c r="L34" s="1"/>
      <c r="M34" s="53" t="s">
        <v>173</v>
      </c>
      <c r="N34" s="57">
        <f>N25+N33+N26</f>
        <v>0</v>
      </c>
      <c r="O34" s="57">
        <f>O25+O33+O26</f>
        <v>0</v>
      </c>
      <c r="P34" s="48">
        <f>N34+O34</f>
        <v>0</v>
      </c>
      <c r="Q34" s="62"/>
    </row>
    <row r="35" spans="1:17">
      <c r="A35" s="58"/>
      <c r="B35" s="197"/>
      <c r="C35" s="197"/>
      <c r="D35" s="197"/>
      <c r="E35" s="198"/>
      <c r="F35" s="58"/>
      <c r="G35" s="58"/>
      <c r="H35" s="199"/>
      <c r="I35" s="199"/>
      <c r="J35" s="199"/>
      <c r="K35" s="200"/>
      <c r="L35" s="1"/>
      <c r="M35" s="58"/>
      <c r="N35" s="197"/>
      <c r="O35" s="197"/>
      <c r="P35" s="197"/>
      <c r="Q35" s="198"/>
    </row>
    <row r="36" spans="1:17">
      <c r="A36" s="58"/>
      <c r="B36" s="197"/>
      <c r="C36" s="197"/>
      <c r="D36" s="197"/>
      <c r="E36" s="198"/>
      <c r="F36" s="58"/>
      <c r="G36" s="58"/>
      <c r="H36" s="197"/>
      <c r="I36" s="197"/>
      <c r="J36" s="197"/>
      <c r="K36" s="198"/>
      <c r="L36" s="1"/>
      <c r="M36" s="58"/>
      <c r="N36" s="197"/>
      <c r="O36" s="197"/>
      <c r="P36" s="197"/>
      <c r="Q36" s="198"/>
    </row>
    <row r="37" spans="1:17">
      <c r="A37" s="70"/>
      <c r="B37" s="71"/>
      <c r="C37" s="71"/>
      <c r="D37" s="71"/>
      <c r="E37" s="72"/>
      <c r="F37" s="71"/>
      <c r="G37" s="71"/>
      <c r="H37" s="71"/>
      <c r="I37" s="71"/>
      <c r="J37" s="71"/>
      <c r="K37" s="72"/>
      <c r="L37" s="71"/>
      <c r="M37" s="71"/>
      <c r="N37" s="71"/>
      <c r="O37" s="71"/>
      <c r="P37" s="71"/>
      <c r="Q37" s="72"/>
    </row>
    <row r="38" spans="1:17">
      <c r="A38" s="38" t="s">
        <v>167</v>
      </c>
      <c r="B38" s="201">
        <f>B2+6</f>
        <v>45438</v>
      </c>
      <c r="C38" s="202"/>
      <c r="D38" s="203"/>
      <c r="E38" s="39"/>
      <c r="F38" s="1"/>
      <c r="G38" s="1"/>
      <c r="H38" s="204" t="s">
        <v>175</v>
      </c>
      <c r="I38" s="205"/>
      <c r="J38" s="38" t="s">
        <v>167</v>
      </c>
      <c r="K38" s="41"/>
      <c r="L38" s="206"/>
      <c r="M38" s="207"/>
      <c r="N38" s="190"/>
      <c r="O38" s="190"/>
      <c r="P38" s="1"/>
      <c r="Q38" s="110"/>
    </row>
    <row r="39" spans="1:17">
      <c r="A39" s="80"/>
      <c r="B39" s="108" t="s">
        <v>3</v>
      </c>
      <c r="C39" s="82" t="s">
        <v>105</v>
      </c>
      <c r="D39" s="83" t="s">
        <v>59</v>
      </c>
      <c r="E39" s="41"/>
      <c r="F39" s="1"/>
      <c r="G39" s="1"/>
      <c r="H39" s="208"/>
      <c r="I39" s="209"/>
      <c r="J39" s="40">
        <f>A3+G3+M3+A21+G21+M21+A39</f>
        <v>2309</v>
      </c>
      <c r="K39" s="110"/>
      <c r="L39" s="1"/>
      <c r="N39" s="18"/>
      <c r="O39" s="22"/>
      <c r="Q39" s="61"/>
    </row>
    <row r="40" spans="1:17">
      <c r="A40" s="43" t="s">
        <v>168</v>
      </c>
      <c r="B40" s="78">
        <f>'Sun AM'!S4</f>
        <v>0</v>
      </c>
      <c r="C40" s="78">
        <f>'Sun PM'!S4</f>
        <v>0</v>
      </c>
      <c r="D40" s="79">
        <f t="shared" ref="D40:D45" si="6">B40+C40</f>
        <v>0</v>
      </c>
      <c r="E40" s="42"/>
      <c r="F40" s="1"/>
      <c r="G40" s="1"/>
      <c r="H40" s="63" t="s">
        <v>168</v>
      </c>
      <c r="I40" s="64">
        <f t="shared" ref="I40:I45" si="7">D4+J4+P4+D22+J22+P22+D40</f>
        <v>45309.599999999999</v>
      </c>
      <c r="J40" s="37"/>
      <c r="K40" s="42"/>
      <c r="L40" s="1"/>
      <c r="N40" s="18"/>
      <c r="O40" s="22"/>
      <c r="Q40" s="61"/>
    </row>
    <row r="41" spans="1:17">
      <c r="A41" s="44" t="s">
        <v>23</v>
      </c>
      <c r="B41" s="45">
        <f>'Sun AM'!S5</f>
        <v>0</v>
      </c>
      <c r="C41" s="45">
        <f>'Sun PM'!S5</f>
        <v>0</v>
      </c>
      <c r="D41" s="100">
        <f t="shared" si="6"/>
        <v>0</v>
      </c>
      <c r="E41" s="94" t="e">
        <f>D41/D40</f>
        <v>#DIV/0!</v>
      </c>
      <c r="F41" s="1"/>
      <c r="G41" s="1"/>
      <c r="H41" s="65" t="s">
        <v>23</v>
      </c>
      <c r="I41" s="66">
        <f t="shared" si="7"/>
        <v>20034.150000000001</v>
      </c>
      <c r="J41" s="95">
        <f>I41/I40</f>
        <v>0.44216126383812704</v>
      </c>
      <c r="K41" s="42"/>
      <c r="L41" s="1"/>
      <c r="N41" s="18"/>
      <c r="O41" s="22"/>
      <c r="Q41" s="61"/>
    </row>
    <row r="42" spans="1:17">
      <c r="A42" s="44" t="s">
        <v>8</v>
      </c>
      <c r="B42" s="45">
        <f>'Sun AM'!S6</f>
        <v>0</v>
      </c>
      <c r="C42" s="45">
        <f>'Sun PM'!S6</f>
        <v>0</v>
      </c>
      <c r="D42" s="100">
        <f t="shared" si="6"/>
        <v>0</v>
      </c>
      <c r="E42" s="42"/>
      <c r="F42" s="1"/>
      <c r="G42" s="1"/>
      <c r="H42" s="65" t="s">
        <v>8</v>
      </c>
      <c r="I42" s="66">
        <f t="shared" si="7"/>
        <v>1784</v>
      </c>
      <c r="J42" s="37"/>
      <c r="K42" s="42"/>
      <c r="L42" s="1"/>
      <c r="N42" s="18"/>
      <c r="Q42" s="61"/>
    </row>
    <row r="43" spans="1:17">
      <c r="A43" s="44" t="s">
        <v>9</v>
      </c>
      <c r="B43" s="45">
        <f>'Sun AM'!S7</f>
        <v>0</v>
      </c>
      <c r="C43" s="45">
        <f>'Sun PM'!S7</f>
        <v>0</v>
      </c>
      <c r="D43" s="100">
        <f t="shared" si="6"/>
        <v>0</v>
      </c>
      <c r="E43" s="42"/>
      <c r="F43" s="1"/>
      <c r="G43" s="1"/>
      <c r="H43" s="89" t="s">
        <v>9</v>
      </c>
      <c r="I43" s="66">
        <f t="shared" si="7"/>
        <v>393.25</v>
      </c>
      <c r="J43" s="37"/>
      <c r="K43" s="42"/>
      <c r="L43" s="1"/>
      <c r="N43" s="18"/>
      <c r="O43" s="22"/>
      <c r="Q43" s="61"/>
    </row>
    <row r="44" spans="1:17">
      <c r="A44" s="44" t="s">
        <v>10</v>
      </c>
      <c r="B44" s="45">
        <f>'Sun AM'!S8</f>
        <v>0</v>
      </c>
      <c r="C44" s="45">
        <f>'Sun PM'!S8</f>
        <v>0</v>
      </c>
      <c r="D44" s="100">
        <f t="shared" si="6"/>
        <v>0</v>
      </c>
      <c r="E44" s="42"/>
      <c r="F44" s="1"/>
      <c r="G44" s="1"/>
      <c r="H44" s="44" t="s">
        <v>10</v>
      </c>
      <c r="I44" s="66">
        <f t="shared" si="7"/>
        <v>520</v>
      </c>
      <c r="J44" s="37"/>
      <c r="K44" s="42"/>
      <c r="L44" s="1"/>
      <c r="N44" s="18"/>
      <c r="O44" s="22"/>
      <c r="Q44" s="61"/>
    </row>
    <row r="45" spans="1:17">
      <c r="A45" s="46" t="s">
        <v>169</v>
      </c>
      <c r="B45" s="47">
        <f>B41+B42</f>
        <v>0</v>
      </c>
      <c r="C45" s="47">
        <f>C41+C42</f>
        <v>0</v>
      </c>
      <c r="D45" s="101">
        <f t="shared" si="6"/>
        <v>0</v>
      </c>
      <c r="E45" s="49"/>
      <c r="F45" s="1"/>
      <c r="G45" s="1"/>
      <c r="H45" s="67" t="s">
        <v>169</v>
      </c>
      <c r="I45" s="68">
        <f t="shared" si="7"/>
        <v>21818.15</v>
      </c>
      <c r="J45" s="73"/>
      <c r="K45" s="49"/>
      <c r="L45" s="1"/>
      <c r="Q45" s="61"/>
    </row>
    <row r="46" spans="1:17">
      <c r="A46" s="50"/>
      <c r="B46" s="37"/>
      <c r="C46" s="37"/>
      <c r="D46" s="37"/>
      <c r="E46" s="42"/>
      <c r="F46" s="1"/>
      <c r="G46" s="1"/>
      <c r="H46" s="50"/>
      <c r="I46" s="37"/>
      <c r="J46" s="37"/>
      <c r="K46" s="42"/>
      <c r="L46" s="1"/>
      <c r="Q46" s="61"/>
    </row>
    <row r="47" spans="1:17">
      <c r="A47" s="43" t="s">
        <v>170</v>
      </c>
      <c r="B47" s="87">
        <f>'Sun AM'!S9</f>
        <v>0</v>
      </c>
      <c r="C47" s="87">
        <f>'Sun PM'!S9</f>
        <v>0</v>
      </c>
      <c r="D47" s="85">
        <f>B47+C47</f>
        <v>0</v>
      </c>
      <c r="E47" s="51"/>
      <c r="F47" s="1"/>
      <c r="G47" s="1"/>
      <c r="H47" s="63" t="s">
        <v>170</v>
      </c>
      <c r="I47" s="64">
        <f>D11+J11+P11+D29+J29+P29+D47</f>
        <v>19376.2</v>
      </c>
      <c r="J47" s="74"/>
      <c r="K47" s="51"/>
      <c r="L47" s="1"/>
      <c r="Q47" s="61"/>
    </row>
    <row r="48" spans="1:17">
      <c r="A48" s="65" t="s">
        <v>171</v>
      </c>
      <c r="B48" s="52">
        <f>'Sun AM'!S10</f>
        <v>0</v>
      </c>
      <c r="C48" s="52">
        <f>'Sun PM'!S10</f>
        <v>0</v>
      </c>
      <c r="D48" s="90">
        <f>B48+C48</f>
        <v>0</v>
      </c>
      <c r="E48" s="51"/>
      <c r="F48" s="1"/>
      <c r="G48" s="1"/>
      <c r="H48" s="65" t="s">
        <v>171</v>
      </c>
      <c r="I48" s="66">
        <f>D12+J12+P12+D30+J30+P30+D48</f>
        <v>7154.25</v>
      </c>
      <c r="J48" s="74"/>
      <c r="K48" s="51"/>
      <c r="L48" s="1"/>
      <c r="M48" s="195"/>
      <c r="N48" s="195"/>
      <c r="O48" s="195"/>
      <c r="P48" s="195"/>
      <c r="Q48" s="196"/>
    </row>
    <row r="49" spans="1:17">
      <c r="A49" s="53" t="s">
        <v>13</v>
      </c>
      <c r="B49" s="88">
        <f>'Sun AM'!S11</f>
        <v>0</v>
      </c>
      <c r="C49" s="88">
        <f>'Sun PM'!S11</f>
        <v>0</v>
      </c>
      <c r="D49" s="86">
        <f>B49+C49</f>
        <v>0</v>
      </c>
      <c r="E49" s="51"/>
      <c r="F49" s="1"/>
      <c r="G49" s="1"/>
      <c r="H49" s="69" t="s">
        <v>13</v>
      </c>
      <c r="I49" s="68">
        <f>D13+J13+P13+D31+J31+P31+D49</f>
        <v>438</v>
      </c>
      <c r="J49" s="74"/>
      <c r="K49" s="51"/>
      <c r="L49" s="1"/>
      <c r="M49" s="195"/>
      <c r="N49" s="195"/>
      <c r="O49" s="195"/>
      <c r="P49" s="195"/>
      <c r="Q49" s="196"/>
    </row>
    <row r="50" spans="1:17">
      <c r="A50" s="54"/>
      <c r="B50" s="37"/>
      <c r="C50" s="37"/>
      <c r="D50" s="1"/>
      <c r="E50" s="110"/>
      <c r="F50" s="1"/>
      <c r="G50" s="1"/>
      <c r="H50" s="54"/>
      <c r="I50" s="37"/>
      <c r="J50" s="1"/>
      <c r="K50" s="110"/>
      <c r="L50" s="1"/>
      <c r="M50" s="195"/>
      <c r="N50" s="195"/>
      <c r="O50" s="195"/>
      <c r="P50" s="195"/>
      <c r="Q50" s="196"/>
    </row>
    <row r="51" spans="1:17">
      <c r="A51" s="43" t="s">
        <v>172</v>
      </c>
      <c r="B51" s="55">
        <f>B45-B47-B48-B49</f>
        <v>0</v>
      </c>
      <c r="C51" s="55">
        <f>C45-C47-C48-C49</f>
        <v>0</v>
      </c>
      <c r="D51" s="56">
        <f>B51+C51</f>
        <v>0</v>
      </c>
      <c r="E51" s="49"/>
      <c r="F51" s="1"/>
      <c r="G51" s="1"/>
      <c r="H51" s="63" t="s">
        <v>172</v>
      </c>
      <c r="I51" s="64">
        <f>D15+J15+P15+D33+J33+P33+D51</f>
        <v>-5150.3</v>
      </c>
      <c r="J51" s="73"/>
      <c r="K51" s="49"/>
      <c r="L51" s="1"/>
      <c r="M51" s="195"/>
      <c r="N51" s="195"/>
      <c r="O51" s="195"/>
      <c r="P51" s="195"/>
      <c r="Q51" s="196"/>
    </row>
    <row r="52" spans="1:17">
      <c r="A52" s="53" t="s">
        <v>173</v>
      </c>
      <c r="B52" s="57">
        <f>B43+B51+B44</f>
        <v>0</v>
      </c>
      <c r="C52" s="57">
        <f>C43+C51+C44</f>
        <v>0</v>
      </c>
      <c r="D52" s="48">
        <f>B52+C52</f>
        <v>0</v>
      </c>
      <c r="E52" s="49"/>
      <c r="F52" s="1"/>
      <c r="G52" s="1"/>
      <c r="H52" s="69" t="s">
        <v>173</v>
      </c>
      <c r="I52" s="68">
        <f>D16+J16+P16+D34+J34+P34+D52</f>
        <v>-4237.05</v>
      </c>
      <c r="J52" s="75" t="s">
        <v>176</v>
      </c>
      <c r="K52" s="49"/>
      <c r="L52" s="1"/>
      <c r="M52" s="195"/>
      <c r="N52" s="195"/>
      <c r="O52" s="195"/>
      <c r="P52" s="195"/>
      <c r="Q52" s="196"/>
    </row>
    <row r="53" spans="1:17">
      <c r="A53" s="76"/>
      <c r="B53" s="197"/>
      <c r="C53" s="197"/>
      <c r="D53" s="197"/>
      <c r="E53" s="198"/>
      <c r="F53" s="1"/>
      <c r="G53" s="1"/>
      <c r="H53" s="1"/>
      <c r="I53" s="1"/>
      <c r="J53" s="1"/>
      <c r="K53" s="110"/>
      <c r="L53" s="1"/>
      <c r="M53" s="195"/>
      <c r="N53" s="195"/>
      <c r="O53" s="195"/>
      <c r="P53" s="195"/>
      <c r="Q53" s="196"/>
    </row>
    <row r="54" spans="1:17">
      <c r="A54" s="77"/>
      <c r="B54" s="191"/>
      <c r="C54" s="191"/>
      <c r="D54" s="191"/>
      <c r="E54" s="192"/>
      <c r="F54" s="112"/>
      <c r="G54" s="112"/>
      <c r="H54" s="112"/>
      <c r="I54" s="112"/>
      <c r="J54" s="112"/>
      <c r="K54" s="113"/>
      <c r="L54" s="112"/>
      <c r="M54" s="193"/>
      <c r="N54" s="193"/>
      <c r="O54" s="193"/>
      <c r="P54" s="193"/>
      <c r="Q54" s="194"/>
    </row>
    <row r="56" spans="1:17">
      <c r="N56" t="s">
        <v>177</v>
      </c>
    </row>
  </sheetData>
  <mergeCells count="32">
    <mergeCell ref="B2:D2"/>
    <mergeCell ref="H2:J2"/>
    <mergeCell ref="N2:P2"/>
    <mergeCell ref="B17:E17"/>
    <mergeCell ref="H17:K17"/>
    <mergeCell ref="N17:Q17"/>
    <mergeCell ref="B18:E18"/>
    <mergeCell ref="H18:K18"/>
    <mergeCell ref="N18:Q18"/>
    <mergeCell ref="B20:D20"/>
    <mergeCell ref="H20:J20"/>
    <mergeCell ref="N20:P20"/>
    <mergeCell ref="M48:Q48"/>
    <mergeCell ref="B35:E35"/>
    <mergeCell ref="H35:K35"/>
    <mergeCell ref="N35:Q35"/>
    <mergeCell ref="B36:E36"/>
    <mergeCell ref="H36:K36"/>
    <mergeCell ref="N36:Q36"/>
    <mergeCell ref="B38:D38"/>
    <mergeCell ref="H38:I38"/>
    <mergeCell ref="L38:M38"/>
    <mergeCell ref="N38:O38"/>
    <mergeCell ref="H39:I39"/>
    <mergeCell ref="B54:E54"/>
    <mergeCell ref="M54:Q54"/>
    <mergeCell ref="M49:Q49"/>
    <mergeCell ref="M50:Q50"/>
    <mergeCell ref="M51:Q51"/>
    <mergeCell ref="M52:Q52"/>
    <mergeCell ref="B53:E53"/>
    <mergeCell ref="M53:Q53"/>
  </mergeCells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1"/>
  <sheetViews>
    <sheetView showGridLines="0" workbookViewId="0">
      <selection activeCell="Q26" sqref="Q26"/>
    </sheetView>
  </sheetViews>
  <sheetFormatPr defaultRowHeight="15"/>
  <cols>
    <col min="3" max="4" width="11.85546875" bestFit="1" customWidth="1"/>
    <col min="5" max="5" width="10.85546875" bestFit="1" customWidth="1"/>
    <col min="6" max="6" width="11.85546875" bestFit="1" customWidth="1"/>
    <col min="7" max="7" width="12.7109375" bestFit="1" customWidth="1"/>
    <col min="8" max="9" width="11.7109375" bestFit="1" customWidth="1"/>
    <col min="10" max="10" width="10.85546875" bestFit="1" customWidth="1"/>
    <col min="13" max="13" width="13.28515625" bestFit="1" customWidth="1"/>
    <col min="19" max="19" width="10.85546875" bestFit="1" customWidth="1"/>
  </cols>
  <sheetData>
    <row r="1" spans="1:19">
      <c r="A1" s="114" t="s">
        <v>178</v>
      </c>
      <c r="B1" s="115" t="s">
        <v>179</v>
      </c>
      <c r="C1" s="115" t="s">
        <v>180</v>
      </c>
      <c r="D1" s="115" t="s">
        <v>181</v>
      </c>
      <c r="E1" s="115" t="s">
        <v>182</v>
      </c>
      <c r="F1" s="115" t="s">
        <v>183</v>
      </c>
      <c r="G1" s="115" t="s">
        <v>11</v>
      </c>
      <c r="H1" s="115" t="s">
        <v>12</v>
      </c>
      <c r="I1" s="115" t="s">
        <v>184</v>
      </c>
      <c r="J1" s="115" t="s">
        <v>185</v>
      </c>
      <c r="K1" s="115" t="s">
        <v>9</v>
      </c>
      <c r="L1" s="116" t="s">
        <v>186</v>
      </c>
      <c r="M1" s="117" t="s">
        <v>187</v>
      </c>
      <c r="N1" s="213" t="s">
        <v>188</v>
      </c>
      <c r="O1" s="214"/>
    </row>
    <row r="2" spans="1:19">
      <c r="A2" s="118"/>
      <c r="B2" s="119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1"/>
      <c r="N2" s="122" t="s">
        <v>189</v>
      </c>
      <c r="O2" s="123" t="s">
        <v>190</v>
      </c>
    </row>
    <row r="3" spans="1:19">
      <c r="A3" s="124" t="str">
        <f>'Weekly Summary'!B2</f>
        <v>5/20</v>
      </c>
      <c r="B3" s="125" t="s">
        <v>3</v>
      </c>
      <c r="C3" s="126">
        <f>'Weekly Summary'!B4</f>
        <v>6123</v>
      </c>
      <c r="D3" s="126">
        <f>'Weekly Summary'!B5</f>
        <v>2771.25</v>
      </c>
      <c r="E3" s="126">
        <f>'Weekly Summary'!B6</f>
        <v>252</v>
      </c>
      <c r="F3" s="127">
        <f>SUM(D3:E3)</f>
        <v>3023.25</v>
      </c>
      <c r="G3" s="126">
        <f>-'Weekly Summary'!B11</f>
        <v>-2473.0000000000005</v>
      </c>
      <c r="H3" s="126">
        <f>-'Weekly Summary'!B12</f>
        <v>-1095.02</v>
      </c>
      <c r="I3" s="126">
        <f>-'Weekly Summary'!B13</f>
        <v>0</v>
      </c>
      <c r="J3" s="127">
        <f>SUM(F3:I3)</f>
        <v>-544.77000000000044</v>
      </c>
      <c r="K3" s="128">
        <f>'Weekly Summary'!B7</f>
        <v>66</v>
      </c>
      <c r="L3" s="129">
        <f>'Weekly Summary'!B8</f>
        <v>70</v>
      </c>
      <c r="M3" s="130">
        <f>SUM(J3:L3)</f>
        <v>-408.77000000000044</v>
      </c>
      <c r="N3" s="131">
        <f>'Mon AM'!S18</f>
        <v>20</v>
      </c>
      <c r="O3" s="132">
        <f>'Mon AM'!S19</f>
        <v>7</v>
      </c>
    </row>
    <row r="4" spans="1:19">
      <c r="A4" s="133"/>
      <c r="B4" s="134" t="s">
        <v>105</v>
      </c>
      <c r="C4" s="135">
        <f>'Weekly Summary'!C4</f>
        <v>1654</v>
      </c>
      <c r="D4" s="135">
        <f>'Weekly Summary'!C5</f>
        <v>770</v>
      </c>
      <c r="E4" s="135">
        <f>'Weekly Summary'!C6</f>
        <v>82</v>
      </c>
      <c r="F4" s="136">
        <f>SUM(D4:E4)</f>
        <v>852</v>
      </c>
      <c r="G4" s="135">
        <f>-'Weekly Summary'!C11</f>
        <v>-594</v>
      </c>
      <c r="H4" s="135">
        <f>-'Weekly Summary'!C12</f>
        <v>-249.57999999999998</v>
      </c>
      <c r="I4" s="135">
        <f>-'Weekly Summary'!C13</f>
        <v>0</v>
      </c>
      <c r="J4" s="136">
        <f>SUM(F4:I4)</f>
        <v>8.4200000000000159</v>
      </c>
      <c r="K4" s="135">
        <f>'Weekly Summary'!C7</f>
        <v>8.25</v>
      </c>
      <c r="L4" s="137">
        <f>'Weekly Summary'!C8</f>
        <v>27.5</v>
      </c>
      <c r="M4" s="130">
        <f>SUM(J4:L4)</f>
        <v>44.170000000000016</v>
      </c>
      <c r="N4" s="138">
        <f>'Mon PM'!S18</f>
        <v>8</v>
      </c>
      <c r="O4" s="139">
        <f>'Mon PM'!S19</f>
        <v>2</v>
      </c>
    </row>
    <row r="5" spans="1:19">
      <c r="A5" s="140"/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141"/>
      <c r="N5" s="1"/>
      <c r="O5" s="142"/>
    </row>
    <row r="6" spans="1:19">
      <c r="A6" s="143" t="s">
        <v>183</v>
      </c>
      <c r="B6" s="144"/>
      <c r="C6" s="145">
        <f t="shared" ref="C6:M6" si="0">SUM(C3:C5)</f>
        <v>7777</v>
      </c>
      <c r="D6" s="145">
        <f t="shared" si="0"/>
        <v>3541.25</v>
      </c>
      <c r="E6" s="145">
        <f t="shared" si="0"/>
        <v>334</v>
      </c>
      <c r="F6" s="145">
        <f t="shared" si="0"/>
        <v>3875.25</v>
      </c>
      <c r="G6" s="145">
        <f t="shared" si="0"/>
        <v>-3067.0000000000005</v>
      </c>
      <c r="H6" s="145">
        <f t="shared" si="0"/>
        <v>-1344.6</v>
      </c>
      <c r="I6" s="145">
        <f t="shared" si="0"/>
        <v>0</v>
      </c>
      <c r="J6" s="145">
        <f t="shared" si="0"/>
        <v>-536.35000000000036</v>
      </c>
      <c r="K6" s="145">
        <f t="shared" si="0"/>
        <v>74.25</v>
      </c>
      <c r="L6" s="145">
        <f t="shared" si="0"/>
        <v>97.5</v>
      </c>
      <c r="M6" s="146">
        <f t="shared" si="0"/>
        <v>-364.60000000000042</v>
      </c>
      <c r="N6" s="147"/>
      <c r="O6" s="148"/>
      <c r="Q6">
        <f>'Mon AM'!S14+'Mon PM'!S14</f>
        <v>-361</v>
      </c>
    </row>
    <row r="7" spans="1:19">
      <c r="A7" s="149"/>
      <c r="B7" s="150"/>
      <c r="C7" s="120"/>
      <c r="D7" s="151">
        <f>D6/C6</f>
        <v>0.45534910633920533</v>
      </c>
      <c r="E7" s="120"/>
      <c r="F7" s="120"/>
      <c r="G7" s="120"/>
      <c r="H7" s="120"/>
      <c r="I7" s="120"/>
      <c r="J7" s="120"/>
      <c r="K7" s="120"/>
      <c r="L7" s="120"/>
      <c r="M7" s="121"/>
      <c r="N7" s="152" t="s">
        <v>189</v>
      </c>
      <c r="O7" s="153" t="s">
        <v>190</v>
      </c>
    </row>
    <row r="8" spans="1:19">
      <c r="A8" s="124">
        <f>A3+1</f>
        <v>45433</v>
      </c>
      <c r="B8" s="125" t="s">
        <v>3</v>
      </c>
      <c r="C8" s="170">
        <f>'Weekly Summary'!H4</f>
        <v>6685</v>
      </c>
      <c r="D8" s="126">
        <f>'Weekly Summary'!H5</f>
        <v>2953</v>
      </c>
      <c r="E8" s="128">
        <f>'Weekly Summary'!H6</f>
        <v>258</v>
      </c>
      <c r="F8" s="127">
        <f>SUM(D8:E8)</f>
        <v>3211</v>
      </c>
      <c r="G8" s="128">
        <f>-'Weekly Summary'!H11</f>
        <v>-3060.0499999999997</v>
      </c>
      <c r="H8" s="128">
        <f>-'Weekly Summary'!H12</f>
        <v>-792.47999999999979</v>
      </c>
      <c r="I8" s="128">
        <f>-'Weekly Summary'!H13</f>
        <v>0</v>
      </c>
      <c r="J8" s="127">
        <f>SUM(F8:I8)</f>
        <v>-641.52999999999952</v>
      </c>
      <c r="K8" s="128">
        <f>'Weekly Summary'!H7</f>
        <v>82.5</v>
      </c>
      <c r="L8" s="129">
        <f>'Weekly Summary'!H8</f>
        <v>70</v>
      </c>
      <c r="M8" s="130">
        <f>SUM(J8:L8)</f>
        <v>-489.02999999999952</v>
      </c>
      <c r="N8" s="131">
        <f>'Tues AM'!S18</f>
        <v>21</v>
      </c>
      <c r="O8" s="132">
        <f>'Tues AM'!S19</f>
        <v>10</v>
      </c>
    </row>
    <row r="9" spans="1:19">
      <c r="A9" s="133"/>
      <c r="B9" s="134" t="s">
        <v>105</v>
      </c>
      <c r="C9" s="135">
        <f>'Weekly Summary'!I4</f>
        <v>1766</v>
      </c>
      <c r="D9" s="135">
        <f>'Weekly Summary'!I5</f>
        <v>773.5</v>
      </c>
      <c r="E9" s="135">
        <f>'Weekly Summary'!I6</f>
        <v>84</v>
      </c>
      <c r="F9" s="136">
        <f>SUM(D9:E9)</f>
        <v>857.5</v>
      </c>
      <c r="G9" s="135">
        <f>-'Weekly Summary'!I11</f>
        <v>-643.61</v>
      </c>
      <c r="H9" s="135">
        <f>-'Weekly Summary'!I12</f>
        <v>-153.25</v>
      </c>
      <c r="I9" s="135">
        <f>-'Weekly Summary'!I13</f>
        <v>0</v>
      </c>
      <c r="J9" s="136">
        <f>SUM(F9:I9)</f>
        <v>60.639999999999986</v>
      </c>
      <c r="K9" s="135">
        <f>'Weekly Summary'!I7</f>
        <v>8.25</v>
      </c>
      <c r="L9" s="137">
        <f>'Weekly Summary'!I8</f>
        <v>27.5</v>
      </c>
      <c r="M9" s="130">
        <f>SUM(J9:L9)</f>
        <v>96.389999999999986</v>
      </c>
      <c r="N9" s="138">
        <f>'Tues PM'!S18</f>
        <v>7</v>
      </c>
      <c r="O9" s="139">
        <f>'Tues PM'!S19</f>
        <v>5</v>
      </c>
    </row>
    <row r="10" spans="1:19">
      <c r="A10" s="140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41"/>
      <c r="N10" s="156"/>
      <c r="O10" s="157"/>
    </row>
    <row r="11" spans="1:19">
      <c r="A11" s="143" t="s">
        <v>183</v>
      </c>
      <c r="B11" s="144"/>
      <c r="C11" s="145">
        <f t="shared" ref="C11:M11" si="1">SUM(C8:C10)</f>
        <v>8451</v>
      </c>
      <c r="D11" s="145">
        <f t="shared" si="1"/>
        <v>3726.5</v>
      </c>
      <c r="E11" s="145">
        <f t="shared" si="1"/>
        <v>342</v>
      </c>
      <c r="F11" s="145">
        <f t="shared" si="1"/>
        <v>4068.5</v>
      </c>
      <c r="G11" s="145">
        <f t="shared" si="1"/>
        <v>-3703.66</v>
      </c>
      <c r="H11" s="145">
        <f t="shared" si="1"/>
        <v>-945.72999999999979</v>
      </c>
      <c r="I11" s="145">
        <f t="shared" si="1"/>
        <v>0</v>
      </c>
      <c r="J11" s="145">
        <f t="shared" si="1"/>
        <v>-580.88999999999953</v>
      </c>
      <c r="K11" s="145">
        <f t="shared" si="1"/>
        <v>90.75</v>
      </c>
      <c r="L11" s="145">
        <f t="shared" si="1"/>
        <v>97.5</v>
      </c>
      <c r="M11" s="146">
        <f t="shared" si="1"/>
        <v>-392.63999999999953</v>
      </c>
      <c r="N11" s="158"/>
      <c r="O11" s="159"/>
      <c r="Q11">
        <f>'Tues AM'!S14+'Tues PM'!S14</f>
        <v>-396</v>
      </c>
    </row>
    <row r="12" spans="1:19">
      <c r="A12" s="149"/>
      <c r="B12" s="150"/>
      <c r="C12" s="120"/>
      <c r="D12" s="151">
        <f>D11/C11</f>
        <v>0.44095373328600168</v>
      </c>
      <c r="E12" s="120"/>
      <c r="F12" s="120"/>
      <c r="G12" s="120"/>
      <c r="H12" s="120"/>
      <c r="I12" s="120"/>
      <c r="J12" s="120"/>
      <c r="K12" s="120"/>
      <c r="L12" s="120"/>
      <c r="M12" s="121"/>
      <c r="N12" s="152" t="s">
        <v>189</v>
      </c>
      <c r="O12" s="153" t="s">
        <v>190</v>
      </c>
    </row>
    <row r="13" spans="1:19">
      <c r="A13" s="124">
        <f>A3+2</f>
        <v>45434</v>
      </c>
      <c r="B13" s="125" t="s">
        <v>3</v>
      </c>
      <c r="C13" s="128">
        <f>'Weekly Summary'!N4</f>
        <v>8064.6</v>
      </c>
      <c r="D13" s="128">
        <f>'Weekly Summary'!N5</f>
        <v>3555.4</v>
      </c>
      <c r="E13" s="128">
        <f>'Weekly Summary'!N6</f>
        <v>268</v>
      </c>
      <c r="F13" s="127">
        <f>SUM(D13:E13)</f>
        <v>3823.4</v>
      </c>
      <c r="G13" s="128">
        <f>-'Weekly Summary'!N11</f>
        <v>-3110.7799999999997</v>
      </c>
      <c r="H13" s="160">
        <f>-'Weekly Summary'!N12</f>
        <v>-1858.94</v>
      </c>
      <c r="I13" s="128">
        <f>-'Weekly Summary'!N13</f>
        <v>0</v>
      </c>
      <c r="J13" s="127">
        <f>SUM(F13:I13)</f>
        <v>-1146.3199999999997</v>
      </c>
      <c r="K13" s="128">
        <f>'Weekly Summary'!N7</f>
        <v>96.25</v>
      </c>
      <c r="L13" s="129">
        <f>'Weekly Summary'!N8</f>
        <v>75</v>
      </c>
      <c r="M13" s="130">
        <f>SUM(J13:L13)</f>
        <v>-975.06999999999971</v>
      </c>
      <c r="N13" s="154">
        <f>'Wed AM'!S18</f>
        <v>21</v>
      </c>
      <c r="O13" s="155">
        <f>'Wed AM'!S19</f>
        <v>9</v>
      </c>
    </row>
    <row r="14" spans="1:19">
      <c r="A14" s="133"/>
      <c r="B14" s="134" t="s">
        <v>105</v>
      </c>
      <c r="C14" s="135">
        <f>'Weekly Summary'!O4</f>
        <v>2475</v>
      </c>
      <c r="D14" s="135">
        <f>'Weekly Summary'!O5</f>
        <v>1075.75</v>
      </c>
      <c r="E14" s="135">
        <f>'Weekly Summary'!O6</f>
        <v>116</v>
      </c>
      <c r="F14" s="136">
        <f>SUM(D14:E14)</f>
        <v>1191.75</v>
      </c>
      <c r="G14" s="135">
        <f>-'Weekly Summary'!O11</f>
        <v>-767.63000000000011</v>
      </c>
      <c r="H14" s="135">
        <f>-'Weekly Summary'!O12</f>
        <v>-233.32999999999998</v>
      </c>
      <c r="I14" s="135">
        <f>-'Weekly Summary'!O13</f>
        <v>0</v>
      </c>
      <c r="J14" s="136">
        <f>SUM(F14:I14)</f>
        <v>190.78999999999991</v>
      </c>
      <c r="K14" s="135">
        <f>'Weekly Summary'!O7</f>
        <v>8.25</v>
      </c>
      <c r="L14" s="137">
        <f>'Weekly Summary'!O8</f>
        <v>35</v>
      </c>
      <c r="M14" s="130">
        <f>SUM(J14:L14)</f>
        <v>234.03999999999991</v>
      </c>
      <c r="N14" s="138">
        <f>'Wed PM'!S18</f>
        <v>10</v>
      </c>
      <c r="O14" s="139">
        <f>'Wed PM'!S19</f>
        <v>6</v>
      </c>
    </row>
    <row r="15" spans="1:19">
      <c r="A15" s="140"/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41"/>
      <c r="N15" s="158"/>
      <c r="O15" s="159"/>
    </row>
    <row r="16" spans="1:19">
      <c r="A16" s="143" t="s">
        <v>183</v>
      </c>
      <c r="B16" s="144"/>
      <c r="C16" s="145">
        <f t="shared" ref="C16:M16" si="2">SUM(C13:C15)</f>
        <v>10539.6</v>
      </c>
      <c r="D16" s="145">
        <f t="shared" si="2"/>
        <v>4631.1499999999996</v>
      </c>
      <c r="E16" s="145">
        <f t="shared" si="2"/>
        <v>384</v>
      </c>
      <c r="F16" s="145">
        <f t="shared" si="2"/>
        <v>5015.1499999999996</v>
      </c>
      <c r="G16" s="145">
        <f t="shared" si="2"/>
        <v>-3878.41</v>
      </c>
      <c r="H16" s="145">
        <f t="shared" si="2"/>
        <v>-2092.27</v>
      </c>
      <c r="I16" s="145">
        <f t="shared" si="2"/>
        <v>0</v>
      </c>
      <c r="J16" s="145">
        <f t="shared" si="2"/>
        <v>-955.52999999999975</v>
      </c>
      <c r="K16" s="145">
        <f t="shared" si="2"/>
        <v>104.5</v>
      </c>
      <c r="L16" s="145">
        <f t="shared" si="2"/>
        <v>110</v>
      </c>
      <c r="M16" s="146">
        <f t="shared" si="2"/>
        <v>-741.02999999999975</v>
      </c>
      <c r="N16" s="158"/>
      <c r="O16" s="159"/>
      <c r="Q16">
        <f>'Wed AM'!S14+'Wed PM'!S14</f>
        <v>-750</v>
      </c>
      <c r="S16" s="22">
        <f>M6+M11+M16</f>
        <v>-1498.2699999999998</v>
      </c>
    </row>
    <row r="17" spans="1:19">
      <c r="A17" s="149"/>
      <c r="B17" s="150"/>
      <c r="C17" s="120"/>
      <c r="D17" s="151">
        <f>D16/C16</f>
        <v>0.43940472124179281</v>
      </c>
      <c r="E17" s="120"/>
      <c r="F17" s="120"/>
      <c r="G17" s="120"/>
      <c r="H17" s="120"/>
      <c r="I17" s="120"/>
      <c r="J17" s="120"/>
      <c r="K17" s="120"/>
      <c r="L17" s="120"/>
      <c r="M17" s="121"/>
      <c r="N17" s="152" t="s">
        <v>189</v>
      </c>
      <c r="O17" s="153" t="s">
        <v>190</v>
      </c>
    </row>
    <row r="18" spans="1:19">
      <c r="A18" s="124">
        <f>A3+3</f>
        <v>45435</v>
      </c>
      <c r="B18" s="125" t="s">
        <v>3</v>
      </c>
      <c r="C18" s="128">
        <f>'Weekly Summary'!B22</f>
        <v>7436</v>
      </c>
      <c r="D18" s="128">
        <f>'Weekly Summary'!B23</f>
        <v>3132.5</v>
      </c>
      <c r="E18" s="128">
        <f>'Weekly Summary'!B24</f>
        <v>244</v>
      </c>
      <c r="F18" s="127">
        <f>SUM(D18:E18)</f>
        <v>3376.5</v>
      </c>
      <c r="G18" s="128">
        <f>-'Weekly Summary'!B29</f>
        <v>-3728.3100000000004</v>
      </c>
      <c r="H18" s="128">
        <f>-'Weekly Summary'!B30</f>
        <v>-1175.1300000000001</v>
      </c>
      <c r="I18" s="128">
        <f>-'Weekly Summary'!B31</f>
        <v>-250</v>
      </c>
      <c r="J18" s="127">
        <f>SUM(F18:I18)</f>
        <v>-1776.9400000000005</v>
      </c>
      <c r="K18" s="128">
        <f>'Weekly Summary'!B25</f>
        <v>77</v>
      </c>
      <c r="L18" s="129">
        <f>'Weekly Summary'!B26</f>
        <v>67.5</v>
      </c>
      <c r="M18" s="130">
        <f>SUM(J18:L18)</f>
        <v>-1632.4400000000005</v>
      </c>
      <c r="N18" s="154">
        <f>'Thurs AM'!S18</f>
        <v>20</v>
      </c>
      <c r="O18" s="155">
        <f>'Thurs AM'!S19</f>
        <v>9</v>
      </c>
    </row>
    <row r="19" spans="1:19">
      <c r="A19" s="133"/>
      <c r="B19" s="134" t="s">
        <v>105</v>
      </c>
      <c r="C19" s="135">
        <f>'Weekly Summary'!C22</f>
        <v>2942</v>
      </c>
      <c r="D19" s="135">
        <f>'Weekly Summary'!C23</f>
        <v>1319.5</v>
      </c>
      <c r="E19" s="135">
        <f>'Weekly Summary'!C24</f>
        <v>116</v>
      </c>
      <c r="F19" s="136">
        <f>SUM(D19:E19)</f>
        <v>1435.5</v>
      </c>
      <c r="G19" s="135">
        <f>-'Weekly Summary'!C29</f>
        <v>-1744.22</v>
      </c>
      <c r="H19" s="135">
        <f>-'Weekly Summary'!C30</f>
        <v>-656.04</v>
      </c>
      <c r="I19" s="135">
        <f>-'Weekly Summary'!C31</f>
        <v>0</v>
      </c>
      <c r="J19" s="136">
        <f>SUM(F19:I19)</f>
        <v>-964.76</v>
      </c>
      <c r="K19" s="135">
        <f>'Weekly Summary'!C25</f>
        <v>8.25</v>
      </c>
      <c r="L19" s="137">
        <f>'Weekly Summary'!C26</f>
        <v>42.5</v>
      </c>
      <c r="M19" s="130">
        <f>SUM(J19:L19)</f>
        <v>-914.01</v>
      </c>
      <c r="N19" s="138">
        <f>'Thurs PM'!S18</f>
        <v>11</v>
      </c>
      <c r="O19" s="139">
        <f>'Thurs PM'!S19</f>
        <v>6</v>
      </c>
    </row>
    <row r="20" spans="1:19">
      <c r="A20" s="140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41"/>
      <c r="N20" s="158"/>
      <c r="O20" s="159"/>
    </row>
    <row r="21" spans="1:19">
      <c r="A21" s="143" t="s">
        <v>183</v>
      </c>
      <c r="B21" s="144"/>
      <c r="C21" s="145">
        <f t="shared" ref="C21:M21" si="3">SUM(C18:C20)</f>
        <v>10378</v>
      </c>
      <c r="D21" s="145">
        <f t="shared" si="3"/>
        <v>4452</v>
      </c>
      <c r="E21" s="145">
        <f t="shared" si="3"/>
        <v>360</v>
      </c>
      <c r="F21" s="145">
        <f t="shared" si="3"/>
        <v>4812</v>
      </c>
      <c r="G21" s="145">
        <f t="shared" si="3"/>
        <v>-5472.5300000000007</v>
      </c>
      <c r="H21" s="145">
        <f t="shared" si="3"/>
        <v>-1831.17</v>
      </c>
      <c r="I21" s="145">
        <f t="shared" si="3"/>
        <v>-250</v>
      </c>
      <c r="J21" s="145">
        <f t="shared" si="3"/>
        <v>-2741.7000000000007</v>
      </c>
      <c r="K21" s="145">
        <f t="shared" si="3"/>
        <v>85.25</v>
      </c>
      <c r="L21" s="145">
        <f t="shared" si="3"/>
        <v>110</v>
      </c>
      <c r="M21" s="146">
        <f t="shared" si="3"/>
        <v>-2546.4500000000007</v>
      </c>
      <c r="N21" s="158"/>
      <c r="O21" s="159"/>
      <c r="Q21">
        <f>'Thurs AM'!S14+'Thurs PM'!S14</f>
        <v>-2544</v>
      </c>
    </row>
    <row r="22" spans="1:19">
      <c r="A22" s="149"/>
      <c r="B22" s="150"/>
      <c r="C22" s="120"/>
      <c r="D22" s="151">
        <f>D21/C21</f>
        <v>0.42898439005588745</v>
      </c>
      <c r="E22" s="120"/>
      <c r="F22" s="120"/>
      <c r="G22" s="120"/>
      <c r="H22" s="120"/>
      <c r="I22" s="120"/>
      <c r="J22" s="120"/>
      <c r="K22" s="120"/>
      <c r="L22" s="120"/>
      <c r="M22" s="121"/>
      <c r="N22" s="152" t="s">
        <v>189</v>
      </c>
      <c r="O22" s="153" t="s">
        <v>190</v>
      </c>
    </row>
    <row r="23" spans="1:19">
      <c r="A23" s="124">
        <f>A3+4</f>
        <v>45436</v>
      </c>
      <c r="B23" s="125" t="s">
        <v>3</v>
      </c>
      <c r="C23" s="128">
        <f>'Weekly Summary'!H22</f>
        <v>5891</v>
      </c>
      <c r="D23" s="128">
        <f>'Weekly Summary'!H23</f>
        <v>2675</v>
      </c>
      <c r="E23" s="128">
        <f>'Weekly Summary'!H24</f>
        <v>268</v>
      </c>
      <c r="F23" s="127">
        <f>SUM(D23:E23)</f>
        <v>2943</v>
      </c>
      <c r="G23" s="128">
        <f>-'Weekly Summary'!H29</f>
        <v>-2291.06</v>
      </c>
      <c r="H23" s="128">
        <f>-'Weekly Summary'!H30</f>
        <v>-637.41999999999996</v>
      </c>
      <c r="I23" s="128">
        <f>-'Weekly Summary'!H31</f>
        <v>-188</v>
      </c>
      <c r="J23" s="127">
        <f>SUM(F23:I23)</f>
        <v>-173.4799999999999</v>
      </c>
      <c r="K23" s="128">
        <f>'Weekly Summary'!H25</f>
        <v>27.5</v>
      </c>
      <c r="L23" s="129">
        <f>'Weekly Summary'!H26</f>
        <v>75</v>
      </c>
      <c r="M23" s="130">
        <f>SUM(J23:L23)</f>
        <v>-70.979999999999905</v>
      </c>
      <c r="N23" s="131">
        <f>'Fri AM'!S18</f>
        <v>21</v>
      </c>
      <c r="O23" s="132">
        <f>'Fri AM'!S19</f>
        <v>8</v>
      </c>
    </row>
    <row r="24" spans="1:19">
      <c r="A24" s="133"/>
      <c r="B24" s="134" t="s">
        <v>105</v>
      </c>
      <c r="C24" s="135">
        <f>'Weekly Summary'!I22</f>
        <v>2273</v>
      </c>
      <c r="D24" s="135">
        <f>'Weekly Summary'!I23</f>
        <v>1008.25</v>
      </c>
      <c r="E24" s="135">
        <f>'Weekly Summary'!I24</f>
        <v>96</v>
      </c>
      <c r="F24" s="136">
        <f>SUM(D24:E24)</f>
        <v>1104.25</v>
      </c>
      <c r="G24" s="135">
        <f>-'Weekly Summary'!I29</f>
        <v>-963.54000000000008</v>
      </c>
      <c r="H24" s="135">
        <f>-'Weekly Summary'!I30</f>
        <v>-303.06</v>
      </c>
      <c r="I24" s="135">
        <f>-'Weekly Summary'!I31</f>
        <v>0</v>
      </c>
      <c r="J24" s="136">
        <f>SUM(F24:I24)</f>
        <v>-162.35000000000008</v>
      </c>
      <c r="K24" s="135">
        <f>'Weekly Summary'!I25</f>
        <v>11</v>
      </c>
      <c r="L24" s="137">
        <f>'Weekly Summary'!I26</f>
        <v>30</v>
      </c>
      <c r="M24" s="130">
        <f>SUM(J24:L24)</f>
        <v>-121.35000000000008</v>
      </c>
      <c r="N24" s="138">
        <f>'Fri PM'!S18</f>
        <v>11</v>
      </c>
      <c r="O24" s="139">
        <f>'Fri PM'!S19</f>
        <v>5</v>
      </c>
    </row>
    <row r="25" spans="1:19">
      <c r="A25" s="14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141"/>
      <c r="N25" s="158"/>
      <c r="O25" s="159"/>
    </row>
    <row r="26" spans="1:19">
      <c r="A26" s="143" t="s">
        <v>183</v>
      </c>
      <c r="B26" s="144"/>
      <c r="C26" s="145">
        <f t="shared" ref="C26:M26" si="4">SUM(C23:C25)</f>
        <v>8164</v>
      </c>
      <c r="D26" s="145">
        <f t="shared" si="4"/>
        <v>3683.25</v>
      </c>
      <c r="E26" s="145">
        <f t="shared" si="4"/>
        <v>364</v>
      </c>
      <c r="F26" s="145">
        <f t="shared" si="4"/>
        <v>4047.25</v>
      </c>
      <c r="G26" s="145">
        <f t="shared" si="4"/>
        <v>-3254.6</v>
      </c>
      <c r="H26" s="145">
        <f t="shared" si="4"/>
        <v>-940.48</v>
      </c>
      <c r="I26" s="145">
        <f t="shared" si="4"/>
        <v>-188</v>
      </c>
      <c r="J26" s="145">
        <f t="shared" si="4"/>
        <v>-335.83</v>
      </c>
      <c r="K26" s="145">
        <f t="shared" si="4"/>
        <v>38.5</v>
      </c>
      <c r="L26" s="145">
        <f t="shared" si="4"/>
        <v>105</v>
      </c>
      <c r="M26" s="146">
        <f t="shared" si="4"/>
        <v>-192.32999999999998</v>
      </c>
      <c r="N26" s="158"/>
      <c r="O26" s="159"/>
      <c r="Q26">
        <f>'Fri AM'!S14+'Fri PM'!S14</f>
        <v>-202</v>
      </c>
      <c r="S26" s="22">
        <f>S16+M21+M26</f>
        <v>-4237.05</v>
      </c>
    </row>
    <row r="27" spans="1:19">
      <c r="A27" s="149"/>
      <c r="B27" s="150"/>
      <c r="C27" s="120"/>
      <c r="D27" s="151">
        <f>D26/C26</f>
        <v>0.45115752082312593</v>
      </c>
      <c r="E27" s="120"/>
      <c r="F27" s="120"/>
      <c r="G27" s="120"/>
      <c r="H27" s="120"/>
      <c r="I27" s="120"/>
      <c r="J27" s="120"/>
      <c r="K27" s="120"/>
      <c r="L27" s="120"/>
      <c r="M27" s="121"/>
      <c r="N27" s="152" t="s">
        <v>189</v>
      </c>
      <c r="O27" s="153" t="s">
        <v>190</v>
      </c>
    </row>
    <row r="28" spans="1:19">
      <c r="A28" s="124">
        <f>A3+5</f>
        <v>45437</v>
      </c>
      <c r="B28" s="125" t="s">
        <v>3</v>
      </c>
      <c r="C28" s="128">
        <f>'Weekly Summary'!N22</f>
        <v>0</v>
      </c>
      <c r="D28" s="128">
        <f>'Weekly Summary'!N23</f>
        <v>0</v>
      </c>
      <c r="E28" s="128">
        <f>'Weekly Summary'!N24</f>
        <v>0</v>
      </c>
      <c r="F28" s="127">
        <f>SUM(D28:E28)</f>
        <v>0</v>
      </c>
      <c r="G28" s="128">
        <f>-'Weekly Summary'!N29</f>
        <v>0</v>
      </c>
      <c r="H28" s="128">
        <f>-'Weekly Summary'!N30</f>
        <v>0</v>
      </c>
      <c r="I28" s="128">
        <f>-'Weekly Summary'!N31</f>
        <v>0</v>
      </c>
      <c r="J28" s="127">
        <f>SUM(F28:I28)</f>
        <v>0</v>
      </c>
      <c r="K28" s="128">
        <f>'Weekly Summary'!N25</f>
        <v>0</v>
      </c>
      <c r="L28" s="129">
        <f>'Weekly Summary'!N26</f>
        <v>0</v>
      </c>
      <c r="M28" s="130">
        <f>SUM(J28:L28)</f>
        <v>0</v>
      </c>
      <c r="N28" s="131">
        <f>'Sat AM'!S18</f>
        <v>0</v>
      </c>
      <c r="O28" s="132">
        <f>'Sat AM'!S19</f>
        <v>0</v>
      </c>
    </row>
    <row r="29" spans="1:19">
      <c r="A29" s="133"/>
      <c r="B29" s="134" t="s">
        <v>105</v>
      </c>
      <c r="C29" s="135">
        <f>'Weekly Summary'!O22</f>
        <v>0</v>
      </c>
      <c r="D29" s="135">
        <f>'Weekly Summary'!O23</f>
        <v>0</v>
      </c>
      <c r="E29" s="135">
        <f>'Weekly Summary'!O24</f>
        <v>0</v>
      </c>
      <c r="F29" s="136">
        <f>SUM(D29:E29)</f>
        <v>0</v>
      </c>
      <c r="G29" s="135">
        <f>-'Weekly Summary'!O29</f>
        <v>0</v>
      </c>
      <c r="H29" s="135">
        <f>-'Weekly Summary'!O30</f>
        <v>0</v>
      </c>
      <c r="I29" s="135">
        <f>-'Weekly Summary'!O31</f>
        <v>0</v>
      </c>
      <c r="J29" s="136">
        <f>SUM(F29:I29)</f>
        <v>0</v>
      </c>
      <c r="K29" s="135">
        <f>'Weekly Summary'!O25</f>
        <v>0</v>
      </c>
      <c r="L29" s="137">
        <f>'Weekly Summary'!O26</f>
        <v>0</v>
      </c>
      <c r="M29" s="130">
        <f>SUM(J29:L29)</f>
        <v>0</v>
      </c>
      <c r="N29" s="138">
        <f>'Sat PM'!S18</f>
        <v>0</v>
      </c>
      <c r="O29" s="139">
        <f>'Sat PM'!S19</f>
        <v>0</v>
      </c>
    </row>
    <row r="30" spans="1:19">
      <c r="A30" s="140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141"/>
      <c r="N30" s="158"/>
      <c r="O30" s="159"/>
    </row>
    <row r="31" spans="1:19">
      <c r="A31" s="143" t="s">
        <v>183</v>
      </c>
      <c r="B31" s="144"/>
      <c r="C31" s="145">
        <f t="shared" ref="C31:M31" si="5">SUM(C28:C30)</f>
        <v>0</v>
      </c>
      <c r="D31" s="145">
        <f t="shared" si="5"/>
        <v>0</v>
      </c>
      <c r="E31" s="145">
        <f t="shared" si="5"/>
        <v>0</v>
      </c>
      <c r="F31" s="145">
        <f t="shared" si="5"/>
        <v>0</v>
      </c>
      <c r="G31" s="145">
        <f t="shared" si="5"/>
        <v>0</v>
      </c>
      <c r="H31" s="145">
        <f t="shared" si="5"/>
        <v>0</v>
      </c>
      <c r="I31" s="145">
        <f t="shared" si="5"/>
        <v>0</v>
      </c>
      <c r="J31" s="145">
        <f t="shared" si="5"/>
        <v>0</v>
      </c>
      <c r="K31" s="145">
        <f t="shared" si="5"/>
        <v>0</v>
      </c>
      <c r="L31" s="145">
        <f t="shared" si="5"/>
        <v>0</v>
      </c>
      <c r="M31" s="146">
        <f t="shared" si="5"/>
        <v>0</v>
      </c>
      <c r="N31" s="158"/>
      <c r="O31" s="159"/>
      <c r="Q31">
        <f>'Sat AM'!S14+'Sat PM'!S14</f>
        <v>0</v>
      </c>
    </row>
    <row r="32" spans="1:19">
      <c r="A32" s="149"/>
      <c r="B32" s="150"/>
      <c r="C32" s="120"/>
      <c r="D32" s="151" t="e">
        <f>D31/C31</f>
        <v>#DIV/0!</v>
      </c>
      <c r="E32" s="120"/>
      <c r="F32" s="120"/>
      <c r="G32" s="120"/>
      <c r="H32" s="120"/>
      <c r="I32" s="120"/>
      <c r="J32" s="120"/>
      <c r="K32" s="120"/>
      <c r="L32" s="120"/>
      <c r="M32" s="121"/>
      <c r="N32" s="152" t="s">
        <v>189</v>
      </c>
      <c r="O32" s="153" t="s">
        <v>190</v>
      </c>
    </row>
    <row r="33" spans="1:18">
      <c r="A33" s="124">
        <f>A3+6</f>
        <v>45438</v>
      </c>
      <c r="B33" s="125" t="s">
        <v>3</v>
      </c>
      <c r="C33" s="128">
        <f>'Weekly Summary'!B40</f>
        <v>0</v>
      </c>
      <c r="D33" s="128">
        <f>'Weekly Summary'!B41</f>
        <v>0</v>
      </c>
      <c r="E33" s="128">
        <f>'Weekly Summary'!B42</f>
        <v>0</v>
      </c>
      <c r="F33" s="127">
        <f>SUM(D33:E33)</f>
        <v>0</v>
      </c>
      <c r="G33" s="128">
        <f>-'Weekly Summary'!B47</f>
        <v>0</v>
      </c>
      <c r="H33" s="128">
        <f>-'Weekly Summary'!B48</f>
        <v>0</v>
      </c>
      <c r="I33" s="128">
        <f>-'Weekly Summary'!B49</f>
        <v>0</v>
      </c>
      <c r="J33" s="127">
        <f>SUM(F33:I33)</f>
        <v>0</v>
      </c>
      <c r="K33" s="128">
        <f>'Weekly Summary'!B43</f>
        <v>0</v>
      </c>
      <c r="L33" s="129">
        <f>'Weekly Summary'!B44</f>
        <v>0</v>
      </c>
      <c r="M33" s="130">
        <f>SUM(J33:L33)</f>
        <v>0</v>
      </c>
      <c r="N33" s="131">
        <f>'Sun AM'!S18</f>
        <v>0</v>
      </c>
      <c r="O33" s="132">
        <f>'Sun AM'!S19</f>
        <v>0</v>
      </c>
      <c r="P33" t="s">
        <v>191</v>
      </c>
      <c r="R33" t="s">
        <v>177</v>
      </c>
    </row>
    <row r="34" spans="1:18">
      <c r="A34" s="133"/>
      <c r="B34" s="134" t="s">
        <v>105</v>
      </c>
      <c r="C34" s="135">
        <f>'Weekly Summary'!C40</f>
        <v>0</v>
      </c>
      <c r="D34" s="135">
        <f>'Weekly Summary'!C41</f>
        <v>0</v>
      </c>
      <c r="E34" s="135">
        <f>'Weekly Summary'!C42</f>
        <v>0</v>
      </c>
      <c r="F34" s="136">
        <f>SUM(D34:E34)</f>
        <v>0</v>
      </c>
      <c r="G34" s="135">
        <f>-'Weekly Summary'!C47</f>
        <v>0</v>
      </c>
      <c r="H34" s="135">
        <f>-'Weekly Summary'!C48</f>
        <v>0</v>
      </c>
      <c r="I34" s="135">
        <f>-'Weekly Summary'!C49</f>
        <v>0</v>
      </c>
      <c r="J34" s="136">
        <f>SUM(F34:I34)</f>
        <v>0</v>
      </c>
      <c r="K34" s="135">
        <f>'Weekly Summary'!C43</f>
        <v>0</v>
      </c>
      <c r="L34" s="137">
        <f>'Weekly Summary'!C44</f>
        <v>0</v>
      </c>
      <c r="M34" s="130">
        <f>SUM(J34:L34)</f>
        <v>0</v>
      </c>
      <c r="N34" s="161">
        <f>'Sun PM'!S18</f>
        <v>0</v>
      </c>
      <c r="O34" s="162">
        <f>'Sun PM'!S19</f>
        <v>0</v>
      </c>
    </row>
    <row r="35" spans="1:18">
      <c r="A35" s="140"/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156"/>
      <c r="O35" s="163"/>
    </row>
    <row r="36" spans="1:18">
      <c r="A36" s="143" t="s">
        <v>183</v>
      </c>
      <c r="B36" s="144"/>
      <c r="C36" s="145">
        <f t="shared" ref="C36:M36" si="6">SUM(C33:C35)</f>
        <v>0</v>
      </c>
      <c r="D36" s="145">
        <f t="shared" si="6"/>
        <v>0</v>
      </c>
      <c r="E36" s="145">
        <f t="shared" si="6"/>
        <v>0</v>
      </c>
      <c r="F36" s="145">
        <f t="shared" si="6"/>
        <v>0</v>
      </c>
      <c r="G36" s="145">
        <f t="shared" si="6"/>
        <v>0</v>
      </c>
      <c r="H36" s="145">
        <f t="shared" si="6"/>
        <v>0</v>
      </c>
      <c r="I36" s="145">
        <f t="shared" si="6"/>
        <v>0</v>
      </c>
      <c r="J36" s="145">
        <f t="shared" si="6"/>
        <v>0</v>
      </c>
      <c r="K36" s="145">
        <f t="shared" si="6"/>
        <v>0</v>
      </c>
      <c r="L36" s="145">
        <f t="shared" si="6"/>
        <v>0</v>
      </c>
      <c r="M36" s="164">
        <f t="shared" si="6"/>
        <v>0</v>
      </c>
      <c r="N36" s="158"/>
      <c r="Q36">
        <f>'Sun AM'!S14+'Sun PM'!S14</f>
        <v>0</v>
      </c>
    </row>
    <row r="37" spans="1:18">
      <c r="A37" s="149"/>
      <c r="B37" s="150"/>
      <c r="C37" s="120"/>
      <c r="D37" s="151" t="e">
        <f>D36/C36</f>
        <v>#DIV/0!</v>
      </c>
      <c r="E37" s="120"/>
      <c r="F37" s="120"/>
      <c r="G37" s="120"/>
      <c r="H37" s="120"/>
      <c r="I37" s="120"/>
      <c r="J37" s="120"/>
      <c r="K37" s="120"/>
      <c r="L37" s="120"/>
      <c r="M37" s="121"/>
    </row>
    <row r="38" spans="1:18">
      <c r="A38" s="140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158"/>
      <c r="P38" t="s">
        <v>144</v>
      </c>
    </row>
    <row r="39" spans="1:18">
      <c r="A39" s="165" t="s">
        <v>183</v>
      </c>
      <c r="B39" s="166"/>
      <c r="C39" s="167">
        <f t="shared" ref="C39:M39" si="7">C6+C11+C16+C21+C26+C31+C36</f>
        <v>45309.599999999999</v>
      </c>
      <c r="D39" s="167">
        <f t="shared" si="7"/>
        <v>20034.150000000001</v>
      </c>
      <c r="E39" s="167">
        <f t="shared" si="7"/>
        <v>1784</v>
      </c>
      <c r="F39" s="167">
        <f t="shared" si="7"/>
        <v>21818.15</v>
      </c>
      <c r="G39" s="167">
        <f t="shared" si="7"/>
        <v>-19376.2</v>
      </c>
      <c r="H39" s="167">
        <f t="shared" si="7"/>
        <v>-7154.25</v>
      </c>
      <c r="I39" s="167">
        <f t="shared" si="7"/>
        <v>-438</v>
      </c>
      <c r="J39" s="167">
        <f t="shared" si="7"/>
        <v>-5150.3</v>
      </c>
      <c r="K39" s="167">
        <f t="shared" si="7"/>
        <v>393.25</v>
      </c>
      <c r="L39" s="167">
        <f t="shared" si="7"/>
        <v>520</v>
      </c>
      <c r="M39" s="168">
        <f t="shared" si="7"/>
        <v>-4237.05</v>
      </c>
      <c r="N39" s="158"/>
    </row>
    <row r="40" spans="1:18">
      <c r="D40" s="169">
        <f>D39/C39</f>
        <v>0.44216126383812704</v>
      </c>
    </row>
    <row r="41" spans="1:18">
      <c r="M41" s="22">
        <f>'Mon AM'!S14+'Mon PM'!S14+'Tues AM'!S14+'Tues PM'!S14+'Wed AM'!S14+'Wed PM'!S14+'Fri AM'!S14+'Thurs PM'!S14+'Thurs AM'!S14+'Fri PM'!S14+'Sat AM'!S14+'Sat PM'!S14+'Sun AM'!S14+'Sun PM'!S14</f>
        <v>-4253</v>
      </c>
    </row>
  </sheetData>
  <mergeCells count="1">
    <mergeCell ref="N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231D-3720-46D0-BCB2-0BA534FA0F87}">
  <dimension ref="B4:G19"/>
  <sheetViews>
    <sheetView workbookViewId="0">
      <selection activeCell="F19" sqref="F19"/>
    </sheetView>
  </sheetViews>
  <sheetFormatPr defaultRowHeight="15"/>
  <cols>
    <col min="5" max="5" width="11.85546875" customWidth="1"/>
  </cols>
  <sheetData>
    <row r="4" spans="2:7">
      <c r="B4" s="179"/>
      <c r="C4" s="180" t="s">
        <v>192</v>
      </c>
      <c r="D4" s="181">
        <v>100</v>
      </c>
      <c r="E4" s="182">
        <f>B4*D4</f>
        <v>0</v>
      </c>
    </row>
    <row r="5" spans="2:7">
      <c r="B5" s="183"/>
      <c r="C5" s="1" t="s">
        <v>192</v>
      </c>
      <c r="D5" s="37">
        <v>50</v>
      </c>
      <c r="E5" s="184">
        <f>B5*D5</f>
        <v>0</v>
      </c>
    </row>
    <row r="6" spans="2:7">
      <c r="B6" s="183"/>
      <c r="C6" s="1" t="s">
        <v>192</v>
      </c>
      <c r="D6" s="37">
        <v>20</v>
      </c>
      <c r="E6" s="184">
        <f>B6*D6</f>
        <v>0</v>
      </c>
    </row>
    <row r="7" spans="2:7">
      <c r="B7" s="183"/>
      <c r="C7" s="1" t="s">
        <v>192</v>
      </c>
      <c r="D7" s="37">
        <v>10</v>
      </c>
      <c r="E7" s="184">
        <f>B7*D7</f>
        <v>0</v>
      </c>
    </row>
    <row r="8" spans="2:7">
      <c r="B8" s="183"/>
      <c r="C8" s="1" t="s">
        <v>192</v>
      </c>
      <c r="D8" s="37">
        <v>5</v>
      </c>
      <c r="E8" s="184">
        <f t="shared" ref="E8:E9" si="0">B8*D8</f>
        <v>0</v>
      </c>
    </row>
    <row r="9" spans="2:7">
      <c r="B9" s="185"/>
      <c r="C9" s="147" t="s">
        <v>192</v>
      </c>
      <c r="D9" s="186">
        <v>1</v>
      </c>
      <c r="E9" s="187">
        <f t="shared" si="0"/>
        <v>0</v>
      </c>
    </row>
    <row r="10" spans="2:7">
      <c r="E10" s="37"/>
    </row>
    <row r="11" spans="2:7">
      <c r="B11" s="215" t="s">
        <v>59</v>
      </c>
      <c r="C11" s="216"/>
      <c r="D11" s="216"/>
      <c r="E11" s="188">
        <f>SUM(E4:E9)</f>
        <v>0</v>
      </c>
    </row>
    <row r="13" spans="2:7">
      <c r="E13" s="22">
        <f>'Weekly Gross'!M41</f>
        <v>-4253</v>
      </c>
    </row>
    <row r="15" spans="2:7">
      <c r="E15" s="22">
        <f>E13-E11</f>
        <v>-4253</v>
      </c>
    </row>
    <row r="16" spans="2:7">
      <c r="G16" t="s">
        <v>144</v>
      </c>
    </row>
    <row r="19" spans="6:6">
      <c r="F19" t="s">
        <v>193</v>
      </c>
    </row>
  </sheetData>
  <mergeCells count="1">
    <mergeCell ref="B11:D11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Harbor View Car Service</cp:lastModifiedBy>
  <cp:revision/>
  <dcterms:created xsi:type="dcterms:W3CDTF">2019-02-12T14:47:47Z</dcterms:created>
  <dcterms:modified xsi:type="dcterms:W3CDTF">2024-05-25T16:51:09Z</dcterms:modified>
  <cp:category/>
  <cp:contentStatus/>
</cp:coreProperties>
</file>